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Financial Reports/"/>
    </mc:Choice>
  </mc:AlternateContent>
  <bookViews>
    <workbookView xWindow="0" yWindow="0" windowWidth="28800" windowHeight="13500" tabRatio="821" firstSheet="40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26" sheetId="85" r:id="rId61"/>
    <sheet name="332" sheetId="33" r:id="rId62"/>
    <sheet name="316" sheetId="76" r:id="rId63"/>
    <sheet name="320" sheetId="79" r:id="rId64"/>
    <sheet name="Div 6" sheetId="51" r:id="rId65"/>
    <sheet name="317" sheetId="77" r:id="rId66"/>
    <sheet name="310" sheetId="21" r:id="rId67"/>
    <sheet name="309" sheetId="70" r:id="rId68"/>
    <sheet name="313" sheetId="73" r:id="rId69"/>
    <sheet name="321" sheetId="80" r:id="rId70"/>
    <sheet name="322" sheetId="81" r:id="rId71"/>
    <sheet name="325" sheetId="84" r:id="rId72"/>
    <sheet name="327" sheetId="86" r:id="rId73"/>
    <sheet name="Div 4" sheetId="36" r:id="rId74"/>
    <sheet name="310 &amp; 491" sheetId="39" r:id="rId75"/>
    <sheet name="491" sheetId="42" r:id="rId76"/>
    <sheet name="405" sheetId="88" r:id="rId77"/>
    <sheet name="406" sheetId="89" r:id="rId78"/>
    <sheet name="411" sheetId="92" r:id="rId79"/>
    <sheet name="412" sheetId="93" r:id="rId80"/>
    <sheet name="413" sheetId="94" r:id="rId81"/>
    <sheet name="414" sheetId="95" r:id="rId82"/>
    <sheet name="415" sheetId="96" r:id="rId83"/>
    <sheet name="418" sheetId="98" r:id="rId84"/>
    <sheet name="420" sheetId="99" r:id="rId85"/>
    <sheet name="423" sheetId="100" r:id="rId86"/>
    <sheet name="424" sheetId="101" r:id="rId87"/>
    <sheet name="425" sheetId="102" r:id="rId88"/>
    <sheet name="455" sheetId="109" r:id="rId89"/>
    <sheet name="492" sheetId="45" r:id="rId90"/>
    <sheet name="430" sheetId="103" r:id="rId91"/>
    <sheet name="433" sheetId="104" r:id="rId92"/>
    <sheet name="435" sheetId="105" r:id="rId93"/>
    <sheet name="444" sheetId="106" r:id="rId94"/>
    <sheet name="445" sheetId="107" r:id="rId95"/>
    <sheet name="450" sheetId="108" r:id="rId96"/>
    <sheet name="Div 5" sheetId="48" r:id="rId97"/>
    <sheet name="501" sheetId="110" r:id="rId98"/>
    <sheet name="Dept" sheetId="111" state="hidden" r:id="rId99"/>
    <sheet name="OSR_Dept_Y0WUKY" sheetId="112" state="hidden" r:id="rId100"/>
    <sheet name="OSR_Summary (...56e5d78f_5JEYZH" sheetId="113" state="hidden" r:id="rId101"/>
  </sheets>
  <definedNames>
    <definedName name="OSRRefD13x_0" localSheetId="48">'300'!$D$13:$D$96</definedName>
    <definedName name="OSRRefD13x_0" localSheetId="49">'300 &amp; 317'!$D$13:$D$113</definedName>
    <definedName name="OSRRefD13x_0" localSheetId="53">'307'!$D$13:$D$39</definedName>
    <definedName name="OSRRefD13x_0" localSheetId="55">'308'!$D$13:$D$36</definedName>
    <definedName name="OSRRefD13x_0" localSheetId="67">'309'!$D$13:$D$14</definedName>
    <definedName name="OSRRefD13x_0" localSheetId="66">'310'!$D$13:$D$21</definedName>
    <definedName name="OSRRefD13x_0" localSheetId="74">'310 &amp; 491'!$D$13:$D$29</definedName>
    <definedName name="OSRRefD13x_0" localSheetId="56">'311'!$D$13:$D$35</definedName>
    <definedName name="OSRRefD13x_0" localSheetId="68">'313'!$D$13:$D$18</definedName>
    <definedName name="OSRRefD13x_0" localSheetId="54">'314'!$D$13:$D$33</definedName>
    <definedName name="OSRRefD13x_0" localSheetId="59">'315'!$D$13:$D$30</definedName>
    <definedName name="OSRRefD13x_0" localSheetId="62">'316'!$D$13:$D$24</definedName>
    <definedName name="OSRRefD13x_0" localSheetId="65">'317'!$D$13:$D$34</definedName>
    <definedName name="OSRRefD13x_0" localSheetId="63">'320'!$D$13:$D$16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1">'325'!$D$13:$D$14</definedName>
    <definedName name="OSRRefD13x_0" localSheetId="60">'326'!$D$13:$D$33</definedName>
    <definedName name="OSRRefD13x_0" localSheetId="72">'327'!$D$13</definedName>
    <definedName name="OSRRefD13x_0" localSheetId="52">'330'!$D$13:$D$47</definedName>
    <definedName name="OSRRefD13x_0" localSheetId="58">'331'!$D$13:$D$39</definedName>
    <definedName name="OSRRefD13x_0" localSheetId="61">'332'!$D$13:$D$28</definedName>
    <definedName name="OSRRefD13x_0" localSheetId="76">'405'!$D$13:$D$14</definedName>
    <definedName name="OSRRefD13x_0" localSheetId="77">'406'!$D$13:$D$14</definedName>
    <definedName name="OSRRefD13x_0" localSheetId="79">'412'!$D$13:$D$14</definedName>
    <definedName name="OSRRefD13x_0" localSheetId="80">'413'!$D$13:$D$14</definedName>
    <definedName name="OSRRefD13x_0" localSheetId="81">'414'!$D$13:$D$14</definedName>
    <definedName name="OSRRefD13x_0" localSheetId="82">'415'!$D$13:$D$14</definedName>
    <definedName name="OSRRefD13x_0" localSheetId="83">'418'!$D$13:$D$14</definedName>
    <definedName name="OSRRefD13x_0" localSheetId="86">'424'!$D$13:$D$14</definedName>
    <definedName name="OSRRefD13x_0" localSheetId="87">'425'!$D$13:$D$15</definedName>
    <definedName name="OSRRefD13x_0" localSheetId="91">'433'!$D$13:$D$16</definedName>
    <definedName name="OSRRefD13x_0" localSheetId="92">'435'!$D$13:$D$14</definedName>
    <definedName name="OSRRefD13x_0" localSheetId="93">'444'!$D$13:$D$15</definedName>
    <definedName name="OSRRefD13x_0" localSheetId="95">'450'!$D$13:$D$15</definedName>
    <definedName name="OSRRefD13x_0" localSheetId="75">'491'!$D$13:$D$22</definedName>
    <definedName name="OSRRefD13x_0" localSheetId="89">'492'!$D$13:$D$18</definedName>
    <definedName name="OSRRefD13x_0" localSheetId="97">'501'!$D$13</definedName>
    <definedName name="OSRRefD13x_0" localSheetId="47">'Div 3'!$D$13:$D$100</definedName>
    <definedName name="OSRRefD13x_0" localSheetId="73">'Div 4'!$D$13:$D$24</definedName>
    <definedName name="OSRRefD13x_0" localSheetId="96">'Div 5'!$D$13</definedName>
    <definedName name="OSRRefD13x_0" localSheetId="64">'Div 6'!$D$13:$D$34</definedName>
    <definedName name="OSRRefD13x_0" localSheetId="2">Summary!$D$13:$D$126</definedName>
    <definedName name="OSRRefD16x_0" localSheetId="48">'300'!$D$99:$D$146</definedName>
    <definedName name="OSRRefD16x_0" localSheetId="49">'300 &amp; 317'!$D$116:$D$168</definedName>
    <definedName name="OSRRefD16x_0" localSheetId="53">'307'!$D$42:$D$58</definedName>
    <definedName name="OSRRefD16x_0" localSheetId="55">'308'!$D$39:$D$53</definedName>
    <definedName name="OSRRefD16x_0" localSheetId="67">'309'!$D$17:$D$18</definedName>
    <definedName name="OSRRefD16x_0" localSheetId="66">'310'!$D$24:$D$25</definedName>
    <definedName name="OSRRefD16x_0" localSheetId="74">'310 &amp; 491'!$D$32:$D$33</definedName>
    <definedName name="OSRRefD16x_0" localSheetId="56">'311'!$D$38:$D$52</definedName>
    <definedName name="OSRRefD16x_0" localSheetId="68">'313'!$D$21:$D$22</definedName>
    <definedName name="OSRRefD16x_0" localSheetId="54">'314'!$D$36:$D$49</definedName>
    <definedName name="OSRRefD16x_0" localSheetId="59">'315'!$D$33:$D$46</definedName>
    <definedName name="OSRRefD16x_0" localSheetId="65">'317'!$D$37:$D$47</definedName>
    <definedName name="OSRRefD16x_0" localSheetId="63">'320'!$D$19:$D$23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1">'325'!$D$17:$D$18</definedName>
    <definedName name="OSRRefD16x_0" localSheetId="60">'326'!$D$36:$D$50</definedName>
    <definedName name="OSRRefD16x_0" localSheetId="72">'327'!$D$16</definedName>
    <definedName name="OSRRefD16x_0" localSheetId="52">'330'!$D$50:$D$70</definedName>
    <definedName name="OSRRefD16x_0" localSheetId="58">'331'!$D$42:$D$62</definedName>
    <definedName name="OSRRefD16x_0" localSheetId="61">'332'!$D$31:$D$35</definedName>
    <definedName name="OSRRefD16x_0" localSheetId="76">'405'!$D$17:$D$18</definedName>
    <definedName name="OSRRefD16x_0" localSheetId="77">'406'!$D$17:$D$18</definedName>
    <definedName name="OSRRefD16x_0" localSheetId="79">'412'!$D$17</definedName>
    <definedName name="OSRRefD16x_0" localSheetId="80">'413'!$D$17:$D$18</definedName>
    <definedName name="OSRRefD16x_0" localSheetId="81">'414'!$D$17:$D$18</definedName>
    <definedName name="OSRRefD16x_0" localSheetId="82">'415'!$D$17:$D$18</definedName>
    <definedName name="OSRRefD16x_0" localSheetId="83">'418'!$D$17:$D$18</definedName>
    <definedName name="OSRRefD16x_0" localSheetId="85">'423'!$D$15</definedName>
    <definedName name="OSRRefD16x_0" localSheetId="86">'424'!$D$17:$D$18</definedName>
    <definedName name="OSRRefD16x_0" localSheetId="87">'425'!$D$18:$D$19</definedName>
    <definedName name="OSRRefD16x_0" localSheetId="91">'433'!$D$19:$D$20</definedName>
    <definedName name="OSRRefD16x_0" localSheetId="92">'435'!$D$17:$D$18</definedName>
    <definedName name="OSRRefD16x_0" localSheetId="93">'444'!$D$18:$D$19</definedName>
    <definedName name="OSRRefD16x_0" localSheetId="95">'450'!$D$18:$D$19</definedName>
    <definedName name="OSRRefD16x_0" localSheetId="75">'491'!$D$25:$D$26</definedName>
    <definedName name="OSRRefD16x_0" localSheetId="89">'492'!$D$21:$D$22</definedName>
    <definedName name="OSRRefD16x_0" localSheetId="47">'Div 3'!$D$103:$D$152</definedName>
    <definedName name="OSRRefD16x_0" localSheetId="73">'Div 4'!$D$27:$D$28</definedName>
    <definedName name="OSRRefD16x_0" localSheetId="64">'Div 6'!$D$37:$D$47</definedName>
    <definedName name="OSRRefD16x_0" localSheetId="2">Summary!$D$129:$D$183</definedName>
    <definedName name="OSRRefD22_0x_0" localSheetId="40">'200'!$D$20</definedName>
    <definedName name="OSRRefD22_0x_0" localSheetId="41">'201'!$D$20:$D$28</definedName>
    <definedName name="OSRRefD22_0x_0" localSheetId="42">'202'!$D$20:$D$27</definedName>
    <definedName name="OSRRefD22_0x_0" localSheetId="43">'203'!$D$20:$D$28</definedName>
    <definedName name="OSRRefD22_0x_0" localSheetId="44">'204'!$D$20:$D$28</definedName>
    <definedName name="OSRRefD22_0x_0" localSheetId="45">'205'!$D$20:$D$27</definedName>
    <definedName name="OSRRefD22_0x_0" localSheetId="46">'206'!$D$20:$D$27</definedName>
    <definedName name="OSRRefD22_0x_0" localSheetId="48">'300'!$D$152:$D$160</definedName>
    <definedName name="OSRRefD22_0x_0" localSheetId="49">'300 &amp; 317'!$D$174:$D$182</definedName>
    <definedName name="OSRRefD22_0x_0" localSheetId="50">'301'!$D$20:$D$27</definedName>
    <definedName name="OSRRefD22_0x_0" localSheetId="51">'306'!$D$20:$D$28</definedName>
    <definedName name="OSRRefD22_0x_0" localSheetId="53">'307'!$D$64:$D$71</definedName>
    <definedName name="OSRRefD22_0x_0" localSheetId="55">'308'!$D$59:$D$67</definedName>
    <definedName name="OSRRefD22_0x_0" localSheetId="67">'309'!$D$24:$D$31</definedName>
    <definedName name="OSRRefD22_0x_0" localSheetId="66">'310'!$D$31:$D$38</definedName>
    <definedName name="OSRRefD22_0x_0" localSheetId="74">'310 &amp; 491'!$D$39:$D$47</definedName>
    <definedName name="OSRRefD22_0x_0" localSheetId="56">'311'!$D$58:$D$66</definedName>
    <definedName name="OSRRefD22_0x_0" localSheetId="68">'313'!$D$28:$D$35</definedName>
    <definedName name="OSRRefD22_0x_0" localSheetId="54">'314'!$D$55:$D$61</definedName>
    <definedName name="OSRRefD22_0x_0" localSheetId="59">'315'!$D$52:$D$59</definedName>
    <definedName name="OSRRefD22_0x_0" localSheetId="62">'316'!$D$32:$D$39</definedName>
    <definedName name="OSRRefD22_0x_0" localSheetId="65">'317'!$D$53:$D$61</definedName>
    <definedName name="OSRRefD22_0x_0" localSheetId="63">'320'!$D$29:$D$35</definedName>
    <definedName name="OSRRefD22_0x_0" localSheetId="69">'321'!$D$24:$D$30</definedName>
    <definedName name="OSRRefD22_0x_0" localSheetId="70">'322'!$D$24:$D$31</definedName>
    <definedName name="OSRRefD22_0x_0" localSheetId="57">'324'!$D$25</definedName>
    <definedName name="OSRRefD22_0x_0" localSheetId="71">'325'!$D$24:$D$31</definedName>
    <definedName name="OSRRefD22_0x_0" localSheetId="60">'326'!$D$56:$D$63</definedName>
    <definedName name="OSRRefD22_0x_0" localSheetId="72">'327'!$D$22</definedName>
    <definedName name="OSRRefD22_0x_0" localSheetId="52">'330'!$D$76:$D$83</definedName>
    <definedName name="OSRRefD22_0x_0" localSheetId="58">'331'!$D$68:$D$75</definedName>
    <definedName name="OSRRefD22_0x_0" localSheetId="61">'332'!$D$41:$D$48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'412'!$D$23:$D$30</definedName>
    <definedName name="OSRRefD22_0x_0" localSheetId="80">'413'!$D$24:$D$31</definedName>
    <definedName name="OSRRefD22_0x_0" localSheetId="81">'414'!$D$24:$D$31</definedName>
    <definedName name="OSRRefD22_0x_0" localSheetId="82">'415'!$D$24:$D$31</definedName>
    <definedName name="OSRRefD22_0x_0" localSheetId="83">'418'!$D$24:$D$31</definedName>
    <definedName name="OSRRefD22_0x_0" localSheetId="85">'423'!$D$21:$D$28</definedName>
    <definedName name="OSRRefD22_0x_0" localSheetId="86">'424'!$D$24:$D$26</definedName>
    <definedName name="OSRRefD22_0x_0" localSheetId="87">'425'!$D$25:$D$32</definedName>
    <definedName name="OSRRefD22_0x_0" localSheetId="90">'430'!$D$20:$D$27</definedName>
    <definedName name="OSRRefD22_0x_0" localSheetId="91">'433'!$D$26:$D$34</definedName>
    <definedName name="OSRRefD22_0x_0" localSheetId="92">'435'!$D$24:$D$26</definedName>
    <definedName name="OSRRefD22_0x_0" localSheetId="93">'444'!$D$25:$D$33</definedName>
    <definedName name="OSRRefD22_0x_0" localSheetId="94">'445'!$D$20</definedName>
    <definedName name="OSRRefD22_0x_0" localSheetId="95">'450'!$D$25:$D$33</definedName>
    <definedName name="OSRRefD22_0x_0" localSheetId="88">'455'!$D$20:$D$26</definedName>
    <definedName name="OSRRefD22_0x_0" localSheetId="75">'491'!$D$32:$D$40</definedName>
    <definedName name="OSRRefD22_0x_0" localSheetId="89">'492'!$D$28:$D$36</definedName>
    <definedName name="OSRRefD22_0x_0" localSheetId="97">'501'!$D$21:$D$28</definedName>
    <definedName name="OSRRefD22_0x_0" localSheetId="39">'Div 2'!$D$20:$D$30</definedName>
    <definedName name="OSRRefD22_0x_0" localSheetId="47">'Div 3'!$D$158:$D$166</definedName>
    <definedName name="OSRRefD22_0x_0" localSheetId="73">'Div 4'!$D$34:$D$42</definedName>
    <definedName name="OSRRefD22_0x_0" localSheetId="96">'Div 5'!$D$21:$D$28</definedName>
    <definedName name="OSRRefD22_0x_0" localSheetId="64">'Div 6'!$D$53:$D$61</definedName>
    <definedName name="OSRRefD22_0x_0" localSheetId="2">Summary!$D$189:$D$197</definedName>
    <definedName name="OSRRefD22_10x_0" localSheetId="41">'201'!$D$51:$D$52</definedName>
    <definedName name="OSRRefD22_10x_0" localSheetId="42">'202'!$D$51</definedName>
    <definedName name="OSRRefD22_10x_0" localSheetId="43">'203'!$D$53</definedName>
    <definedName name="OSRRefD22_10x_0" localSheetId="44">'204'!$D$57:$D$58</definedName>
    <definedName name="OSRRefD22_10x_0" localSheetId="48">'300'!$D$188:$D$189</definedName>
    <definedName name="OSRRefD22_10x_0" localSheetId="49">'300 &amp; 317'!$D$210:$D$211</definedName>
    <definedName name="OSRRefD22_10x_0" localSheetId="50">'301'!$D$54</definedName>
    <definedName name="OSRRefD22_10x_0" localSheetId="53">'307'!$D$95</definedName>
    <definedName name="OSRRefD22_10x_0" localSheetId="55">'308'!$D$94</definedName>
    <definedName name="OSRRefD22_10x_0" localSheetId="67">'309'!$D$56:$D$61</definedName>
    <definedName name="OSRRefD22_10x_0" localSheetId="66">'310'!$D$64</definedName>
    <definedName name="OSRRefD22_10x_0" localSheetId="74">'310 &amp; 491'!$D$75:$D$76</definedName>
    <definedName name="OSRRefD22_10x_0" localSheetId="56">'311'!$D$93</definedName>
    <definedName name="OSRRefD22_10x_0" localSheetId="68">'313'!$D$59:$D$63</definedName>
    <definedName name="OSRRefD22_10x_0" localSheetId="59">'315'!$D$84</definedName>
    <definedName name="OSRRefD22_10x_0" localSheetId="65">'317'!$D$85</definedName>
    <definedName name="OSRRefD22_10x_0" localSheetId="69">'321'!$D$59</definedName>
    <definedName name="OSRRefD22_10x_0" localSheetId="70">'322'!$D$54:$D$56</definedName>
    <definedName name="OSRRefD22_10x_0" localSheetId="71">'325'!$D$56</definedName>
    <definedName name="OSRRefD22_10x_0" localSheetId="60">'326'!$D$86</definedName>
    <definedName name="OSRRefD22_10x_0" localSheetId="52">'330'!$D$107:$D$108</definedName>
    <definedName name="OSRRefD22_10x_0" localSheetId="58">'331'!$D$99</definedName>
    <definedName name="OSRRefD22_10x_0" localSheetId="61">'332'!$D$76</definedName>
    <definedName name="OSRRefD22_10x_0" localSheetId="76">'405'!$D$56</definedName>
    <definedName name="OSRRefD22_10x_0" localSheetId="77">'406'!$D$55:$D$60</definedName>
    <definedName name="OSRRefD22_10x_0" localSheetId="78">'411'!$D$61:$D$66</definedName>
    <definedName name="OSRRefD22_10x_0" localSheetId="79">'412'!$D$56:$D$57</definedName>
    <definedName name="OSRRefD22_10x_0" localSheetId="80">'413'!$D$58</definedName>
    <definedName name="OSRRefD22_10x_0" localSheetId="81">'414'!$D$55</definedName>
    <definedName name="OSRRefD22_10x_0" localSheetId="82">'415'!$D$56</definedName>
    <definedName name="OSRRefD22_10x_0" localSheetId="83">'418'!$D$58:$D$60</definedName>
    <definedName name="OSRRefD22_10x_0" localSheetId="86">'424'!$D$52</definedName>
    <definedName name="OSRRefD22_10x_0" localSheetId="87">'425'!$D$56</definedName>
    <definedName name="OSRRefD22_10x_0" localSheetId="91">'433'!$D$61:$D$66</definedName>
    <definedName name="OSRRefD22_10x_0" localSheetId="93">'444'!$D$58:$D$59</definedName>
    <definedName name="OSRRefD22_10x_0" localSheetId="95">'450'!$D$58</definedName>
    <definedName name="OSRRefD22_10x_0" localSheetId="75">'491'!$D$69</definedName>
    <definedName name="OSRRefD22_10x_0" localSheetId="89">'492'!$D$62</definedName>
    <definedName name="OSRRefD22_10x_0" localSheetId="97">'501'!$D$56</definedName>
    <definedName name="OSRRefD22_10x_0" localSheetId="39">'Div 2'!$D$57</definedName>
    <definedName name="OSRRefD22_10x_0" localSheetId="47">'Div 3'!$D$194:$D$195</definedName>
    <definedName name="OSRRefD22_10x_0" localSheetId="73">'Div 4'!$D$71</definedName>
    <definedName name="OSRRefD22_10x_0" localSheetId="96">'Div 5'!$D$56</definedName>
    <definedName name="OSRRefD22_10x_0" localSheetId="64">'Div 6'!$D$85</definedName>
    <definedName name="OSRRefD22_10x_0" localSheetId="2">Summary!$D$226:$D$227</definedName>
    <definedName name="OSRRefD22_11x_0" localSheetId="41">'201'!$D$54</definedName>
    <definedName name="OSRRefD22_11x_0" localSheetId="42">'202'!$D$53</definedName>
    <definedName name="OSRRefD22_11x_0" localSheetId="43">'203'!$D$55:$D$57</definedName>
    <definedName name="OSRRefD22_11x_0" localSheetId="48">'300'!$D$191</definedName>
    <definedName name="OSRRefD22_11x_0" localSheetId="49">'300 &amp; 317'!$D$213</definedName>
    <definedName name="OSRRefD22_11x_0" localSheetId="50">'301'!$D$56</definedName>
    <definedName name="OSRRefD22_11x_0" localSheetId="55">'308'!$D$96:$D$98</definedName>
    <definedName name="OSRRefD22_11x_0" localSheetId="67">'309'!$D$63</definedName>
    <definedName name="OSRRefD22_11x_0" localSheetId="66">'310'!$D$66</definedName>
    <definedName name="OSRRefD22_11x_0" localSheetId="74">'310 &amp; 491'!$D$78</definedName>
    <definedName name="OSRRefD22_11x_0" localSheetId="56">'311'!$D$95:$D$97</definedName>
    <definedName name="OSRRefD22_11x_0" localSheetId="68">'313'!$D$65</definedName>
    <definedName name="OSRRefD22_11x_0" localSheetId="59">'315'!$D$86:$D$89</definedName>
    <definedName name="OSRRefD22_11x_0" localSheetId="69">'321'!$D$61</definedName>
    <definedName name="OSRRefD22_11x_0" localSheetId="70">'322'!$D$58:$D$63</definedName>
    <definedName name="OSRRefD22_11x_0" localSheetId="71">'325'!$D$58:$D$60</definedName>
    <definedName name="OSRRefD22_11x_0" localSheetId="60">'326'!$D$88</definedName>
    <definedName name="OSRRefD22_11x_0" localSheetId="52">'330'!$D$110</definedName>
    <definedName name="OSRRefD22_11x_0" localSheetId="58">'331'!$D$101</definedName>
    <definedName name="OSRRefD22_11x_0" localSheetId="76">'405'!$D$58:$D$60</definedName>
    <definedName name="OSRRefD22_11x_0" localSheetId="77">'406'!$D$62</definedName>
    <definedName name="OSRRefD22_11x_0" localSheetId="78">'411'!$D$68</definedName>
    <definedName name="OSRRefD22_11x_0" localSheetId="79">'412'!$D$59:$D$65</definedName>
    <definedName name="OSRRefD22_11x_0" localSheetId="81">'414'!$D$57</definedName>
    <definedName name="OSRRefD22_11x_0" localSheetId="82">'415'!$D$58</definedName>
    <definedName name="OSRRefD22_11x_0" localSheetId="83">'418'!$D$62</definedName>
    <definedName name="OSRRefD22_11x_0" localSheetId="87">'425'!$D$58:$D$59</definedName>
    <definedName name="OSRRefD22_11x_0" localSheetId="91">'433'!$D$68</definedName>
    <definedName name="OSRRefD22_11x_0" localSheetId="93">'444'!$D$61:$D$63</definedName>
    <definedName name="OSRRefD22_11x_0" localSheetId="95">'450'!$D$60:$D$62</definedName>
    <definedName name="OSRRefD22_11x_0" localSheetId="75">'491'!$D$71</definedName>
    <definedName name="OSRRefD22_11x_0" localSheetId="89">'492'!$D$64:$D$65</definedName>
    <definedName name="OSRRefD22_11x_0" localSheetId="39">'Div 2'!$D$59</definedName>
    <definedName name="OSRRefD22_11x_0" localSheetId="47">'Div 3'!$D$197</definedName>
    <definedName name="OSRRefD22_11x_0" localSheetId="73">'Div 4'!$D$73</definedName>
    <definedName name="OSRRefD22_11x_0" localSheetId="2">Summary!$D$229:$D$230</definedName>
    <definedName name="OSRRefD22_12x_0" localSheetId="41">'201'!$D$56:$D$58</definedName>
    <definedName name="OSRRefD22_12x_0" localSheetId="43">'203'!$D$59</definedName>
    <definedName name="OSRRefD22_12x_0" localSheetId="48">'300'!$D$193</definedName>
    <definedName name="OSRRefD22_12x_0" localSheetId="49">'300 &amp; 317'!$D$215</definedName>
    <definedName name="OSRRefD22_12x_0" localSheetId="50">'301'!$D$58</definedName>
    <definedName name="OSRRefD22_12x_0" localSheetId="55">'308'!$D$100:$D$101</definedName>
    <definedName name="OSRRefD22_12x_0" localSheetId="66">'310'!$D$68</definedName>
    <definedName name="OSRRefD22_12x_0" localSheetId="74">'310 &amp; 491'!$D$80</definedName>
    <definedName name="OSRRefD22_12x_0" localSheetId="56">'311'!$D$99:$D$100</definedName>
    <definedName name="OSRRefD22_12x_0" localSheetId="68">'313'!$D$67</definedName>
    <definedName name="OSRRefD22_12x_0" localSheetId="59">'315'!$D$91</definedName>
    <definedName name="OSRRefD22_12x_0" localSheetId="70">'322'!$D$65</definedName>
    <definedName name="OSRRefD22_12x_0" localSheetId="71">'325'!$D$62</definedName>
    <definedName name="OSRRefD22_12x_0" localSheetId="60">'326'!$D$90</definedName>
    <definedName name="OSRRefD22_12x_0" localSheetId="58">'331'!$D$103</definedName>
    <definedName name="OSRRefD22_12x_0" localSheetId="76">'405'!$D$62</definedName>
    <definedName name="OSRRefD22_12x_0" localSheetId="77">'406'!$D$64</definedName>
    <definedName name="OSRRefD22_12x_0" localSheetId="78">'411'!$D$70</definedName>
    <definedName name="OSRRefD22_12x_0" localSheetId="79">'412'!$D$67</definedName>
    <definedName name="OSRRefD22_12x_0" localSheetId="81">'414'!$D$59:$D$65</definedName>
    <definedName name="OSRRefD22_12x_0" localSheetId="82">'415'!$D$60:$D$64</definedName>
    <definedName name="OSRRefD22_12x_0" localSheetId="83">'418'!$D$64:$D$68</definedName>
    <definedName name="OSRRefD22_12x_0" localSheetId="87">'425'!$D$61:$D$66</definedName>
    <definedName name="OSRRefD22_12x_0" localSheetId="91">'433'!$D$70</definedName>
    <definedName name="OSRRefD22_12x_0" localSheetId="93">'444'!$D$65:$D$71</definedName>
    <definedName name="OSRRefD22_12x_0" localSheetId="95">'450'!$D$64:$D$69</definedName>
    <definedName name="OSRRefD22_12x_0" localSheetId="75">'491'!$D$73</definedName>
    <definedName name="OSRRefD22_12x_0" localSheetId="89">'492'!$D$67:$D$69</definedName>
    <definedName name="OSRRefD22_12x_0" localSheetId="39">'Div 2'!$D$61:$D$64</definedName>
    <definedName name="OSRRefD22_12x_0" localSheetId="47">'Div 3'!$D$199</definedName>
    <definedName name="OSRRefD22_12x_0" localSheetId="73">'Div 4'!$D$75</definedName>
    <definedName name="OSRRefD22_12x_0" localSheetId="2">Summary!$D$232</definedName>
    <definedName name="OSRRefD22_13x_0" localSheetId="41">'201'!$D$60</definedName>
    <definedName name="OSRRefD22_13x_0" localSheetId="43">'203'!$D$61</definedName>
    <definedName name="OSRRefD22_13x_0" localSheetId="48">'300'!$D$195</definedName>
    <definedName name="OSRRefD22_13x_0" localSheetId="49">'300 &amp; 317'!$D$217</definedName>
    <definedName name="OSRRefD22_13x_0" localSheetId="50">'301'!$D$60</definedName>
    <definedName name="OSRRefD22_13x_0" localSheetId="55">'308'!$D$103</definedName>
    <definedName name="OSRRefD22_13x_0" localSheetId="66">'310'!$D$70</definedName>
    <definedName name="OSRRefD22_13x_0" localSheetId="74">'310 &amp; 491'!$D$82</definedName>
    <definedName name="OSRRefD22_13x_0" localSheetId="56">'311'!$D$102</definedName>
    <definedName name="OSRRefD22_13x_0" localSheetId="59">'315'!$D$93</definedName>
    <definedName name="OSRRefD22_13x_0" localSheetId="70">'322'!$D$67</definedName>
    <definedName name="OSRRefD22_13x_0" localSheetId="71">'325'!$D$64:$D$69</definedName>
    <definedName name="OSRRefD22_13x_0" localSheetId="60">'326'!$D$92:$D$94</definedName>
    <definedName name="OSRRefD22_13x_0" localSheetId="58">'331'!$D$105</definedName>
    <definedName name="OSRRefD22_13x_0" localSheetId="76">'405'!$D$64:$D$70</definedName>
    <definedName name="OSRRefD22_13x_0" localSheetId="78">'411'!$D$72:$D$74</definedName>
    <definedName name="OSRRefD22_13x_0" localSheetId="79">'412'!$D$69</definedName>
    <definedName name="OSRRefD22_13x_0" localSheetId="81">'414'!$D$67</definedName>
    <definedName name="OSRRefD22_13x_0" localSheetId="82">'415'!$D$66</definedName>
    <definedName name="OSRRefD22_13x_0" localSheetId="83">'418'!$D$70</definedName>
    <definedName name="OSRRefD22_13x_0" localSheetId="87">'425'!$D$68</definedName>
    <definedName name="OSRRefD22_13x_0" localSheetId="91">'433'!$D$72:$D$73</definedName>
    <definedName name="OSRRefD22_13x_0" localSheetId="93">'444'!$D$73</definedName>
    <definedName name="OSRRefD22_13x_0" localSheetId="95">'450'!$D$71</definedName>
    <definedName name="OSRRefD22_13x_0" localSheetId="75">'491'!$D$75:$D$77</definedName>
    <definedName name="OSRRefD22_13x_0" localSheetId="89">'492'!$D$71:$D$77</definedName>
    <definedName name="OSRRefD22_13x_0" localSheetId="39">'Div 2'!$D$66:$D$68</definedName>
    <definedName name="OSRRefD22_13x_0" localSheetId="47">'Div 3'!$D$201</definedName>
    <definedName name="OSRRefD22_13x_0" localSheetId="73">'Div 4'!$D$77</definedName>
    <definedName name="OSRRefD22_13x_0" localSheetId="2">Summary!$D$234</definedName>
    <definedName name="OSRRefD22_14x_0" localSheetId="41">'201'!$D$62</definedName>
    <definedName name="OSRRefD22_14x_0" localSheetId="43">'203'!$D$63</definedName>
    <definedName name="OSRRefD22_14x_0" localSheetId="48">'300'!$D$197</definedName>
    <definedName name="OSRRefD22_14x_0" localSheetId="49">'300 &amp; 317'!$D$219</definedName>
    <definedName name="OSRRefD22_14x_0" localSheetId="50">'301'!$D$62:$D$64</definedName>
    <definedName name="OSRRefD22_14x_0" localSheetId="55">'308'!$D$105</definedName>
    <definedName name="OSRRefD22_14x_0" localSheetId="66">'310'!$D$72</definedName>
    <definedName name="OSRRefD22_14x_0" localSheetId="74">'310 &amp; 491'!$D$84</definedName>
    <definedName name="OSRRefD22_14x_0" localSheetId="56">'311'!$D$104</definedName>
    <definedName name="OSRRefD22_14x_0" localSheetId="59">'315'!$D$95</definedName>
    <definedName name="OSRRefD22_14x_0" localSheetId="71">'325'!$D$71</definedName>
    <definedName name="OSRRefD22_14x_0" localSheetId="60">'326'!$D$96</definedName>
    <definedName name="OSRRefD22_14x_0" localSheetId="58">'331'!$D$107:$D$108</definedName>
    <definedName name="OSRRefD22_14x_0" localSheetId="76">'405'!$D$72</definedName>
    <definedName name="OSRRefD22_14x_0" localSheetId="78">'411'!$D$76</definedName>
    <definedName name="OSRRefD22_14x_0" localSheetId="81">'414'!$D$69</definedName>
    <definedName name="OSRRefD22_14x_0" localSheetId="82">'415'!$D$68:$D$74</definedName>
    <definedName name="OSRRefD22_14x_0" localSheetId="83">'418'!$D$72</definedName>
    <definedName name="OSRRefD22_14x_0" localSheetId="87">'425'!$D$70</definedName>
    <definedName name="OSRRefD22_14x_0" localSheetId="93">'444'!$D$75</definedName>
    <definedName name="OSRRefD22_14x_0" localSheetId="95">'450'!$D$73</definedName>
    <definedName name="OSRRefD22_14x_0" localSheetId="75">'491'!$D$79:$D$80</definedName>
    <definedName name="OSRRefD22_14x_0" localSheetId="89">'492'!$D$79</definedName>
    <definedName name="OSRRefD22_14x_0" localSheetId="39">'Div 2'!$D$70:$D$71</definedName>
    <definedName name="OSRRefD22_14x_0" localSheetId="47">'Div 3'!$D$203</definedName>
    <definedName name="OSRRefD22_14x_0" localSheetId="73">'Div 4'!$D$79</definedName>
    <definedName name="OSRRefD22_14x_0" localSheetId="2">Summary!$D$236</definedName>
    <definedName name="OSRRefD22_15x_0" localSheetId="41">'201'!$D$64:$D$65</definedName>
    <definedName name="OSRRefD22_15x_0" localSheetId="48">'300'!$D$199</definedName>
    <definedName name="OSRRefD22_15x_0" localSheetId="49">'300 &amp; 317'!$D$221</definedName>
    <definedName name="OSRRefD22_15x_0" localSheetId="50">'301'!$D$66:$D$68</definedName>
    <definedName name="OSRRefD22_15x_0" localSheetId="66">'310'!$D$74</definedName>
    <definedName name="OSRRefD22_15x_0" localSheetId="74">'310 &amp; 491'!$D$86:$D$88</definedName>
    <definedName name="OSRRefD22_15x_0" localSheetId="71">'325'!$D$73</definedName>
    <definedName name="OSRRefD22_15x_0" localSheetId="60">'326'!$D$98:$D$101</definedName>
    <definedName name="OSRRefD22_15x_0" localSheetId="58">'331'!$D$110:$D$111</definedName>
    <definedName name="OSRRefD22_15x_0" localSheetId="76">'405'!$D$74</definedName>
    <definedName name="OSRRefD22_15x_0" localSheetId="82">'415'!$D$76</definedName>
    <definedName name="OSRRefD22_15x_0" localSheetId="87">'425'!$D$72</definedName>
    <definedName name="OSRRefD22_15x_0" localSheetId="93">'444'!$D$77</definedName>
    <definedName name="OSRRefD22_15x_0" localSheetId="95">'450'!$D$75:$D$76</definedName>
    <definedName name="OSRRefD22_15x_0" localSheetId="75">'491'!$D$82:$D$86</definedName>
    <definedName name="OSRRefD22_15x_0" localSheetId="89">'492'!$D$81</definedName>
    <definedName name="OSRRefD22_15x_0" localSheetId="39">'Div 2'!$D$73</definedName>
    <definedName name="OSRRefD22_15x_0" localSheetId="47">'Div 3'!$D$205</definedName>
    <definedName name="OSRRefD22_15x_0" localSheetId="73">'Div 4'!$D$81:$D$83</definedName>
    <definedName name="OSRRefD22_15x_0" localSheetId="2">Summary!$D$238</definedName>
    <definedName name="OSRRefD22_16x_0" localSheetId="48">'300'!$D$201:$D$203</definedName>
    <definedName name="OSRRefD22_16x_0" localSheetId="49">'300 &amp; 317'!$D$223:$D$225</definedName>
    <definedName name="OSRRefD22_16x_0" localSheetId="50">'301'!$D$70</definedName>
    <definedName name="OSRRefD22_16x_0" localSheetId="66">'310'!$D$76:$D$79</definedName>
    <definedName name="OSRRefD22_16x_0" localSheetId="74">'310 &amp; 491'!$D$90:$D$91</definedName>
    <definedName name="OSRRefD22_16x_0" localSheetId="60">'326'!$D$103</definedName>
    <definedName name="OSRRefD22_16x_0" localSheetId="58">'331'!$D$113:$D$115</definedName>
    <definedName name="OSRRefD22_16x_0" localSheetId="76">'405'!$D$76</definedName>
    <definedName name="OSRRefD22_16x_0" localSheetId="82">'415'!$D$78</definedName>
    <definedName name="OSRRefD22_16x_0" localSheetId="75">'491'!$D$88</definedName>
    <definedName name="OSRRefD22_16x_0" localSheetId="89">'492'!$D$83:$D$84</definedName>
    <definedName name="OSRRefD22_16x_0" localSheetId="39">'Div 2'!$D$75:$D$78</definedName>
    <definedName name="OSRRefD22_16x_0" localSheetId="47">'Div 3'!$D$207</definedName>
    <definedName name="OSRRefD22_16x_0" localSheetId="73">'Div 4'!$D$85:$D$86</definedName>
    <definedName name="OSRRefD22_16x_0" localSheetId="2">Summary!$D$240</definedName>
    <definedName name="OSRRefD22_17x_0" localSheetId="48">'300'!$D$205:$D$207</definedName>
    <definedName name="OSRRefD22_17x_0" localSheetId="49">'300 &amp; 317'!$D$227:$D$229</definedName>
    <definedName name="OSRRefD22_17x_0" localSheetId="50">'301'!$D$72:$D$76</definedName>
    <definedName name="OSRRefD22_17x_0" localSheetId="66">'310'!$D$81:$D$82</definedName>
    <definedName name="OSRRefD22_17x_0" localSheetId="74">'310 &amp; 491'!$D$93:$D$97</definedName>
    <definedName name="OSRRefD22_17x_0" localSheetId="60">'326'!$D$105</definedName>
    <definedName name="OSRRefD22_17x_0" localSheetId="58">'331'!$D$117</definedName>
    <definedName name="OSRRefD22_17x_0" localSheetId="82">'415'!$D$80</definedName>
    <definedName name="OSRRefD22_17x_0" localSheetId="75">'491'!$D$90:$D$97</definedName>
    <definedName name="OSRRefD22_17x_0" localSheetId="39">'Div 2'!$D$80:$D$81</definedName>
    <definedName name="OSRRefD22_17x_0" localSheetId="47">'Div 3'!$D$209:$D$211</definedName>
    <definedName name="OSRRefD22_17x_0" localSheetId="73">'Div 4'!$D$88:$D$92</definedName>
    <definedName name="OSRRefD22_17x_0" localSheetId="2">Summary!$D$242</definedName>
    <definedName name="OSRRefD22_18x_0" localSheetId="48">'300'!$D$209:$D$212</definedName>
    <definedName name="OSRRefD22_18x_0" localSheetId="49">'300 &amp; 317'!$D$231:$D$234</definedName>
    <definedName name="OSRRefD22_18x_0" localSheetId="50">'301'!$D$78</definedName>
    <definedName name="OSRRefD22_18x_0" localSheetId="66">'310'!$D$84:$D$90</definedName>
    <definedName name="OSRRefD22_18x_0" localSheetId="74">'310 &amp; 491'!$D$99:$D$100</definedName>
    <definedName name="OSRRefD22_18x_0" localSheetId="60">'326'!$D$107</definedName>
    <definedName name="OSRRefD22_18x_0" localSheetId="58">'331'!$D$119:$D$123</definedName>
    <definedName name="OSRRefD22_18x_0" localSheetId="75">'491'!$D$99</definedName>
    <definedName name="OSRRefD22_18x_0" localSheetId="39">'Div 2'!$D$83</definedName>
    <definedName name="OSRRefD22_18x_0" localSheetId="47">'Div 3'!$D$213:$D$215</definedName>
    <definedName name="OSRRefD22_18x_0" localSheetId="73">'Div 4'!$D$94</definedName>
    <definedName name="OSRRefD22_18x_0" localSheetId="2">Summary!$D$244:$D$246</definedName>
    <definedName name="OSRRefD22_19x_0" localSheetId="48">'300'!$D$214:$D$215</definedName>
    <definedName name="OSRRefD22_19x_0" localSheetId="49">'300 &amp; 317'!$D$236:$D$237</definedName>
    <definedName name="OSRRefD22_19x_0" localSheetId="50">'301'!$D$80</definedName>
    <definedName name="OSRRefD22_19x_0" localSheetId="66">'310'!$D$92</definedName>
    <definedName name="OSRRefD22_19x_0" localSheetId="74">'310 &amp; 491'!$D$102:$D$109</definedName>
    <definedName name="OSRRefD22_19x_0" localSheetId="58">'331'!$D$125</definedName>
    <definedName name="OSRRefD22_19x_0" localSheetId="75">'491'!$D$101</definedName>
    <definedName name="OSRRefD22_19x_0" localSheetId="39">'Div 2'!$D$85:$D$86</definedName>
    <definedName name="OSRRefD22_19x_0" localSheetId="47">'Div 3'!$D$217:$D$221</definedName>
    <definedName name="OSRRefD22_19x_0" localSheetId="73">'Div 4'!$D$96:$D$103</definedName>
    <definedName name="OSRRefD22_19x_0" localSheetId="2">Summary!$D$248:$D$250</definedName>
    <definedName name="OSRRefD22_1x_0" localSheetId="40">'200'!$D$22</definedName>
    <definedName name="OSRRefD22_1x_0" localSheetId="41">'201'!$D$30:$D$32</definedName>
    <definedName name="OSRRefD22_1x_0" localSheetId="42">'202'!$D$29:$D$32</definedName>
    <definedName name="OSRRefD22_1x_0" localSheetId="43">'203'!$D$30:$D$33</definedName>
    <definedName name="OSRRefD22_1x_0" localSheetId="44">'204'!$D$30:$D$34</definedName>
    <definedName name="OSRRefD22_1x_0" localSheetId="45">'205'!$D$29</definedName>
    <definedName name="OSRRefD22_1x_0" localSheetId="46">'206'!$D$29:$D$34</definedName>
    <definedName name="OSRRefD22_1x_0" localSheetId="48">'300'!$D$162:$D$168</definedName>
    <definedName name="OSRRefD22_1x_0" localSheetId="49">'300 &amp; 317'!$D$184:$D$190</definedName>
    <definedName name="OSRRefD22_1x_0" localSheetId="50">'301'!$D$29:$D$34</definedName>
    <definedName name="OSRRefD22_1x_0" localSheetId="51">'306'!$D$30:$D$34</definedName>
    <definedName name="OSRRefD22_1x_0" localSheetId="53">'307'!$D$73:$D$75</definedName>
    <definedName name="OSRRefD22_1x_0" localSheetId="55">'308'!$D$69:$D$73</definedName>
    <definedName name="OSRRefD22_1x_0" localSheetId="67">'309'!$D$33:$D$37</definedName>
    <definedName name="OSRRefD22_1x_0" localSheetId="66">'310'!$D$40:$D$45</definedName>
    <definedName name="OSRRefD22_1x_0" localSheetId="74">'310 &amp; 491'!$D$49:$D$55</definedName>
    <definedName name="OSRRefD22_1x_0" localSheetId="56">'311'!$D$68:$D$72</definedName>
    <definedName name="OSRRefD22_1x_0" localSheetId="68">'313'!$D$37:$D$41</definedName>
    <definedName name="OSRRefD22_1x_0" localSheetId="54">'314'!$D$63:$D$65</definedName>
    <definedName name="OSRRefD22_1x_0" localSheetId="59">'315'!$D$61:$D$65</definedName>
    <definedName name="OSRRefD22_1x_0" localSheetId="62">'316'!$D$41:$D$44</definedName>
    <definedName name="OSRRefD22_1x_0" localSheetId="65">'317'!$D$63:$D$66</definedName>
    <definedName name="OSRRefD22_1x_0" localSheetId="63">'320'!$D$37:$D$39</definedName>
    <definedName name="OSRRefD22_1x_0" localSheetId="69">'321'!$D$32:$D$36</definedName>
    <definedName name="OSRRefD22_1x_0" localSheetId="70">'322'!$D$33:$D$36</definedName>
    <definedName name="OSRRefD22_1x_0" localSheetId="71">'325'!$D$33:$D$37</definedName>
    <definedName name="OSRRefD22_1x_0" localSheetId="60">'326'!$D$65:$D$68</definedName>
    <definedName name="OSRRefD22_1x_0" localSheetId="72">'327'!$D$24</definedName>
    <definedName name="OSRRefD22_1x_0" localSheetId="52">'330'!$D$85:$D$87</definedName>
    <definedName name="OSRRefD22_1x_0" localSheetId="58">'331'!$D$77:$D$81</definedName>
    <definedName name="OSRRefD22_1x_0" localSheetId="61">'332'!$D$50:$D$53</definedName>
    <definedName name="OSRRefD22_1x_0" localSheetId="76">'405'!$D$33:$D$36</definedName>
    <definedName name="OSRRefD22_1x_0" localSheetId="77">'406'!$D$33:$D$37</definedName>
    <definedName name="OSRRefD22_1x_0" localSheetId="78">'411'!$D$30:$D$35</definedName>
    <definedName name="OSRRefD22_1x_0" localSheetId="79">'412'!$D$32:$D$37</definedName>
    <definedName name="OSRRefD22_1x_0" localSheetId="80">'413'!$D$33:$D$37</definedName>
    <definedName name="OSRRefD22_1x_0" localSheetId="81">'414'!$D$33:$D$37</definedName>
    <definedName name="OSRRefD22_1x_0" localSheetId="82">'415'!$D$33:$D$37</definedName>
    <definedName name="OSRRefD22_1x_0" localSheetId="83">'418'!$D$33:$D$38</definedName>
    <definedName name="OSRRefD22_1x_0" localSheetId="85">'423'!$D$30</definedName>
    <definedName name="OSRRefD22_1x_0" localSheetId="86">'424'!$D$28:$D$31</definedName>
    <definedName name="OSRRefD22_1x_0" localSheetId="87">'425'!$D$34:$D$38</definedName>
    <definedName name="OSRRefD22_1x_0" localSheetId="90">'430'!$D$29</definedName>
    <definedName name="OSRRefD22_1x_0" localSheetId="91">'433'!$D$36:$D$41</definedName>
    <definedName name="OSRRefD22_1x_0" localSheetId="92">'435'!$D$28:$D$29</definedName>
    <definedName name="OSRRefD22_1x_0" localSheetId="93">'444'!$D$35:$D$40</definedName>
    <definedName name="OSRRefD22_1x_0" localSheetId="95">'450'!$D$35:$D$40</definedName>
    <definedName name="OSRRefD22_1x_0" localSheetId="88">'455'!$D$28:$D$29</definedName>
    <definedName name="OSRRefD22_1x_0" localSheetId="75">'491'!$D$42:$D$48</definedName>
    <definedName name="OSRRefD22_1x_0" localSheetId="89">'492'!$D$38:$D$44</definedName>
    <definedName name="OSRRefD22_1x_0" localSheetId="97">'501'!$D$30:$D$35</definedName>
    <definedName name="OSRRefD22_1x_0" localSheetId="39">'Div 2'!$D$32:$D$38</definedName>
    <definedName name="OSRRefD22_1x_0" localSheetId="47">'Div 3'!$D$168:$D$174</definedName>
    <definedName name="OSRRefD22_1x_0" localSheetId="73">'Div 4'!$D$44:$D$50</definedName>
    <definedName name="OSRRefD22_1x_0" localSheetId="96">'Div 5'!$D$30:$D$35</definedName>
    <definedName name="OSRRefD22_1x_0" localSheetId="64">'Div 6'!$D$63:$D$66</definedName>
    <definedName name="OSRRefD22_1x_0" localSheetId="2">Summary!$D$199:$D$205</definedName>
    <definedName name="OSRRefD22_20x_0" localSheetId="48">'300'!$D$217:$D$222</definedName>
    <definedName name="OSRRefD22_20x_0" localSheetId="49">'300 &amp; 317'!$D$239:$D$244</definedName>
    <definedName name="OSRRefD22_20x_0" localSheetId="50">'301'!$D$82:$D$83</definedName>
    <definedName name="OSRRefD22_20x_0" localSheetId="66">'310'!$D$94</definedName>
    <definedName name="OSRRefD22_20x_0" localSheetId="74">'310 &amp; 491'!$D$111</definedName>
    <definedName name="OSRRefD22_20x_0" localSheetId="58">'331'!$D$127</definedName>
    <definedName name="OSRRefD22_20x_0" localSheetId="75">'491'!$D$103:$D$105</definedName>
    <definedName name="OSRRefD22_20x_0" localSheetId="47">'Div 3'!$D$223:$D$224</definedName>
    <definedName name="OSRRefD22_20x_0" localSheetId="73">'Div 4'!$D$105</definedName>
    <definedName name="OSRRefD22_20x_0" localSheetId="2">Summary!$D$252:$D$256</definedName>
    <definedName name="OSRRefD22_21x_0" localSheetId="48">'300'!$D$224:$D$225</definedName>
    <definedName name="OSRRefD22_21x_0" localSheetId="49">'300 &amp; 317'!$D$246:$D$247</definedName>
    <definedName name="OSRRefD22_21x_0" localSheetId="50">'301'!$D$85</definedName>
    <definedName name="OSRRefD22_21x_0" localSheetId="66">'310'!$D$96</definedName>
    <definedName name="OSRRefD22_21x_0" localSheetId="74">'310 &amp; 491'!$D$113</definedName>
    <definedName name="OSRRefD22_21x_0" localSheetId="58">'331'!$D$129</definedName>
    <definedName name="OSRRefD22_21x_0" localSheetId="75">'491'!$D$107</definedName>
    <definedName name="OSRRefD22_21x_0" localSheetId="47">'Div 3'!$D$226:$D$232</definedName>
    <definedName name="OSRRefD22_21x_0" localSheetId="73">'Div 4'!$D$107</definedName>
    <definedName name="OSRRefD22_21x_0" localSheetId="2">Summary!$D$258:$D$259</definedName>
    <definedName name="OSRRefD22_22x_0" localSheetId="48">'300'!$D$227</definedName>
    <definedName name="OSRRefD22_22x_0" localSheetId="49">'300 &amp; 317'!$D$249</definedName>
    <definedName name="OSRRefD22_22x_0" localSheetId="74">'310 &amp; 491'!$D$115:$D$117</definedName>
    <definedName name="OSRRefD22_22x_0" localSheetId="58">'331'!$D$131</definedName>
    <definedName name="OSRRefD22_22x_0" localSheetId="47">'Div 3'!$D$234:$D$235</definedName>
    <definedName name="OSRRefD22_22x_0" localSheetId="73">'Div 4'!$D$109:$D$111</definedName>
    <definedName name="OSRRefD22_22x_0" localSheetId="2">Summary!$D$261:$D$268</definedName>
    <definedName name="OSRRefD22_23x_0" localSheetId="48">'300'!$D$229:$D$231</definedName>
    <definedName name="OSRRefD22_23x_0" localSheetId="49">'300 &amp; 317'!$D$251:$D$253</definedName>
    <definedName name="OSRRefD22_23x_0" localSheetId="74">'310 &amp; 491'!$D$119</definedName>
    <definedName name="OSRRefD22_23x_0" localSheetId="47">'Div 3'!$D$237</definedName>
    <definedName name="OSRRefD22_23x_0" localSheetId="73">'Div 4'!$D$113</definedName>
    <definedName name="OSRRefD22_23x_0" localSheetId="2">Summary!$D$270:$D$271</definedName>
    <definedName name="OSRRefD22_24x_0" localSheetId="48">'300'!$D$233</definedName>
    <definedName name="OSRRefD22_24x_0" localSheetId="49">'300 &amp; 317'!$D$255</definedName>
    <definedName name="OSRRefD22_24x_0" localSheetId="47">'Div 3'!$D$239:$D$241</definedName>
    <definedName name="OSRRefD22_24x_0" localSheetId="2">Summary!$D$273</definedName>
    <definedName name="OSRRefD22_25x_0" localSheetId="47">'Div 3'!$D$243</definedName>
    <definedName name="OSRRefD22_25x_0" localSheetId="2">Summary!$D$275:$D$277</definedName>
    <definedName name="OSRRefD22_26x_0" localSheetId="2">Summary!$D$279</definedName>
    <definedName name="OSRRefD22_2x_0" localSheetId="40">'200'!$D$24</definedName>
    <definedName name="OSRRefD22_2x_0" localSheetId="41">'201'!$D$34</definedName>
    <definedName name="OSRRefD22_2x_0" localSheetId="42">'202'!$D$34</definedName>
    <definedName name="OSRRefD22_2x_0" localSheetId="43">'203'!$D$35</definedName>
    <definedName name="OSRRefD22_2x_0" localSheetId="44">'204'!$D$36</definedName>
    <definedName name="OSRRefD22_2x_0" localSheetId="45">'205'!$D$31</definedName>
    <definedName name="OSRRefD22_2x_0" localSheetId="46">'206'!$D$36</definedName>
    <definedName name="OSRRefD22_2x_0" localSheetId="48">'300'!$D$170</definedName>
    <definedName name="OSRRefD22_2x_0" localSheetId="49">'300 &amp; 317'!$D$192</definedName>
    <definedName name="OSRRefD22_2x_0" localSheetId="50">'301'!$D$36</definedName>
    <definedName name="OSRRefD22_2x_0" localSheetId="51">'306'!$D$36</definedName>
    <definedName name="OSRRefD22_2x_0" localSheetId="53">'307'!$D$77</definedName>
    <definedName name="OSRRefD22_2x_0" localSheetId="55">'308'!$D$75</definedName>
    <definedName name="OSRRefD22_2x_0" localSheetId="67">'309'!$D$39</definedName>
    <definedName name="OSRRefD22_2x_0" localSheetId="66">'310'!$D$47</definedName>
    <definedName name="OSRRefD22_2x_0" localSheetId="74">'310 &amp; 491'!$D$57</definedName>
    <definedName name="OSRRefD22_2x_0" localSheetId="56">'311'!$D$74</definedName>
    <definedName name="OSRRefD22_2x_0" localSheetId="68">'313'!$D$43</definedName>
    <definedName name="OSRRefD22_2x_0" localSheetId="54">'314'!$D$67</definedName>
    <definedName name="OSRRefD22_2x_0" localSheetId="59">'315'!$D$67</definedName>
    <definedName name="OSRRefD22_2x_0" localSheetId="62">'316'!$D$46</definedName>
    <definedName name="OSRRefD22_2x_0" localSheetId="65">'317'!$D$68</definedName>
    <definedName name="OSRRefD22_2x_0" localSheetId="63">'320'!$D$41</definedName>
    <definedName name="OSRRefD22_2x_0" localSheetId="69">'321'!$D$38</definedName>
    <definedName name="OSRRefD22_2x_0" localSheetId="70">'322'!$D$38</definedName>
    <definedName name="OSRRefD22_2x_0" localSheetId="71">'325'!$D$39</definedName>
    <definedName name="OSRRefD22_2x_0" localSheetId="60">'326'!$D$70</definedName>
    <definedName name="OSRRefD22_2x_0" localSheetId="52">'330'!$D$89</definedName>
    <definedName name="OSRRefD22_2x_0" localSheetId="58">'331'!$D$83</definedName>
    <definedName name="OSRRefD22_2x_0" localSheetId="61">'332'!$D$55</definedName>
    <definedName name="OSRRefD22_2x_0" localSheetId="76">'405'!$D$38</definedName>
    <definedName name="OSRRefD22_2x_0" localSheetId="77">'406'!$D$39</definedName>
    <definedName name="OSRRefD22_2x_0" localSheetId="78">'411'!$D$37</definedName>
    <definedName name="OSRRefD22_2x_0" localSheetId="79">'412'!$D$39</definedName>
    <definedName name="OSRRefD22_2x_0" localSheetId="80">'413'!$D$39</definedName>
    <definedName name="OSRRefD22_2x_0" localSheetId="81">'414'!$D$39</definedName>
    <definedName name="OSRRefD22_2x_0" localSheetId="82">'415'!$D$39</definedName>
    <definedName name="OSRRefD22_2x_0" localSheetId="83">'418'!$D$40</definedName>
    <definedName name="OSRRefD22_2x_0" localSheetId="85">'423'!$D$32</definedName>
    <definedName name="OSRRefD22_2x_0" localSheetId="86">'424'!$D$33</definedName>
    <definedName name="OSRRefD22_2x_0" localSheetId="87">'425'!$D$40</definedName>
    <definedName name="OSRRefD22_2x_0" localSheetId="90">'430'!$D$31</definedName>
    <definedName name="OSRRefD22_2x_0" localSheetId="91">'433'!$D$43</definedName>
    <definedName name="OSRRefD22_2x_0" localSheetId="92">'435'!$D$31</definedName>
    <definedName name="OSRRefD22_2x_0" localSheetId="93">'444'!$D$42</definedName>
    <definedName name="OSRRefD22_2x_0" localSheetId="95">'450'!$D$42</definedName>
    <definedName name="OSRRefD22_2x_0" localSheetId="75">'491'!$D$50</definedName>
    <definedName name="OSRRefD22_2x_0" localSheetId="89">'492'!$D$46</definedName>
    <definedName name="OSRRefD22_2x_0" localSheetId="97">'501'!$D$37</definedName>
    <definedName name="OSRRefD22_2x_0" localSheetId="39">'Div 2'!$D$40</definedName>
    <definedName name="OSRRefD22_2x_0" localSheetId="47">'Div 3'!$D$176</definedName>
    <definedName name="OSRRefD22_2x_0" localSheetId="73">'Div 4'!$D$52</definedName>
    <definedName name="OSRRefD22_2x_0" localSheetId="96">'Div 5'!$D$37</definedName>
    <definedName name="OSRRefD22_2x_0" localSheetId="64">'Div 6'!$D$68</definedName>
    <definedName name="OSRRefD22_2x_0" localSheetId="2">Summary!$D$207</definedName>
    <definedName name="OSRRefD22_3x_0" localSheetId="40">'200'!$D$26</definedName>
    <definedName name="OSRRefD22_3x_0" localSheetId="41">'201'!$D$36</definedName>
    <definedName name="OSRRefD22_3x_0" localSheetId="42">'202'!$D$36</definedName>
    <definedName name="OSRRefD22_3x_0" localSheetId="43">'203'!$D$37</definedName>
    <definedName name="OSRRefD22_3x_0" localSheetId="44">'204'!$D$38:$D$39</definedName>
    <definedName name="OSRRefD22_3x_0" localSheetId="45">'205'!$D$33</definedName>
    <definedName name="OSRRefD22_3x_0" localSheetId="46">'206'!$D$38</definedName>
    <definedName name="OSRRefD22_3x_0" localSheetId="48">'300'!$D$172</definedName>
    <definedName name="OSRRefD22_3x_0" localSheetId="49">'300 &amp; 317'!$D$194</definedName>
    <definedName name="OSRRefD22_3x_0" localSheetId="50">'301'!$D$38</definedName>
    <definedName name="OSRRefD22_3x_0" localSheetId="51">'306'!$D$38</definedName>
    <definedName name="OSRRefD22_3x_0" localSheetId="53">'307'!$D$79</definedName>
    <definedName name="OSRRefD22_3x_0" localSheetId="55">'308'!$D$77:$D$78</definedName>
    <definedName name="OSRRefD22_3x_0" localSheetId="67">'309'!$D$41</definedName>
    <definedName name="OSRRefD22_3x_0" localSheetId="66">'310'!$D$49</definedName>
    <definedName name="OSRRefD22_3x_0" localSheetId="74">'310 &amp; 491'!$D$59</definedName>
    <definedName name="OSRRefD22_3x_0" localSheetId="56">'311'!$D$76:$D$77</definedName>
    <definedName name="OSRRefD22_3x_0" localSheetId="68">'313'!$D$45</definedName>
    <definedName name="OSRRefD22_3x_0" localSheetId="54">'314'!$D$69:$D$70</definedName>
    <definedName name="OSRRefD22_3x_0" localSheetId="59">'315'!$D$69</definedName>
    <definedName name="OSRRefD22_3x_0" localSheetId="62">'316'!$D$48</definedName>
    <definedName name="OSRRefD22_3x_0" localSheetId="65">'317'!$D$70</definedName>
    <definedName name="OSRRefD22_3x_0" localSheetId="63">'320'!$D$43:$D$44</definedName>
    <definedName name="OSRRefD22_3x_0" localSheetId="69">'321'!$D$40</definedName>
    <definedName name="OSRRefD22_3x_0" localSheetId="70">'322'!$D$40</definedName>
    <definedName name="OSRRefD22_3x_0" localSheetId="71">'325'!$D$41</definedName>
    <definedName name="OSRRefD22_3x_0" localSheetId="60">'326'!$D$72</definedName>
    <definedName name="OSRRefD22_3x_0" localSheetId="52">'330'!$D$91</definedName>
    <definedName name="OSRRefD22_3x_0" localSheetId="58">'331'!$D$85</definedName>
    <definedName name="OSRRefD22_3x_0" localSheetId="61">'332'!$D$57</definedName>
    <definedName name="OSRRefD22_3x_0" localSheetId="76">'405'!$D$40</definedName>
    <definedName name="OSRRefD22_3x_0" localSheetId="77">'406'!$D$41</definedName>
    <definedName name="OSRRefD22_3x_0" localSheetId="78">'411'!$D$39:$D$41</definedName>
    <definedName name="OSRRefD22_3x_0" localSheetId="79">'412'!$D$41</definedName>
    <definedName name="OSRRefD22_3x_0" localSheetId="80">'413'!$D$41</definedName>
    <definedName name="OSRRefD22_3x_0" localSheetId="81">'414'!$D$41</definedName>
    <definedName name="OSRRefD22_3x_0" localSheetId="82">'415'!$D$41</definedName>
    <definedName name="OSRRefD22_3x_0" localSheetId="83">'418'!$D$42</definedName>
    <definedName name="OSRRefD22_3x_0" localSheetId="85">'423'!$D$34</definedName>
    <definedName name="OSRRefD22_3x_0" localSheetId="86">'424'!$D$35</definedName>
    <definedName name="OSRRefD22_3x_0" localSheetId="87">'425'!$D$42</definedName>
    <definedName name="OSRRefD22_3x_0" localSheetId="90">'430'!$D$33</definedName>
    <definedName name="OSRRefD22_3x_0" localSheetId="91">'433'!$D$45</definedName>
    <definedName name="OSRRefD22_3x_0" localSheetId="92">'435'!$D$33</definedName>
    <definedName name="OSRRefD22_3x_0" localSheetId="93">'444'!$D$44</definedName>
    <definedName name="OSRRefD22_3x_0" localSheetId="95">'450'!$D$44</definedName>
    <definedName name="OSRRefD22_3x_0" localSheetId="75">'491'!$D$52</definedName>
    <definedName name="OSRRefD22_3x_0" localSheetId="89">'492'!$D$48</definedName>
    <definedName name="OSRRefD22_3x_0" localSheetId="97">'501'!$D$39</definedName>
    <definedName name="OSRRefD22_3x_0" localSheetId="39">'Div 2'!$D$42</definedName>
    <definedName name="OSRRefD22_3x_0" localSheetId="47">'Div 3'!$D$178</definedName>
    <definedName name="OSRRefD22_3x_0" localSheetId="73">'Div 4'!$D$54</definedName>
    <definedName name="OSRRefD22_3x_0" localSheetId="96">'Div 5'!$D$39</definedName>
    <definedName name="OSRRefD22_3x_0" localSheetId="64">'Div 6'!$D$70</definedName>
    <definedName name="OSRRefD22_3x_0" localSheetId="2">Summary!$D$209</definedName>
    <definedName name="OSRRefD22_4x_0" localSheetId="41">'201'!$D$38</definedName>
    <definedName name="OSRRefD22_4x_0" localSheetId="42">'202'!$D$38</definedName>
    <definedName name="OSRRefD22_4x_0" localSheetId="43">'203'!$D$39</definedName>
    <definedName name="OSRRefD22_4x_0" localSheetId="44">'204'!$D$41</definedName>
    <definedName name="OSRRefD22_4x_0" localSheetId="45">'205'!$D$35:$D$36</definedName>
    <definedName name="OSRRefD22_4x_0" localSheetId="46">'206'!$D$40:$D$41</definedName>
    <definedName name="OSRRefD22_4x_0" localSheetId="48">'300'!$D$174</definedName>
    <definedName name="OSRRefD22_4x_0" localSheetId="49">'300 &amp; 317'!$D$196</definedName>
    <definedName name="OSRRefD22_4x_0" localSheetId="50">'301'!$D$40</definedName>
    <definedName name="OSRRefD22_4x_0" localSheetId="51">'306'!$D$40</definedName>
    <definedName name="OSRRefD22_4x_0" localSheetId="53">'307'!$D$81:$D$82</definedName>
    <definedName name="OSRRefD22_4x_0" localSheetId="55">'308'!$D$80</definedName>
    <definedName name="OSRRefD22_4x_0" localSheetId="67">'309'!$D$43</definedName>
    <definedName name="OSRRefD22_4x_0" localSheetId="66">'310'!$D$51</definedName>
    <definedName name="OSRRefD22_4x_0" localSheetId="74">'310 &amp; 491'!$D$61</definedName>
    <definedName name="OSRRefD22_4x_0" localSheetId="56">'311'!$D$79</definedName>
    <definedName name="OSRRefD22_4x_0" localSheetId="68">'313'!$D$47</definedName>
    <definedName name="OSRRefD22_4x_0" localSheetId="54">'314'!$D$72</definedName>
    <definedName name="OSRRefD22_4x_0" localSheetId="59">'315'!$D$71</definedName>
    <definedName name="OSRRefD22_4x_0" localSheetId="62">'316'!$D$50</definedName>
    <definedName name="OSRRefD22_4x_0" localSheetId="65">'317'!$D$72</definedName>
    <definedName name="OSRRefD22_4x_0" localSheetId="63">'320'!$D$46</definedName>
    <definedName name="OSRRefD22_4x_0" localSheetId="69">'321'!$D$42</definedName>
    <definedName name="OSRRefD22_4x_0" localSheetId="70">'322'!$D$42</definedName>
    <definedName name="OSRRefD22_4x_0" localSheetId="71">'325'!$D$43</definedName>
    <definedName name="OSRRefD22_4x_0" localSheetId="60">'326'!$D$74</definedName>
    <definedName name="OSRRefD22_4x_0" localSheetId="52">'330'!$D$93:$D$94</definedName>
    <definedName name="OSRRefD22_4x_0" localSheetId="58">'331'!$D$87</definedName>
    <definedName name="OSRRefD22_4x_0" localSheetId="61">'332'!$D$59</definedName>
    <definedName name="OSRRefD22_4x_0" localSheetId="76">'405'!$D$42</definedName>
    <definedName name="OSRRefD22_4x_0" localSheetId="77">'406'!$D$43</definedName>
    <definedName name="OSRRefD22_4x_0" localSheetId="78">'411'!$D$43</definedName>
    <definedName name="OSRRefD22_4x_0" localSheetId="79">'412'!$D$43</definedName>
    <definedName name="OSRRefD22_4x_0" localSheetId="80">'413'!$D$43</definedName>
    <definedName name="OSRRefD22_4x_0" localSheetId="81">'414'!$D$43</definedName>
    <definedName name="OSRRefD22_4x_0" localSheetId="82">'415'!$D$43</definedName>
    <definedName name="OSRRefD22_4x_0" localSheetId="83">'418'!$D$44</definedName>
    <definedName name="OSRRefD22_4x_0" localSheetId="85">'423'!$D$36</definedName>
    <definedName name="OSRRefD22_4x_0" localSheetId="86">'424'!$D$37</definedName>
    <definedName name="OSRRefD22_4x_0" localSheetId="87">'425'!$D$44</definedName>
    <definedName name="OSRRefD22_4x_0" localSheetId="90">'430'!$D$35:$D$36</definedName>
    <definedName name="OSRRefD22_4x_0" localSheetId="91">'433'!$D$47</definedName>
    <definedName name="OSRRefD22_4x_0" localSheetId="92">'435'!$D$35</definedName>
    <definedName name="OSRRefD22_4x_0" localSheetId="93">'444'!$D$46</definedName>
    <definedName name="OSRRefD22_4x_0" localSheetId="95">'450'!$D$46</definedName>
    <definedName name="OSRRefD22_4x_0" localSheetId="75">'491'!$D$54</definedName>
    <definedName name="OSRRefD22_4x_0" localSheetId="89">'492'!$D$50</definedName>
    <definedName name="OSRRefD22_4x_0" localSheetId="97">'501'!$D$41</definedName>
    <definedName name="OSRRefD22_4x_0" localSheetId="39">'Div 2'!$D$44</definedName>
    <definedName name="OSRRefD22_4x_0" localSheetId="47">'Div 3'!$D$180</definedName>
    <definedName name="OSRRefD22_4x_0" localSheetId="73">'Div 4'!$D$56</definedName>
    <definedName name="OSRRefD22_4x_0" localSheetId="96">'Div 5'!$D$41</definedName>
    <definedName name="OSRRefD22_4x_0" localSheetId="64">'Div 6'!$D$72</definedName>
    <definedName name="OSRRefD22_4x_0" localSheetId="2">Summary!$D$211</definedName>
    <definedName name="OSRRefD22_5x_0" localSheetId="41">'201'!$D$40</definedName>
    <definedName name="OSRRefD22_5x_0" localSheetId="42">'202'!$D$40</definedName>
    <definedName name="OSRRefD22_5x_0" localSheetId="43">'203'!$D$41</definedName>
    <definedName name="OSRRefD22_5x_0" localSheetId="44">'204'!$D$43</definedName>
    <definedName name="OSRRefD22_5x_0" localSheetId="45">'205'!$D$38</definedName>
    <definedName name="OSRRefD22_5x_0" localSheetId="46">'206'!$D$43</definedName>
    <definedName name="OSRRefD22_5x_0" localSheetId="48">'300'!$D$176:$D$177</definedName>
    <definedName name="OSRRefD22_5x_0" localSheetId="49">'300 &amp; 317'!$D$198:$D$199</definedName>
    <definedName name="OSRRefD22_5x_0" localSheetId="50">'301'!$D$42:$D$43</definedName>
    <definedName name="OSRRefD22_5x_0" localSheetId="51">'306'!$D$42:$D$44</definedName>
    <definedName name="OSRRefD22_5x_0" localSheetId="53">'307'!$D$84</definedName>
    <definedName name="OSRRefD22_5x_0" localSheetId="55">'308'!$D$82</definedName>
    <definedName name="OSRRefD22_5x_0" localSheetId="67">'309'!$D$45</definedName>
    <definedName name="OSRRefD22_5x_0" localSheetId="66">'310'!$D$53:$D$54</definedName>
    <definedName name="OSRRefD22_5x_0" localSheetId="74">'310 &amp; 491'!$D$63:$D$65</definedName>
    <definedName name="OSRRefD22_5x_0" localSheetId="56">'311'!$D$81</definedName>
    <definedName name="OSRRefD22_5x_0" localSheetId="68">'313'!$D$49</definedName>
    <definedName name="OSRRefD22_5x_0" localSheetId="54">'314'!$D$74:$D$75</definedName>
    <definedName name="OSRRefD22_5x_0" localSheetId="59">'315'!$D$73</definedName>
    <definedName name="OSRRefD22_5x_0" localSheetId="62">'316'!$D$52</definedName>
    <definedName name="OSRRefD22_5x_0" localSheetId="65">'317'!$D$74</definedName>
    <definedName name="OSRRefD22_5x_0" localSheetId="63">'320'!$D$48:$D$49</definedName>
    <definedName name="OSRRefD22_5x_0" localSheetId="69">'321'!$D$44</definedName>
    <definedName name="OSRRefD22_5x_0" localSheetId="70">'322'!$D$44</definedName>
    <definedName name="OSRRefD22_5x_0" localSheetId="71">'325'!$D$45:$D$46</definedName>
    <definedName name="OSRRefD22_5x_0" localSheetId="60">'326'!$D$76</definedName>
    <definedName name="OSRRefD22_5x_0" localSheetId="52">'330'!$D$96</definedName>
    <definedName name="OSRRefD22_5x_0" localSheetId="58">'331'!$D$89</definedName>
    <definedName name="OSRRefD22_5x_0" localSheetId="61">'332'!$D$61:$D$62</definedName>
    <definedName name="OSRRefD22_5x_0" localSheetId="76">'405'!$D$44:$D$45</definedName>
    <definedName name="OSRRefD22_5x_0" localSheetId="77">'406'!$D$45</definedName>
    <definedName name="OSRRefD22_5x_0" localSheetId="78">'411'!$D$45</definedName>
    <definedName name="OSRRefD22_5x_0" localSheetId="79">'412'!$D$45</definedName>
    <definedName name="OSRRefD22_5x_0" localSheetId="80">'413'!$D$45</definedName>
    <definedName name="OSRRefD22_5x_0" localSheetId="81">'414'!$D$45</definedName>
    <definedName name="OSRRefD22_5x_0" localSheetId="82">'415'!$D$45:$D$46</definedName>
    <definedName name="OSRRefD22_5x_0" localSheetId="83">'418'!$D$46:$D$47</definedName>
    <definedName name="OSRRefD22_5x_0" localSheetId="85">'423'!$D$38</definedName>
    <definedName name="OSRRefD22_5x_0" localSheetId="86">'424'!$D$39</definedName>
    <definedName name="OSRRefD22_5x_0" localSheetId="87">'425'!$D$46</definedName>
    <definedName name="OSRRefD22_5x_0" localSheetId="90">'430'!$D$38</definedName>
    <definedName name="OSRRefD22_5x_0" localSheetId="91">'433'!$D$49</definedName>
    <definedName name="OSRRefD22_5x_0" localSheetId="92">'435'!$D$37</definedName>
    <definedName name="OSRRefD22_5x_0" localSheetId="93">'444'!$D$48</definedName>
    <definedName name="OSRRefD22_5x_0" localSheetId="95">'450'!$D$48</definedName>
    <definedName name="OSRRefD22_5x_0" localSheetId="75">'491'!$D$56:$D$58</definedName>
    <definedName name="OSRRefD22_5x_0" localSheetId="89">'492'!$D$52</definedName>
    <definedName name="OSRRefD22_5x_0" localSheetId="97">'501'!$D$43</definedName>
    <definedName name="OSRRefD22_5x_0" localSheetId="39">'Div 2'!$D$46:$D$47</definedName>
    <definedName name="OSRRefD22_5x_0" localSheetId="47">'Div 3'!$D$182:$D$183</definedName>
    <definedName name="OSRRefD22_5x_0" localSheetId="73">'Div 4'!$D$58:$D$60</definedName>
    <definedName name="OSRRefD22_5x_0" localSheetId="96">'Div 5'!$D$43</definedName>
    <definedName name="OSRRefD22_5x_0" localSheetId="64">'Div 6'!$D$74</definedName>
    <definedName name="OSRRefD22_5x_0" localSheetId="2">Summary!$D$213:$D$215</definedName>
    <definedName name="OSRRefD22_6x_0" localSheetId="41">'201'!$D$42</definedName>
    <definedName name="OSRRefD22_6x_0" localSheetId="42">'202'!$D$42</definedName>
    <definedName name="OSRRefD22_6x_0" localSheetId="43">'203'!$D$43</definedName>
    <definedName name="OSRRefD22_6x_0" localSheetId="44">'204'!$D$45:$D$47</definedName>
    <definedName name="OSRRefD22_6x_0" localSheetId="45">'205'!$D$40:$D$41</definedName>
    <definedName name="OSRRefD22_6x_0" localSheetId="46">'206'!$D$45</definedName>
    <definedName name="OSRRefD22_6x_0" localSheetId="48">'300'!$D$179:$D$180</definedName>
    <definedName name="OSRRefD22_6x_0" localSheetId="49">'300 &amp; 317'!$D$201:$D$202</definedName>
    <definedName name="OSRRefD22_6x_0" localSheetId="50">'301'!$D$45:$D$46</definedName>
    <definedName name="OSRRefD22_6x_0" localSheetId="51">'306'!$D$46</definedName>
    <definedName name="OSRRefD22_6x_0" localSheetId="53">'307'!$D$86</definedName>
    <definedName name="OSRRefD22_6x_0" localSheetId="55">'308'!$D$84:$D$85</definedName>
    <definedName name="OSRRefD22_6x_0" localSheetId="67">'309'!$D$47</definedName>
    <definedName name="OSRRefD22_6x_0" localSheetId="66">'310'!$D$56</definedName>
    <definedName name="OSRRefD22_6x_0" localSheetId="74">'310 &amp; 491'!$D$67</definedName>
    <definedName name="OSRRefD22_6x_0" localSheetId="56">'311'!$D$83:$D$84</definedName>
    <definedName name="OSRRefD22_6x_0" localSheetId="68">'313'!$D$51</definedName>
    <definedName name="OSRRefD22_6x_0" localSheetId="54">'314'!$D$77</definedName>
    <definedName name="OSRRefD22_6x_0" localSheetId="59">'315'!$D$75</definedName>
    <definedName name="OSRRefD22_6x_0" localSheetId="62">'316'!$D$54</definedName>
    <definedName name="OSRRefD22_6x_0" localSheetId="65">'317'!$D$76</definedName>
    <definedName name="OSRRefD22_6x_0" localSheetId="63">'320'!$D$51</definedName>
    <definedName name="OSRRefD22_6x_0" localSheetId="69">'321'!$D$46</definedName>
    <definedName name="OSRRefD22_6x_0" localSheetId="70">'322'!$D$46</definedName>
    <definedName name="OSRRefD22_6x_0" localSheetId="71">'325'!$D$48</definedName>
    <definedName name="OSRRefD22_6x_0" localSheetId="60">'326'!$D$78</definedName>
    <definedName name="OSRRefD22_6x_0" localSheetId="52">'330'!$D$98</definedName>
    <definedName name="OSRRefD22_6x_0" localSheetId="58">'331'!$D$91</definedName>
    <definedName name="OSRRefD22_6x_0" localSheetId="61">'332'!$D$64</definedName>
    <definedName name="OSRRefD22_6x_0" localSheetId="76">'405'!$D$47</definedName>
    <definedName name="OSRRefD22_6x_0" localSheetId="77">'406'!$D$47</definedName>
    <definedName name="OSRRefD22_6x_0" localSheetId="78">'411'!$D$47</definedName>
    <definedName name="OSRRefD22_6x_0" localSheetId="79">'412'!$D$47</definedName>
    <definedName name="OSRRefD22_6x_0" localSheetId="80">'413'!$D$47</definedName>
    <definedName name="OSRRefD22_6x_0" localSheetId="81">'414'!$D$47</definedName>
    <definedName name="OSRRefD22_6x_0" localSheetId="82">'415'!$D$48</definedName>
    <definedName name="OSRRefD22_6x_0" localSheetId="83">'418'!$D$49</definedName>
    <definedName name="OSRRefD22_6x_0" localSheetId="86">'424'!$D$41</definedName>
    <definedName name="OSRRefD22_6x_0" localSheetId="87">'425'!$D$48</definedName>
    <definedName name="OSRRefD22_6x_0" localSheetId="90">'430'!$D$40</definedName>
    <definedName name="OSRRefD22_6x_0" localSheetId="91">'433'!$D$51</definedName>
    <definedName name="OSRRefD22_6x_0" localSheetId="92">'435'!$D$39:$D$40</definedName>
    <definedName name="OSRRefD22_6x_0" localSheetId="93">'444'!$D$50</definedName>
    <definedName name="OSRRefD22_6x_0" localSheetId="95">'450'!$D$50</definedName>
    <definedName name="OSRRefD22_6x_0" localSheetId="75">'491'!$D$60</definedName>
    <definedName name="OSRRefD22_6x_0" localSheetId="89">'492'!$D$54</definedName>
    <definedName name="OSRRefD22_6x_0" localSheetId="97">'501'!$D$45</definedName>
    <definedName name="OSRRefD22_6x_0" localSheetId="39">'Div 2'!$D$49</definedName>
    <definedName name="OSRRefD22_6x_0" localSheetId="47">'Div 3'!$D$185:$D$186</definedName>
    <definedName name="OSRRefD22_6x_0" localSheetId="73">'Div 4'!$D$62</definedName>
    <definedName name="OSRRefD22_6x_0" localSheetId="96">'Div 5'!$D$45</definedName>
    <definedName name="OSRRefD22_6x_0" localSheetId="64">'Div 6'!$D$76</definedName>
    <definedName name="OSRRefD22_6x_0" localSheetId="2">Summary!$D$217:$D$218</definedName>
    <definedName name="OSRRefD22_7x_0" localSheetId="41">'201'!$D$44</definedName>
    <definedName name="OSRRefD22_7x_0" localSheetId="42">'202'!$D$44</definedName>
    <definedName name="OSRRefD22_7x_0" localSheetId="43">'203'!$D$45</definedName>
    <definedName name="OSRRefD22_7x_0" localSheetId="44">'204'!$D$49:$D$50</definedName>
    <definedName name="OSRRefD22_7x_0" localSheetId="45">'205'!$D$43</definedName>
    <definedName name="OSRRefD22_7x_0" localSheetId="48">'300'!$D$182</definedName>
    <definedName name="OSRRefD22_7x_0" localSheetId="49">'300 &amp; 317'!$D$204</definedName>
    <definedName name="OSRRefD22_7x_0" localSheetId="50">'301'!$D$48</definedName>
    <definedName name="OSRRefD22_7x_0" localSheetId="51">'306'!$D$48</definedName>
    <definedName name="OSRRefD22_7x_0" localSheetId="53">'307'!$D$88</definedName>
    <definedName name="OSRRefD22_7x_0" localSheetId="55">'308'!$D$87</definedName>
    <definedName name="OSRRefD22_7x_0" localSheetId="67">'309'!$D$49</definedName>
    <definedName name="OSRRefD22_7x_0" localSheetId="66">'310'!$D$58</definedName>
    <definedName name="OSRRefD22_7x_0" localSheetId="74">'310 &amp; 491'!$D$69</definedName>
    <definedName name="OSRRefD22_7x_0" localSheetId="56">'311'!$D$86</definedName>
    <definedName name="OSRRefD22_7x_0" localSheetId="68">'313'!$D$53</definedName>
    <definedName name="OSRRefD22_7x_0" localSheetId="59">'315'!$D$77</definedName>
    <definedName name="OSRRefD22_7x_0" localSheetId="62">'316'!$D$56:$D$59</definedName>
    <definedName name="OSRRefD22_7x_0" localSheetId="65">'317'!$D$78</definedName>
    <definedName name="OSRRefD22_7x_0" localSheetId="69">'321'!$D$48</definedName>
    <definedName name="OSRRefD22_7x_0" localSheetId="70">'322'!$D$48</definedName>
    <definedName name="OSRRefD22_7x_0" localSheetId="71">'325'!$D$50</definedName>
    <definedName name="OSRRefD22_7x_0" localSheetId="60">'326'!$D$80</definedName>
    <definedName name="OSRRefD22_7x_0" localSheetId="52">'330'!$D$100</definedName>
    <definedName name="OSRRefD22_7x_0" localSheetId="58">'331'!$D$93</definedName>
    <definedName name="OSRRefD22_7x_0" localSheetId="61">'332'!$D$66</definedName>
    <definedName name="OSRRefD22_7x_0" localSheetId="76">'405'!$D$49</definedName>
    <definedName name="OSRRefD22_7x_0" localSheetId="77">'406'!$D$49</definedName>
    <definedName name="OSRRefD22_7x_0" localSheetId="78">'411'!$D$49</definedName>
    <definedName name="OSRRefD22_7x_0" localSheetId="79">'412'!$D$49</definedName>
    <definedName name="OSRRefD22_7x_0" localSheetId="80">'413'!$D$49</definedName>
    <definedName name="OSRRefD22_7x_0" localSheetId="81">'414'!$D$49</definedName>
    <definedName name="OSRRefD22_7x_0" localSheetId="82">'415'!$D$50</definedName>
    <definedName name="OSRRefD22_7x_0" localSheetId="83">'418'!$D$51</definedName>
    <definedName name="OSRRefD22_7x_0" localSheetId="86">'424'!$D$43:$D$44</definedName>
    <definedName name="OSRRefD22_7x_0" localSheetId="87">'425'!$D$50</definedName>
    <definedName name="OSRRefD22_7x_0" localSheetId="90">'430'!$D$42</definedName>
    <definedName name="OSRRefD22_7x_0" localSheetId="91">'433'!$D$53</definedName>
    <definedName name="OSRRefD22_7x_0" localSheetId="92">'435'!$D$42</definedName>
    <definedName name="OSRRefD22_7x_0" localSheetId="93">'444'!$D$52</definedName>
    <definedName name="OSRRefD22_7x_0" localSheetId="95">'450'!$D$52</definedName>
    <definedName name="OSRRefD22_7x_0" localSheetId="75">'491'!$D$62</definedName>
    <definedName name="OSRRefD22_7x_0" localSheetId="89">'492'!$D$56</definedName>
    <definedName name="OSRRefD22_7x_0" localSheetId="97">'501'!$D$47</definedName>
    <definedName name="OSRRefD22_7x_0" localSheetId="39">'Div 2'!$D$51</definedName>
    <definedName name="OSRRefD22_7x_0" localSheetId="47">'Div 3'!$D$188</definedName>
    <definedName name="OSRRefD22_7x_0" localSheetId="73">'Div 4'!$D$64</definedName>
    <definedName name="OSRRefD22_7x_0" localSheetId="96">'Div 5'!$D$47</definedName>
    <definedName name="OSRRefD22_7x_0" localSheetId="64">'Div 6'!$D$78</definedName>
    <definedName name="OSRRefD22_7x_0" localSheetId="2">Summary!$D$220</definedName>
    <definedName name="OSRRefD22_8x_0" localSheetId="41">'201'!$D$46</definedName>
    <definedName name="OSRRefD22_8x_0" localSheetId="42">'202'!$D$46</definedName>
    <definedName name="OSRRefD22_8x_0" localSheetId="43">'203'!$D$47:$D$48</definedName>
    <definedName name="OSRRefD22_8x_0" localSheetId="44">'204'!$D$52:$D$53</definedName>
    <definedName name="OSRRefD22_8x_0" localSheetId="48">'300'!$D$184</definedName>
    <definedName name="OSRRefD22_8x_0" localSheetId="49">'300 &amp; 317'!$D$206</definedName>
    <definedName name="OSRRefD22_8x_0" localSheetId="50">'301'!$D$50</definedName>
    <definedName name="OSRRefD22_8x_0" localSheetId="53">'307'!$D$90:$D$91</definedName>
    <definedName name="OSRRefD22_8x_0" localSheetId="55">'308'!$D$89</definedName>
    <definedName name="OSRRefD22_8x_0" localSheetId="67">'309'!$D$51:$D$52</definedName>
    <definedName name="OSRRefD22_8x_0" localSheetId="66">'310'!$D$60</definedName>
    <definedName name="OSRRefD22_8x_0" localSheetId="74">'310 &amp; 491'!$D$71</definedName>
    <definedName name="OSRRefD22_8x_0" localSheetId="56">'311'!$D$88</definedName>
    <definedName name="OSRRefD22_8x_0" localSheetId="68">'313'!$D$55</definedName>
    <definedName name="OSRRefD22_8x_0" localSheetId="59">'315'!$D$79</definedName>
    <definedName name="OSRRefD22_8x_0" localSheetId="62">'316'!$D$61</definedName>
    <definedName name="OSRRefD22_8x_0" localSheetId="65">'317'!$D$80</definedName>
    <definedName name="OSRRefD22_8x_0" localSheetId="69">'321'!$D$50:$D$51</definedName>
    <definedName name="OSRRefD22_8x_0" localSheetId="70">'322'!$D$50</definedName>
    <definedName name="OSRRefD22_8x_0" localSheetId="71">'325'!$D$52</definedName>
    <definedName name="OSRRefD22_8x_0" localSheetId="60">'326'!$D$82</definedName>
    <definedName name="OSRRefD22_8x_0" localSheetId="52">'330'!$D$102:$D$103</definedName>
    <definedName name="OSRRefD22_8x_0" localSheetId="58">'331'!$D$95</definedName>
    <definedName name="OSRRefD22_8x_0" localSheetId="61">'332'!$D$68</definedName>
    <definedName name="OSRRefD22_8x_0" localSheetId="76">'405'!$D$51</definedName>
    <definedName name="OSRRefD22_8x_0" localSheetId="77">'406'!$D$51</definedName>
    <definedName name="OSRRefD22_8x_0" localSheetId="78">'411'!$D$51:$D$53</definedName>
    <definedName name="OSRRefD22_8x_0" localSheetId="79">'412'!$D$51:$D$52</definedName>
    <definedName name="OSRRefD22_8x_0" localSheetId="80">'413'!$D$51</definedName>
    <definedName name="OSRRefD22_8x_0" localSheetId="81">'414'!$D$51</definedName>
    <definedName name="OSRRefD22_8x_0" localSheetId="82">'415'!$D$52</definedName>
    <definedName name="OSRRefD22_8x_0" localSheetId="83">'418'!$D$53:$D$54</definedName>
    <definedName name="OSRRefD22_8x_0" localSheetId="86">'424'!$D$46</definedName>
    <definedName name="OSRRefD22_8x_0" localSheetId="87">'425'!$D$52</definedName>
    <definedName name="OSRRefD22_8x_0" localSheetId="91">'433'!$D$55</definedName>
    <definedName name="OSRRefD22_8x_0" localSheetId="93">'444'!$D$54</definedName>
    <definedName name="OSRRefD22_8x_0" localSheetId="95">'450'!$D$54</definedName>
    <definedName name="OSRRefD22_8x_0" localSheetId="75">'491'!$D$64:$D$65</definedName>
    <definedName name="OSRRefD22_8x_0" localSheetId="89">'492'!$D$58</definedName>
    <definedName name="OSRRefD22_8x_0" localSheetId="97">'501'!$D$49</definedName>
    <definedName name="OSRRefD22_8x_0" localSheetId="39">'Div 2'!$D$53</definedName>
    <definedName name="OSRRefD22_8x_0" localSheetId="47">'Div 3'!$D$190</definedName>
    <definedName name="OSRRefD22_8x_0" localSheetId="73">'Div 4'!$D$66</definedName>
    <definedName name="OSRRefD22_8x_0" localSheetId="96">'Div 5'!$D$49</definedName>
    <definedName name="OSRRefD22_8x_0" localSheetId="64">'Div 6'!$D$80</definedName>
    <definedName name="OSRRefD22_8x_0" localSheetId="2">Summary!$D$222</definedName>
    <definedName name="OSRRefD22_9x_0" localSheetId="41">'201'!$D$48:$D$49</definedName>
    <definedName name="OSRRefD22_9x_0" localSheetId="42">'202'!$D$48:$D$49</definedName>
    <definedName name="OSRRefD22_9x_0" localSheetId="43">'203'!$D$50:$D$51</definedName>
    <definedName name="OSRRefD22_9x_0" localSheetId="44">'204'!$D$55</definedName>
    <definedName name="OSRRefD22_9x_0" localSheetId="48">'300'!$D$186</definedName>
    <definedName name="OSRRefD22_9x_0" localSheetId="49">'300 &amp; 317'!$D$208</definedName>
    <definedName name="OSRRefD22_9x_0" localSheetId="50">'301'!$D$52</definedName>
    <definedName name="OSRRefD22_9x_0" localSheetId="53">'307'!$D$93</definedName>
    <definedName name="OSRRefD22_9x_0" localSheetId="55">'308'!$D$91:$D$92</definedName>
    <definedName name="OSRRefD22_9x_0" localSheetId="67">'309'!$D$54</definedName>
    <definedName name="OSRRefD22_9x_0" localSheetId="66">'310'!$D$62</definedName>
    <definedName name="OSRRefD22_9x_0" localSheetId="74">'310 &amp; 491'!$D$73</definedName>
    <definedName name="OSRRefD22_9x_0" localSheetId="56">'311'!$D$90:$D$91</definedName>
    <definedName name="OSRRefD22_9x_0" localSheetId="68">'313'!$D$57</definedName>
    <definedName name="OSRRefD22_9x_0" localSheetId="59">'315'!$D$81:$D$82</definedName>
    <definedName name="OSRRefD22_9x_0" localSheetId="65">'317'!$D$82:$D$83</definedName>
    <definedName name="OSRRefD22_9x_0" localSheetId="69">'321'!$D$53:$D$57</definedName>
    <definedName name="OSRRefD22_9x_0" localSheetId="70">'322'!$D$52</definedName>
    <definedName name="OSRRefD22_9x_0" localSheetId="71">'325'!$D$54</definedName>
    <definedName name="OSRRefD22_9x_0" localSheetId="60">'326'!$D$84</definedName>
    <definedName name="OSRRefD22_9x_0" localSheetId="52">'330'!$D$105</definedName>
    <definedName name="OSRRefD22_9x_0" localSheetId="58">'331'!$D$97</definedName>
    <definedName name="OSRRefD22_9x_0" localSheetId="61">'332'!$D$70:$D$74</definedName>
    <definedName name="OSRRefD22_9x_0" localSheetId="76">'405'!$D$53:$D$54</definedName>
    <definedName name="OSRRefD22_9x_0" localSheetId="77">'406'!$D$53</definedName>
    <definedName name="OSRRefD22_9x_0" localSheetId="78">'411'!$D$55:$D$59</definedName>
    <definedName name="OSRRefD22_9x_0" localSheetId="79">'412'!$D$54</definedName>
    <definedName name="OSRRefD22_9x_0" localSheetId="80">'413'!$D$53:$D$56</definedName>
    <definedName name="OSRRefD22_9x_0" localSheetId="81">'414'!$D$53</definedName>
    <definedName name="OSRRefD22_9x_0" localSheetId="82">'415'!$D$54</definedName>
    <definedName name="OSRRefD22_9x_0" localSheetId="83">'418'!$D$56</definedName>
    <definedName name="OSRRefD22_9x_0" localSheetId="86">'424'!$D$48:$D$50</definedName>
    <definedName name="OSRRefD22_9x_0" localSheetId="87">'425'!$D$54</definedName>
    <definedName name="OSRRefD22_9x_0" localSheetId="91">'433'!$D$57:$D$59</definedName>
    <definedName name="OSRRefD22_9x_0" localSheetId="93">'444'!$D$56</definedName>
    <definedName name="OSRRefD22_9x_0" localSheetId="95">'450'!$D$56</definedName>
    <definedName name="OSRRefD22_9x_0" localSheetId="75">'491'!$D$67</definedName>
    <definedName name="OSRRefD22_9x_0" localSheetId="89">'492'!$D$60</definedName>
    <definedName name="OSRRefD22_9x_0" localSheetId="97">'501'!$D$51:$D$54</definedName>
    <definedName name="OSRRefD22_9x_0" localSheetId="39">'Div 2'!$D$55</definedName>
    <definedName name="OSRRefD22_9x_0" localSheetId="47">'Div 3'!$D$192</definedName>
    <definedName name="OSRRefD22_9x_0" localSheetId="73">'Div 4'!$D$68:$D$69</definedName>
    <definedName name="OSRRefD22_9x_0" localSheetId="96">'Div 5'!$D$51:$D$54</definedName>
    <definedName name="OSRRefD22_9x_0" localSheetId="64">'Div 6'!$D$82:$D$83</definedName>
    <definedName name="OSRRefD22_9x_0" localSheetId="2">Summary!$D$224</definedName>
    <definedName name="OSRRefD22x_0" localSheetId="40">'200'!$D$20,'200'!$D$22,'200'!$D$24,'200'!$D$26</definedName>
    <definedName name="OSRRefD22x_0" localSheetId="41">'201'!$D$20:$D$28,'201'!$D$30:$D$32,'201'!$D$34,'201'!$D$36,'201'!$D$38,'201'!$D$40,'201'!$D$42,'201'!$D$44,'201'!$D$46,'201'!$D$48:$D$49,'201'!$D$51:$D$52,'201'!$D$54,'201'!$D$56:$D$58,'201'!$D$60,'201'!$D$62,'201'!$D$64:$D$65</definedName>
    <definedName name="OSRRefD22x_0" localSheetId="42">'202'!$D$20:$D$27,'202'!$D$29:$D$32,'202'!$D$34,'202'!$D$36,'202'!$D$38,'202'!$D$40,'202'!$D$42,'202'!$D$44,'202'!$D$46,'202'!$D$48:$D$49,'202'!$D$51,'202'!$D$53</definedName>
    <definedName name="OSRRefD22x_0" localSheetId="43">'203'!$D$20:$D$28,'203'!$D$30:$D$33,'203'!$D$35,'203'!$D$37,'203'!$D$39,'203'!$D$41,'203'!$D$43,'203'!$D$45,'203'!$D$47:$D$48,'203'!$D$50:$D$51,'203'!$D$53,'203'!$D$55:$D$57,'203'!$D$59,'203'!$D$61,'203'!$D$63</definedName>
    <definedName name="OSRRefD22x_0" localSheetId="44">'204'!$D$20:$D$28,'204'!$D$30:$D$34,'204'!$D$36,'204'!$D$38:$D$39,'204'!$D$41,'204'!$D$43,'204'!$D$45:$D$47,'204'!$D$49:$D$50,'204'!$D$52:$D$53,'204'!$D$55,'204'!$D$57:$D$58</definedName>
    <definedName name="OSRRefD22x_0" localSheetId="45">'205'!$D$20:$D$27,'205'!$D$29,'205'!$D$31,'205'!$D$33,'205'!$D$35:$D$36,'205'!$D$38,'205'!$D$40:$D$41,'205'!$D$43</definedName>
    <definedName name="OSRRefD22x_0" localSheetId="46">'206'!$D$20:$D$27,'206'!$D$29:$D$34,'206'!$D$36,'206'!$D$38,'206'!$D$40:$D$41,'206'!$D$43,'206'!$D$45</definedName>
    <definedName name="OSRRefD22x_0" localSheetId="48">'300'!$D$152:$D$160,'300'!$D$162:$D$168,'300'!$D$170,'300'!$D$172,'300'!$D$174,'300'!$D$176:$D$177,'300'!$D$179:$D$180,'300'!$D$182,'300'!$D$184,'300'!$D$186,'300'!$D$188:$D$189,'300'!$D$191,'300'!$D$193,'300'!$D$195,'300'!$D$197,'300'!$D$199,'300'!$D$201:$D$203,'300'!$D$205:$D$207,'300'!$D$209:$D$212,'300'!$D$214:$D$215,'300'!$D$217:$D$222,'300'!$D$224:$D$225,'300'!$D$227,'300'!$D$229:$D$231,'300'!$D$233</definedName>
    <definedName name="OSRRefD22x_0" localSheetId="49">'300 &amp; 317'!$D$174:$D$182,'300 &amp; 317'!$D$184:$D$190,'300 &amp; 317'!$D$192,'300 &amp; 317'!$D$194,'300 &amp; 317'!$D$196,'300 &amp; 317'!$D$198:$D$199,'300 &amp; 317'!$D$201:$D$202,'300 &amp; 317'!$D$204,'300 &amp; 317'!$D$206,'300 &amp; 317'!$D$208,'300 &amp; 317'!$D$210:$D$211,'300 &amp; 317'!$D$213,'300 &amp; 317'!$D$215,'300 &amp; 317'!$D$217,'300 &amp; 317'!$D$219,'300 &amp; 317'!$D$221,'300 &amp; 317'!$D$223:$D$225,'300 &amp; 317'!$D$227:$D$229,'300 &amp; 317'!$D$231:$D$234,'300 &amp; 317'!$D$236:$D$237,'300 &amp; 317'!$D$239:$D$244,'300 &amp; 317'!$D$246:$D$247,'300 &amp; 317'!$D$249,'300 &amp; 317'!$D$251:$D$253,'300 &amp; 317'!$D$255</definedName>
    <definedName name="OSRRefD22x_0" localSheetId="50">'301'!$D$20:$D$27,'301'!$D$29:$D$34,'301'!$D$36,'301'!$D$38,'301'!$D$40,'301'!$D$42:$D$43,'301'!$D$45:$D$46,'301'!$D$48,'301'!$D$50,'301'!$D$52,'301'!$D$54,'301'!$D$56,'301'!$D$58,'301'!$D$60,'301'!$D$62:$D$64,'301'!$D$66:$D$68,'301'!$D$70,'301'!$D$72:$D$76,'301'!$D$78,'301'!$D$80,'301'!$D$82:$D$83,'301'!$D$85</definedName>
    <definedName name="OSRRefD22x_0" localSheetId="51">'306'!$D$20:$D$28,'306'!$D$30:$D$34,'306'!$D$36,'306'!$D$38,'306'!$D$40,'306'!$D$42:$D$44,'306'!$D$46,'306'!$D$48</definedName>
    <definedName name="OSRRefD22x_0" localSheetId="53">'307'!$D$64:$D$71,'307'!$D$73:$D$75,'307'!$D$77,'307'!$D$79,'307'!$D$81:$D$82,'307'!$D$84,'307'!$D$86,'307'!$D$88,'307'!$D$90:$D$91,'307'!$D$93,'307'!$D$95</definedName>
    <definedName name="OSRRefD22x_0" localSheetId="55">'308'!$D$59:$D$67,'308'!$D$69:$D$73,'308'!$D$75,'308'!$D$77:$D$78,'308'!$D$80,'308'!$D$82,'308'!$D$84:$D$85,'308'!$D$87,'308'!$D$89,'308'!$D$91:$D$92,'308'!$D$94,'308'!$D$96:$D$98,'308'!$D$100:$D$101,'308'!$D$103,'308'!$D$105</definedName>
    <definedName name="OSRRefD22x_0" localSheetId="67">'309'!$D$24:$D$31,'309'!$D$33:$D$37,'309'!$D$39,'309'!$D$41,'309'!$D$43,'309'!$D$45,'309'!$D$47,'309'!$D$49,'309'!$D$51:$D$52,'309'!$D$54,'309'!$D$56:$D$61,'309'!$D$63</definedName>
    <definedName name="OSRRefD22x_0" localSheetId="66">'310'!$D$31:$D$38,'310'!$D$40:$D$45,'310'!$D$47,'310'!$D$49,'310'!$D$51,'310'!$D$53:$D$54,'310'!$D$56,'310'!$D$58,'310'!$D$60,'310'!$D$62,'310'!$D$64,'310'!$D$66,'310'!$D$68,'310'!$D$70,'310'!$D$72,'310'!$D$74,'310'!$D$76:$D$79,'310'!$D$81:$D$82,'310'!$D$84:$D$90,'310'!$D$92,'310'!$D$94,'310'!$D$96</definedName>
    <definedName name="OSRRefD22x_0" localSheetId="74">'310 &amp; 491'!$D$39:$D$47,'310 &amp; 491'!$D$49:$D$55,'310 &amp; 491'!$D$57,'310 &amp; 491'!$D$59,'310 &amp; 491'!$D$61,'310 &amp; 491'!$D$63:$D$65,'310 &amp; 491'!$D$67,'310 &amp; 491'!$D$69,'310 &amp; 491'!$D$71,'310 &amp; 491'!$D$73,'310 &amp; 491'!$D$75:$D$76,'310 &amp; 491'!$D$78,'310 &amp; 491'!$D$80,'310 &amp; 491'!$D$82,'310 &amp; 491'!$D$84,'310 &amp; 491'!$D$86:$D$88,'310 &amp; 491'!$D$90:$D$91,'310 &amp; 491'!$D$93:$D$97,'310 &amp; 491'!$D$99:$D$100,'310 &amp; 491'!$D$102:$D$109,'310 &amp; 491'!$D$111,'310 &amp; 491'!$D$113,'310 &amp; 491'!$D$115:$D$117,'310 &amp; 491'!$D$119</definedName>
    <definedName name="OSRRefD22x_0" localSheetId="56">'311'!$D$58:$D$66,'311'!$D$68:$D$72,'311'!$D$74,'311'!$D$76:$D$77,'311'!$D$79,'311'!$D$81,'311'!$D$83:$D$84,'311'!$D$86,'311'!$D$88,'311'!$D$90:$D$91,'311'!$D$93,'311'!$D$95:$D$97,'311'!$D$99:$D$100,'311'!$D$102,'311'!$D$104</definedName>
    <definedName name="OSRRefD22x_0" localSheetId="68">'313'!$D$28:$D$35,'313'!$D$37:$D$41,'313'!$D$43,'313'!$D$45,'313'!$D$47,'313'!$D$49,'313'!$D$51,'313'!$D$53,'313'!$D$55,'313'!$D$57,'313'!$D$59:$D$63,'313'!$D$65,'313'!$D$67</definedName>
    <definedName name="OSRRefD22x_0" localSheetId="54">'314'!$D$55:$D$61,'314'!$D$63:$D$65,'314'!$D$67,'314'!$D$69:$D$70,'314'!$D$72,'314'!$D$74:$D$75,'314'!$D$77</definedName>
    <definedName name="OSRRefD22x_0" localSheetId="59">'315'!$D$52:$D$59,'315'!$D$61:$D$65,'315'!$D$67,'315'!$D$69,'315'!$D$71,'315'!$D$73,'315'!$D$75,'315'!$D$77,'315'!$D$79,'315'!$D$81:$D$82,'315'!$D$84,'315'!$D$86:$D$89,'315'!$D$91,'315'!$D$93,'315'!$D$95</definedName>
    <definedName name="OSRRefD22x_0" localSheetId="62">'316'!$D$32:$D$39,'316'!$D$41:$D$44,'316'!$D$46,'316'!$D$48,'316'!$D$50,'316'!$D$52,'316'!$D$54,'316'!$D$56:$D$59,'316'!$D$61</definedName>
    <definedName name="OSRRefD22x_0" localSheetId="65">'317'!$D$53:$D$61,'317'!$D$63:$D$66,'317'!$D$68,'317'!$D$70,'317'!$D$72,'317'!$D$74,'317'!$D$76,'317'!$D$78,'317'!$D$80,'317'!$D$82:$D$83,'317'!$D$85</definedName>
    <definedName name="OSRRefD22x_0" localSheetId="63">'320'!$D$29:$D$35,'320'!$D$37:$D$39,'320'!$D$41,'320'!$D$43:$D$44,'320'!$D$46,'320'!$D$48:$D$49,'320'!$D$51</definedName>
    <definedName name="OSRRefD22x_0" localSheetId="69">'321'!$D$24:$D$30,'321'!$D$32:$D$36,'321'!$D$38,'321'!$D$40,'321'!$D$42,'321'!$D$44,'321'!$D$46,'321'!$D$48,'321'!$D$50:$D$51,'321'!$D$53:$D$57,'321'!$D$59,'321'!$D$61</definedName>
    <definedName name="OSRRefD22x_0" localSheetId="70">'322'!$D$24:$D$31,'322'!$D$33:$D$36,'322'!$D$38,'322'!$D$40,'322'!$D$42,'322'!$D$44,'322'!$D$46,'322'!$D$48,'322'!$D$50,'322'!$D$52,'322'!$D$54:$D$56,'322'!$D$58:$D$63,'322'!$D$65,'322'!$D$67</definedName>
    <definedName name="OSRRefD22x_0" localSheetId="57">'324'!$D$25</definedName>
    <definedName name="OSRRefD22x_0" localSheetId="71">'325'!$D$24:$D$31,'325'!$D$33:$D$37,'325'!$D$39,'325'!$D$41,'325'!$D$43,'325'!$D$45:$D$46,'325'!$D$48,'325'!$D$50,'325'!$D$52,'325'!$D$54,'325'!$D$56,'325'!$D$58:$D$60,'325'!$D$62,'325'!$D$64:$D$69,'325'!$D$71,'325'!$D$73</definedName>
    <definedName name="OSRRefD22x_0" localSheetId="60">'326'!$D$56:$D$63,'326'!$D$65:$D$68,'326'!$D$70,'326'!$D$72,'326'!$D$74,'326'!$D$76,'326'!$D$78,'326'!$D$80,'326'!$D$82,'326'!$D$84,'326'!$D$86,'326'!$D$88,'326'!$D$90,'326'!$D$92:$D$94,'326'!$D$96,'326'!$D$98:$D$101,'326'!$D$103,'326'!$D$105,'326'!$D$107</definedName>
    <definedName name="OSRRefD22x_0" localSheetId="72">'327'!$D$22,'327'!$D$24</definedName>
    <definedName name="OSRRefD22x_0" localSheetId="52">'330'!$D$76:$D$83,'330'!$D$85:$D$87,'330'!$D$89,'330'!$D$91,'330'!$D$93:$D$94,'330'!$D$96,'330'!$D$98,'330'!$D$100,'330'!$D$102:$D$103,'330'!$D$105,'330'!$D$107:$D$108,'330'!$D$110</definedName>
    <definedName name="OSRRefD22x_0" localSheetId="58">'331'!$D$68:$D$75,'331'!$D$77:$D$81,'331'!$D$83,'331'!$D$85,'331'!$D$87,'331'!$D$89,'331'!$D$91,'331'!$D$93,'331'!$D$95,'331'!$D$97,'331'!$D$99,'331'!$D$101,'331'!$D$103,'331'!$D$105,'331'!$D$107:$D$108,'331'!$D$110:$D$111,'331'!$D$113:$D$115,'331'!$D$117,'331'!$D$119:$D$123,'331'!$D$125,'331'!$D$127,'331'!$D$129,'331'!$D$131</definedName>
    <definedName name="OSRRefD22x_0" localSheetId="61">'332'!$D$41:$D$48,'332'!$D$50:$D$53,'332'!$D$55,'332'!$D$57,'332'!$D$59,'332'!$D$61:$D$62,'332'!$D$64,'332'!$D$66,'332'!$D$68,'332'!$D$70:$D$74,'332'!$D$76</definedName>
    <definedName name="OSRRefD22x_0" localSheetId="76">'405'!$D$24:$D$31,'405'!$D$33:$D$36,'405'!$D$38,'405'!$D$40,'405'!$D$42,'405'!$D$44:$D$45,'405'!$D$47,'405'!$D$49,'405'!$D$51,'405'!$D$53:$D$54,'405'!$D$56,'405'!$D$58:$D$60,'405'!$D$62,'405'!$D$64:$D$70,'405'!$D$72,'405'!$D$74,'405'!$D$76</definedName>
    <definedName name="OSRRefD22x_0" localSheetId="77">'406'!$D$24:$D$31,'406'!$D$33:$D$37,'406'!$D$39,'406'!$D$41,'406'!$D$43,'406'!$D$45,'406'!$D$47,'406'!$D$49,'406'!$D$51,'406'!$D$53,'406'!$D$55:$D$60,'406'!$D$62,'406'!$D$64</definedName>
    <definedName name="OSRRefD22x_0" localSheetId="78">'411'!$D$20:$D$28,'411'!$D$30:$D$35,'411'!$D$37,'411'!$D$39:$D$41,'411'!$D$43,'411'!$D$45,'411'!$D$47,'411'!$D$49,'411'!$D$51:$D$53,'411'!$D$55:$D$59,'411'!$D$61:$D$66,'411'!$D$68,'411'!$D$70,'411'!$D$72:$D$74,'411'!$D$76</definedName>
    <definedName name="OSRRefD22x_0" localSheetId="79">'412'!$D$23:$D$30,'412'!$D$32:$D$37,'412'!$D$39,'412'!$D$41,'412'!$D$43,'412'!$D$45,'412'!$D$47,'412'!$D$49,'412'!$D$51:$D$52,'412'!$D$54,'412'!$D$56:$D$57,'412'!$D$59:$D$65,'412'!$D$67,'412'!$D$69</definedName>
    <definedName name="OSRRefD22x_0" localSheetId="80">'413'!$D$24:$D$31,'413'!$D$33:$D$37,'413'!$D$39,'413'!$D$41,'413'!$D$43,'413'!$D$45,'413'!$D$47,'413'!$D$49,'413'!$D$51,'413'!$D$53:$D$56,'413'!$D$58</definedName>
    <definedName name="OSRRefD22x_0" localSheetId="81">'414'!$D$24:$D$31,'414'!$D$33:$D$37,'414'!$D$39,'414'!$D$41,'414'!$D$43,'414'!$D$45,'414'!$D$47,'414'!$D$49,'414'!$D$51,'414'!$D$53,'414'!$D$55,'414'!$D$57,'414'!$D$59:$D$65,'414'!$D$67,'414'!$D$69</definedName>
    <definedName name="OSRRefD22x_0" localSheetId="82">'415'!$D$24:$D$31,'415'!$D$33:$D$37,'415'!$D$39,'415'!$D$41,'415'!$D$43,'415'!$D$45:$D$46,'415'!$D$48,'415'!$D$50,'415'!$D$52,'415'!$D$54,'415'!$D$56,'415'!$D$58,'415'!$D$60:$D$64,'415'!$D$66,'415'!$D$68:$D$74,'415'!$D$76,'415'!$D$78,'415'!$D$80</definedName>
    <definedName name="OSRRefD22x_0" localSheetId="83">'418'!$D$24:$D$31,'418'!$D$33:$D$38,'418'!$D$40,'418'!$D$42,'418'!$D$44,'418'!$D$46:$D$47,'418'!$D$49,'418'!$D$51,'418'!$D$53:$D$54,'418'!$D$56,'418'!$D$58:$D$60,'418'!$D$62,'418'!$D$64:$D$68,'418'!$D$70,'418'!$D$72</definedName>
    <definedName name="OSRRefD22x_0" localSheetId="85">'423'!$D$21:$D$28,'423'!$D$30,'423'!$D$32,'423'!$D$34,'423'!$D$36,'423'!$D$38</definedName>
    <definedName name="OSRRefD22x_0" localSheetId="86">'424'!$D$24:$D$26,'424'!$D$28:$D$31,'424'!$D$33,'424'!$D$35,'424'!$D$37,'424'!$D$39,'424'!$D$41,'424'!$D$43:$D$44,'424'!$D$46,'424'!$D$48:$D$50,'424'!$D$52</definedName>
    <definedName name="OSRRefD22x_0" localSheetId="87">'425'!$D$25:$D$32,'425'!$D$34:$D$38,'425'!$D$40,'425'!$D$42,'425'!$D$44,'425'!$D$46,'425'!$D$48,'425'!$D$50,'425'!$D$52,'425'!$D$54,'425'!$D$56,'425'!$D$58:$D$59,'425'!$D$61:$D$66,'425'!$D$68,'425'!$D$70,'425'!$D$72</definedName>
    <definedName name="OSRRefD22x_0" localSheetId="90">'430'!$D$20:$D$27,'430'!$D$29,'430'!$D$31,'430'!$D$33,'430'!$D$35:$D$36,'430'!$D$38,'430'!$D$40,'430'!$D$42</definedName>
    <definedName name="OSRRefD22x_0" localSheetId="91">'433'!$D$26:$D$34,'433'!$D$36:$D$41,'433'!$D$43,'433'!$D$45,'433'!$D$47,'433'!$D$49,'433'!$D$51,'433'!$D$53,'433'!$D$55,'433'!$D$57:$D$59,'433'!$D$61:$D$66,'433'!$D$68,'433'!$D$70,'433'!$D$72:$D$73</definedName>
    <definedName name="OSRRefD22x_0" localSheetId="92">'435'!$D$24:$D$26,'435'!$D$28:$D$29,'435'!$D$31,'435'!$D$33,'435'!$D$35,'435'!$D$37,'435'!$D$39:$D$40,'435'!$D$42</definedName>
    <definedName name="OSRRefD22x_0" localSheetId="93">'444'!$D$25:$D$33,'444'!$D$35:$D$40,'444'!$D$42,'444'!$D$44,'444'!$D$46,'444'!$D$48,'444'!$D$50,'444'!$D$52,'444'!$D$54,'444'!$D$56,'444'!$D$58:$D$59,'444'!$D$61:$D$63,'444'!$D$65:$D$71,'444'!$D$73,'444'!$D$75,'444'!$D$77</definedName>
    <definedName name="OSRRefD22x_0" localSheetId="94">'445'!$D$20</definedName>
    <definedName name="OSRRefD22x_0" localSheetId="95">'450'!$D$25:$D$33,'450'!$D$35:$D$40,'450'!$D$42,'450'!$D$44,'450'!$D$46,'450'!$D$48,'450'!$D$50,'450'!$D$52,'450'!$D$54,'450'!$D$56,'450'!$D$58,'450'!$D$60:$D$62,'450'!$D$64:$D$69,'450'!$D$71,'450'!$D$73,'450'!$D$75:$D$76</definedName>
    <definedName name="OSRRefD22x_0" localSheetId="88">'455'!$D$20:$D$26,'455'!$D$28:$D$29</definedName>
    <definedName name="OSRRefD22x_0" localSheetId="75">'491'!$D$32:$D$40,'491'!$D$42:$D$48,'491'!$D$50,'491'!$D$52,'491'!$D$54,'491'!$D$56:$D$58,'491'!$D$60,'491'!$D$62,'491'!$D$64:$D$65,'491'!$D$67,'491'!$D$69,'491'!$D$71,'491'!$D$73,'491'!$D$75:$D$77,'491'!$D$79:$D$80,'491'!$D$82:$D$86,'491'!$D$88,'491'!$D$90:$D$97,'491'!$D$99,'491'!$D$101,'491'!$D$103:$D$105,'491'!$D$107</definedName>
    <definedName name="OSRRefD22x_0" localSheetId="89">'492'!$D$28:$D$36,'492'!$D$38:$D$44,'492'!$D$46,'492'!$D$48,'492'!$D$50,'492'!$D$52,'492'!$D$54,'492'!$D$56,'492'!$D$58,'492'!$D$60,'492'!$D$62,'492'!$D$64:$D$65,'492'!$D$67:$D$69,'492'!$D$71:$D$77,'492'!$D$79,'492'!$D$81,'492'!$D$83:$D$84</definedName>
    <definedName name="OSRRefD22x_0" localSheetId="97">'501'!$D$21:$D$28,'501'!$D$30:$D$35,'501'!$D$37,'501'!$D$39,'501'!$D$41,'501'!$D$43,'501'!$D$45,'501'!$D$47,'501'!$D$49,'501'!$D$51:$D$54,'501'!$D$56</definedName>
    <definedName name="OSRRefD22x_0" localSheetId="39">'Div 2'!$D$20:$D$30,'Div 2'!$D$32:$D$38,'Div 2'!$D$40,'Div 2'!$D$42,'Div 2'!$D$44,'Div 2'!$D$46:$D$47,'Div 2'!$D$49,'Div 2'!$D$51,'Div 2'!$D$53,'Div 2'!$D$55,'Div 2'!$D$57,'Div 2'!$D$59,'Div 2'!$D$61:$D$64,'Div 2'!$D$66:$D$68,'Div 2'!$D$70:$D$71,'Div 2'!$D$73,'Div 2'!$D$75:$D$78,'Div 2'!$D$80:$D$81,'Div 2'!$D$83,'Div 2'!$D$85:$D$86</definedName>
    <definedName name="OSRRefD22x_0" localSheetId="47">'Div 3'!$D$158:$D$166,'Div 3'!$D$168:$D$174,'Div 3'!$D$176,'Div 3'!$D$178,'Div 3'!$D$180,'Div 3'!$D$182:$D$183,'Div 3'!$D$185:$D$186,'Div 3'!$D$188,'Div 3'!$D$190,'Div 3'!$D$192,'Div 3'!$D$194:$D$195,'Div 3'!$D$197,'Div 3'!$D$199,'Div 3'!$D$201,'Div 3'!$D$203,'Div 3'!$D$205,'Div 3'!$D$207,'Div 3'!$D$209:$D$211,'Div 3'!$D$213:$D$215,'Div 3'!$D$217:$D$221,'Div 3'!$D$223:$D$224,'Div 3'!$D$226:$D$232,'Div 3'!$D$234:$D$235,'Div 3'!$D$237,'Div 3'!$D$239:$D$241,'Div 3'!$D$243</definedName>
    <definedName name="OSRRefD22x_0" localSheetId="73">'Div 4'!$D$34:$D$42,'Div 4'!$D$44:$D$50,'Div 4'!$D$52,'Div 4'!$D$54,'Div 4'!$D$56,'Div 4'!$D$58:$D$60,'Div 4'!$D$62,'Div 4'!$D$64,'Div 4'!$D$66,'Div 4'!$D$68:$D$69,'Div 4'!$D$71,'Div 4'!$D$73,'Div 4'!$D$75,'Div 4'!$D$77,'Div 4'!$D$79,'Div 4'!$D$81:$D$83,'Div 4'!$D$85:$D$86,'Div 4'!$D$88:$D$92,'Div 4'!$D$94,'Div 4'!$D$96:$D$103,'Div 4'!$D$105,'Div 4'!$D$107,'Div 4'!$D$109:$D$111,'Div 4'!$D$113</definedName>
    <definedName name="OSRRefD22x_0" localSheetId="96">'Div 5'!$D$21:$D$28,'Div 5'!$D$30:$D$35,'Div 5'!$D$37,'Div 5'!$D$39,'Div 5'!$D$41,'Div 5'!$D$43,'Div 5'!$D$45,'Div 5'!$D$47,'Div 5'!$D$49,'Div 5'!$D$51:$D$54,'Div 5'!$D$56</definedName>
    <definedName name="OSRRefD22x_0" localSheetId="64">'Div 6'!$D$53:$D$61,'Div 6'!$D$63:$D$66,'Div 6'!$D$68,'Div 6'!$D$70,'Div 6'!$D$72,'Div 6'!$D$74,'Div 6'!$D$76,'Div 6'!$D$78,'Div 6'!$D$80,'Div 6'!$D$82:$D$83,'Div 6'!$D$85</definedName>
    <definedName name="OSRRefD22x_0" localSheetId="2">Summary!$D$189:$D$197,Summary!$D$199:$D$205,Summary!$D$207,Summary!$D$209,Summary!$D$211,Summary!$D$213:$D$215,Summary!$D$217:$D$218,Summary!$D$220,Summary!$D$222,Summary!$D$224,Summary!$D$226:$D$227,Summary!$D$229:$D$230,Summary!$D$232,Summary!$D$234,Summary!$D$236,Summary!$D$238,Summary!$D$240,Summary!$D$242,Summary!$D$244:$D$246,Summary!$D$248:$D$250,Summary!$D$252:$D$256,Summary!$D$258:$D$259,Summary!$D$261:$D$268,Summary!$D$270:$D$271,Summary!$D$273,Summary!$D$275:$D$277,Summary!$D$279</definedName>
    <definedName name="OSRRefD25x_0" localSheetId="48">'300'!$D$236:$D$242</definedName>
    <definedName name="OSRRefD25x_0" localSheetId="49">'300 &amp; 317'!$D$258:$D$266</definedName>
    <definedName name="OSRRefD25x_0" localSheetId="50">'301'!$D$88:$D$89</definedName>
    <definedName name="OSRRefD25x_0" localSheetId="55">'308'!$D$108:$D$109</definedName>
    <definedName name="OSRRefD25x_0" localSheetId="74">'310 &amp; 491'!$D$122:$D$124</definedName>
    <definedName name="OSRRefD25x_0" localSheetId="56">'311'!$D$107:$D$108</definedName>
    <definedName name="OSRRefD25x_0" localSheetId="59">'315'!$D$98</definedName>
    <definedName name="OSRRefD25x_0" localSheetId="62">'316'!$D$64</definedName>
    <definedName name="OSRRefD25x_0" localSheetId="65">'317'!$D$88:$D$90</definedName>
    <definedName name="OSRRefD25x_0" localSheetId="63">'320'!$D$54:$D$57</definedName>
    <definedName name="OSRRefD25x_0" localSheetId="58">'331'!$D$134</definedName>
    <definedName name="OSRRefD25x_0" localSheetId="61">'332'!$D$79:$D$83</definedName>
    <definedName name="OSRRefD25x_0" localSheetId="78">'411'!$D$79:$D$80</definedName>
    <definedName name="OSRRefD25x_0" localSheetId="80">'413'!$D$61</definedName>
    <definedName name="OSRRefD25x_0" localSheetId="85">'423'!$D$41</definedName>
    <definedName name="OSRRefD25x_0" localSheetId="86">'424'!$D$55</definedName>
    <definedName name="OSRRefD25x_0" localSheetId="87">'425'!$D$75</definedName>
    <definedName name="OSRRefD25x_0" localSheetId="88">'455'!$D$32:$D$33</definedName>
    <definedName name="OSRRefD25x_0" localSheetId="75">'491'!$D$110:$D$112</definedName>
    <definedName name="OSRRefD25x_0" localSheetId="97">'501'!$D$59</definedName>
    <definedName name="OSRRefD25x_0" localSheetId="47">'Div 3'!$D$246:$D$252</definedName>
    <definedName name="OSRRefD25x_0" localSheetId="73">'Div 4'!$D$116:$D$118</definedName>
    <definedName name="OSRRefD25x_0" localSheetId="96">'Div 5'!$D$59</definedName>
    <definedName name="OSRRefD25x_0" localSheetId="64">'Div 6'!$D$88:$D$90</definedName>
    <definedName name="OSRRefD25x_0" localSheetId="2">Summary!$D$282:$D$291</definedName>
    <definedName name="OSRRefH13x_0" localSheetId="48">'300'!$H$13:$H$96</definedName>
    <definedName name="OSRRefH13x_0" localSheetId="49">'300 &amp; 317'!$H$13:$H$113</definedName>
    <definedName name="OSRRefH13x_0" localSheetId="53">'307'!$H$13:$H$39</definedName>
    <definedName name="OSRRefH13x_0" localSheetId="55">'308'!$H$13:$H$36</definedName>
    <definedName name="OSRRefH13x_0" localSheetId="67">'309'!$H$13:$H$14</definedName>
    <definedName name="OSRRefH13x_0" localSheetId="66">'310'!$H$13:$H$21</definedName>
    <definedName name="OSRRefH13x_0" localSheetId="74">'310 &amp; 491'!$H$13:$H$29</definedName>
    <definedName name="OSRRefH13x_0" localSheetId="56">'311'!$H$13:$H$35</definedName>
    <definedName name="OSRRefH13x_0" localSheetId="68">'313'!$H$13:$H$18</definedName>
    <definedName name="OSRRefH13x_0" localSheetId="54">'314'!$H$13:$H$33</definedName>
    <definedName name="OSRRefH13x_0" localSheetId="59">'315'!$H$13:$H$30</definedName>
    <definedName name="OSRRefH13x_0" localSheetId="62">'316'!$H$13:$H$24</definedName>
    <definedName name="OSRRefH13x_0" localSheetId="65">'317'!$H$13:$H$34</definedName>
    <definedName name="OSRRefH13x_0" localSheetId="63">'320'!$H$13:$H$16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1">'325'!$H$13:$H$14</definedName>
    <definedName name="OSRRefH13x_0" localSheetId="60">'326'!$H$13:$H$33</definedName>
    <definedName name="OSRRefH13x_0" localSheetId="72">'327'!$H$13</definedName>
    <definedName name="OSRRefH13x_0" localSheetId="52">'330'!$H$13:$H$47</definedName>
    <definedName name="OSRRefH13x_0" localSheetId="58">'331'!$H$13:$H$39</definedName>
    <definedName name="OSRRefH13x_0" localSheetId="61">'332'!$H$13:$H$28</definedName>
    <definedName name="OSRRefH13x_0" localSheetId="76">'405'!$H$13:$H$14</definedName>
    <definedName name="OSRRefH13x_0" localSheetId="77">'406'!$H$13:$H$14</definedName>
    <definedName name="OSRRefH13x_0" localSheetId="79">'412'!$H$13:$H$14</definedName>
    <definedName name="OSRRefH13x_0" localSheetId="80">'413'!$H$13:$H$14</definedName>
    <definedName name="OSRRefH13x_0" localSheetId="81">'414'!$H$13:$H$14</definedName>
    <definedName name="OSRRefH13x_0" localSheetId="82">'415'!$H$13:$H$14</definedName>
    <definedName name="OSRRefH13x_0" localSheetId="83">'418'!$H$13:$H$14</definedName>
    <definedName name="OSRRefH13x_0" localSheetId="86">'424'!$H$13:$H$14</definedName>
    <definedName name="OSRRefH13x_0" localSheetId="87">'425'!$H$13:$H$15</definedName>
    <definedName name="OSRRefH13x_0" localSheetId="91">'433'!$H$13:$H$16</definedName>
    <definedName name="OSRRefH13x_0" localSheetId="92">'435'!$H$13:$H$14</definedName>
    <definedName name="OSRRefH13x_0" localSheetId="93">'444'!$H$13:$H$15</definedName>
    <definedName name="OSRRefH13x_0" localSheetId="95">'450'!$H$13:$H$15</definedName>
    <definedName name="OSRRefH13x_0" localSheetId="75">'491'!$H$13:$H$22</definedName>
    <definedName name="OSRRefH13x_0" localSheetId="89">'492'!$H$13:$H$18</definedName>
    <definedName name="OSRRefH13x_0" localSheetId="97">'501'!$H$13</definedName>
    <definedName name="OSRRefH13x_0" localSheetId="47">'Div 3'!$H$13:$H$100</definedName>
    <definedName name="OSRRefH13x_0" localSheetId="73">'Div 4'!$H$13:$H$24</definedName>
    <definedName name="OSRRefH13x_0" localSheetId="96">'Div 5'!$H$13</definedName>
    <definedName name="OSRRefH13x_0" localSheetId="64">'Div 6'!$H$13:$H$34</definedName>
    <definedName name="OSRRefH13x_0" localSheetId="2">Summary!$H$13:$H$126</definedName>
    <definedName name="OSRRefH16x_0" localSheetId="48">'300'!$H$99:$H$146</definedName>
    <definedName name="OSRRefH16x_0" localSheetId="49">'300 &amp; 317'!$H$116:$H$168</definedName>
    <definedName name="OSRRefH16x_0" localSheetId="53">'307'!$H$42:$H$58</definedName>
    <definedName name="OSRRefH16x_0" localSheetId="55">'308'!$H$39:$H$53</definedName>
    <definedName name="OSRRefH16x_0" localSheetId="67">'309'!$H$17:$H$18</definedName>
    <definedName name="OSRRefH16x_0" localSheetId="66">'310'!$H$24:$H$25</definedName>
    <definedName name="OSRRefH16x_0" localSheetId="74">'310 &amp; 491'!$H$32:$H$33</definedName>
    <definedName name="OSRRefH16x_0" localSheetId="56">'311'!$H$38:$H$52</definedName>
    <definedName name="OSRRefH16x_0" localSheetId="68">'313'!$H$21:$H$22</definedName>
    <definedName name="OSRRefH16x_0" localSheetId="54">'314'!$H$36:$H$49</definedName>
    <definedName name="OSRRefH16x_0" localSheetId="59">'315'!$H$33:$H$46</definedName>
    <definedName name="OSRRefH16x_0" localSheetId="65">'317'!$H$37:$H$47</definedName>
    <definedName name="OSRRefH16x_0" localSheetId="63">'320'!$H$19:$H$23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1">'325'!$H$17:$H$18</definedName>
    <definedName name="OSRRefH16x_0" localSheetId="60">'326'!$H$36:$H$50</definedName>
    <definedName name="OSRRefH16x_0" localSheetId="72">'327'!$H$16</definedName>
    <definedName name="OSRRefH16x_0" localSheetId="52">'330'!$H$50:$H$70</definedName>
    <definedName name="OSRRefH16x_0" localSheetId="58">'331'!$H$42:$H$62</definedName>
    <definedName name="OSRRefH16x_0" localSheetId="61">'332'!$H$31:$H$35</definedName>
    <definedName name="OSRRefH16x_0" localSheetId="76">'405'!$H$17:$H$18</definedName>
    <definedName name="OSRRefH16x_0" localSheetId="77">'406'!$H$17:$H$18</definedName>
    <definedName name="OSRRefH16x_0" localSheetId="79">'412'!$H$17</definedName>
    <definedName name="OSRRefH16x_0" localSheetId="80">'413'!$H$17:$H$18</definedName>
    <definedName name="OSRRefH16x_0" localSheetId="81">'414'!$H$17:$H$18</definedName>
    <definedName name="OSRRefH16x_0" localSheetId="82">'415'!$H$17:$H$18</definedName>
    <definedName name="OSRRefH16x_0" localSheetId="83">'418'!$H$17:$H$18</definedName>
    <definedName name="OSRRefH16x_0" localSheetId="85">'423'!$H$15</definedName>
    <definedName name="OSRRefH16x_0" localSheetId="86">'424'!$H$17:$H$18</definedName>
    <definedName name="OSRRefH16x_0" localSheetId="87">'425'!$H$18:$H$19</definedName>
    <definedName name="OSRRefH16x_0" localSheetId="91">'433'!$H$19:$H$20</definedName>
    <definedName name="OSRRefH16x_0" localSheetId="92">'435'!$H$17:$H$18</definedName>
    <definedName name="OSRRefH16x_0" localSheetId="93">'444'!$H$18:$H$19</definedName>
    <definedName name="OSRRefH16x_0" localSheetId="95">'450'!$H$18:$H$19</definedName>
    <definedName name="OSRRefH16x_0" localSheetId="75">'491'!$H$25:$H$26</definedName>
    <definedName name="OSRRefH16x_0" localSheetId="89">'492'!$H$21:$H$22</definedName>
    <definedName name="OSRRefH16x_0" localSheetId="47">'Div 3'!$H$103:$H$152</definedName>
    <definedName name="OSRRefH16x_0" localSheetId="73">'Div 4'!$H$27:$H$28</definedName>
    <definedName name="OSRRefH16x_0" localSheetId="64">'Div 6'!$H$37:$H$47</definedName>
    <definedName name="OSRRefH16x_0" localSheetId="2">Summary!$H$129:$H$183</definedName>
    <definedName name="OSRRefH22_0x_0" localSheetId="40">'200'!$H$20</definedName>
    <definedName name="OSRRefH22_0x_0" localSheetId="41">'201'!$H$20:$H$28</definedName>
    <definedName name="OSRRefH22_0x_0" localSheetId="42">'202'!$H$20:$H$27</definedName>
    <definedName name="OSRRefH22_0x_0" localSheetId="43">'203'!$H$20:$H$28</definedName>
    <definedName name="OSRRefH22_0x_0" localSheetId="44">'204'!$H$20:$H$28</definedName>
    <definedName name="OSRRefH22_0x_0" localSheetId="45">'205'!$H$20:$H$27</definedName>
    <definedName name="OSRRefH22_0x_0" localSheetId="46">'206'!$H$20:$H$27</definedName>
    <definedName name="OSRRefH22_0x_0" localSheetId="48">'300'!$H$152:$H$160</definedName>
    <definedName name="OSRRefH22_0x_0" localSheetId="49">'300 &amp; 317'!$H$174:$H$182</definedName>
    <definedName name="OSRRefH22_0x_0" localSheetId="50">'301'!$H$20:$H$27</definedName>
    <definedName name="OSRRefH22_0x_0" localSheetId="51">'306'!$H$20:$H$28</definedName>
    <definedName name="OSRRefH22_0x_0" localSheetId="53">'307'!$H$64:$H$71</definedName>
    <definedName name="OSRRefH22_0x_0" localSheetId="55">'308'!$H$59:$H$67</definedName>
    <definedName name="OSRRefH22_0x_0" localSheetId="67">'309'!$H$24:$H$31</definedName>
    <definedName name="OSRRefH22_0x_0" localSheetId="66">'310'!$H$31:$H$38</definedName>
    <definedName name="OSRRefH22_0x_0" localSheetId="74">'310 &amp; 491'!$H$39:$H$47</definedName>
    <definedName name="OSRRefH22_0x_0" localSheetId="56">'311'!$H$58:$H$66</definedName>
    <definedName name="OSRRefH22_0x_0" localSheetId="68">'313'!$H$28:$H$35</definedName>
    <definedName name="OSRRefH22_0x_0" localSheetId="54">'314'!$H$55:$H$61</definedName>
    <definedName name="OSRRefH22_0x_0" localSheetId="59">'315'!$H$52:$H$59</definedName>
    <definedName name="OSRRefH22_0x_0" localSheetId="62">'316'!$H$32:$H$39</definedName>
    <definedName name="OSRRefH22_0x_0" localSheetId="65">'317'!$H$53:$H$61</definedName>
    <definedName name="OSRRefH22_0x_0" localSheetId="63">'320'!$H$29:$H$35</definedName>
    <definedName name="OSRRefH22_0x_0" localSheetId="69">'321'!$H$24:$H$30</definedName>
    <definedName name="OSRRefH22_0x_0" localSheetId="70">'322'!$H$24:$H$31</definedName>
    <definedName name="OSRRefH22_0x_0" localSheetId="57">'324'!$H$25</definedName>
    <definedName name="OSRRefH22_0x_0" localSheetId="71">'325'!$H$24:$H$31</definedName>
    <definedName name="OSRRefH22_0x_0" localSheetId="60">'326'!$H$56:$H$63</definedName>
    <definedName name="OSRRefH22_0x_0" localSheetId="72">'327'!$H$22</definedName>
    <definedName name="OSRRefH22_0x_0" localSheetId="52">'330'!$H$76:$H$83</definedName>
    <definedName name="OSRRefH22_0x_0" localSheetId="58">'331'!$H$68:$H$75</definedName>
    <definedName name="OSRRefH22_0x_0" localSheetId="61">'332'!$H$41:$H$48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'412'!$H$23:$H$30</definedName>
    <definedName name="OSRRefH22_0x_0" localSheetId="80">'413'!$H$24:$H$31</definedName>
    <definedName name="OSRRefH22_0x_0" localSheetId="81">'414'!$H$24:$H$31</definedName>
    <definedName name="OSRRefH22_0x_0" localSheetId="82">'415'!$H$24:$H$31</definedName>
    <definedName name="OSRRefH22_0x_0" localSheetId="83">'418'!$H$24:$H$31</definedName>
    <definedName name="OSRRefH22_0x_0" localSheetId="85">'423'!$H$21:$H$28</definedName>
    <definedName name="OSRRefH22_0x_0" localSheetId="86">'424'!$H$24:$H$26</definedName>
    <definedName name="OSRRefH22_0x_0" localSheetId="87">'425'!$H$25:$H$32</definedName>
    <definedName name="OSRRefH22_0x_0" localSheetId="90">'430'!$H$20:$H$27</definedName>
    <definedName name="OSRRefH22_0x_0" localSheetId="91">'433'!$H$26:$H$34</definedName>
    <definedName name="OSRRefH22_0x_0" localSheetId="92">'435'!$H$24:$H$26</definedName>
    <definedName name="OSRRefH22_0x_0" localSheetId="93">'444'!$H$25:$H$33</definedName>
    <definedName name="OSRRefH22_0x_0" localSheetId="94">'445'!$H$20</definedName>
    <definedName name="OSRRefH22_0x_0" localSheetId="95">'450'!$H$25:$H$33</definedName>
    <definedName name="OSRRefH22_0x_0" localSheetId="88">'455'!$H$20:$H$26</definedName>
    <definedName name="OSRRefH22_0x_0" localSheetId="75">'491'!$H$32:$H$40</definedName>
    <definedName name="OSRRefH22_0x_0" localSheetId="89">'492'!$H$28:$H$36</definedName>
    <definedName name="OSRRefH22_0x_0" localSheetId="97">'501'!$H$21:$H$28</definedName>
    <definedName name="OSRRefH22_0x_0" localSheetId="39">'Div 2'!$H$20:$H$30</definedName>
    <definedName name="OSRRefH22_0x_0" localSheetId="47">'Div 3'!$H$158:$H$166</definedName>
    <definedName name="OSRRefH22_0x_0" localSheetId="73">'Div 4'!$H$34:$H$42</definedName>
    <definedName name="OSRRefH22_0x_0" localSheetId="96">'Div 5'!$H$21:$H$28</definedName>
    <definedName name="OSRRefH22_0x_0" localSheetId="64">'Div 6'!$H$53:$H$61</definedName>
    <definedName name="OSRRefH22_0x_0" localSheetId="2">Summary!$H$189:$H$197</definedName>
    <definedName name="OSRRefH22_10x_0" localSheetId="41">'201'!$H$51:$H$52</definedName>
    <definedName name="OSRRefH22_10x_0" localSheetId="42">'202'!$H$51</definedName>
    <definedName name="OSRRefH22_10x_0" localSheetId="43">'203'!$H$53</definedName>
    <definedName name="OSRRefH22_10x_0" localSheetId="44">'204'!$H$57:$H$58</definedName>
    <definedName name="OSRRefH22_10x_0" localSheetId="48">'300'!$H$188:$H$189</definedName>
    <definedName name="OSRRefH22_10x_0" localSheetId="49">'300 &amp; 317'!$H$210:$H$211</definedName>
    <definedName name="OSRRefH22_10x_0" localSheetId="50">'301'!$H$54</definedName>
    <definedName name="OSRRefH22_10x_0" localSheetId="53">'307'!$H$95</definedName>
    <definedName name="OSRRefH22_10x_0" localSheetId="55">'308'!$H$94</definedName>
    <definedName name="OSRRefH22_10x_0" localSheetId="67">'309'!$H$56:$H$61</definedName>
    <definedName name="OSRRefH22_10x_0" localSheetId="66">'310'!$H$64</definedName>
    <definedName name="OSRRefH22_10x_0" localSheetId="74">'310 &amp; 491'!$H$75:$H$76</definedName>
    <definedName name="OSRRefH22_10x_0" localSheetId="56">'311'!$H$93</definedName>
    <definedName name="OSRRefH22_10x_0" localSheetId="68">'313'!$H$59:$H$63</definedName>
    <definedName name="OSRRefH22_10x_0" localSheetId="59">'315'!$H$84</definedName>
    <definedName name="OSRRefH22_10x_0" localSheetId="65">'317'!$H$85</definedName>
    <definedName name="OSRRefH22_10x_0" localSheetId="69">'321'!$H$59</definedName>
    <definedName name="OSRRefH22_10x_0" localSheetId="70">'322'!$H$54:$H$56</definedName>
    <definedName name="OSRRefH22_10x_0" localSheetId="71">'325'!$H$56</definedName>
    <definedName name="OSRRefH22_10x_0" localSheetId="60">'326'!$H$86</definedName>
    <definedName name="OSRRefH22_10x_0" localSheetId="52">'330'!$H$107:$H$108</definedName>
    <definedName name="OSRRefH22_10x_0" localSheetId="58">'331'!$H$99</definedName>
    <definedName name="OSRRefH22_10x_0" localSheetId="61">'332'!$H$76</definedName>
    <definedName name="OSRRefH22_10x_0" localSheetId="76">'405'!$H$56</definedName>
    <definedName name="OSRRefH22_10x_0" localSheetId="77">'406'!$H$55:$H$60</definedName>
    <definedName name="OSRRefH22_10x_0" localSheetId="78">'411'!$H$61:$H$66</definedName>
    <definedName name="OSRRefH22_10x_0" localSheetId="79">'412'!$H$56:$H$57</definedName>
    <definedName name="OSRRefH22_10x_0" localSheetId="80">'413'!$H$58</definedName>
    <definedName name="OSRRefH22_10x_0" localSheetId="81">'414'!$H$55</definedName>
    <definedName name="OSRRefH22_10x_0" localSheetId="82">'415'!$H$56</definedName>
    <definedName name="OSRRefH22_10x_0" localSheetId="83">'418'!$H$58:$H$60</definedName>
    <definedName name="OSRRefH22_10x_0" localSheetId="86">'424'!$H$52</definedName>
    <definedName name="OSRRefH22_10x_0" localSheetId="87">'425'!$H$56</definedName>
    <definedName name="OSRRefH22_10x_0" localSheetId="91">'433'!$H$61:$H$66</definedName>
    <definedName name="OSRRefH22_10x_0" localSheetId="93">'444'!$H$58:$H$59</definedName>
    <definedName name="OSRRefH22_10x_0" localSheetId="95">'450'!$H$58</definedName>
    <definedName name="OSRRefH22_10x_0" localSheetId="75">'491'!$H$69</definedName>
    <definedName name="OSRRefH22_10x_0" localSheetId="89">'492'!$H$62</definedName>
    <definedName name="OSRRefH22_10x_0" localSheetId="97">'501'!$H$56</definedName>
    <definedName name="OSRRefH22_10x_0" localSheetId="39">'Div 2'!$H$57</definedName>
    <definedName name="OSRRefH22_10x_0" localSheetId="47">'Div 3'!$H$194:$H$195</definedName>
    <definedName name="OSRRefH22_10x_0" localSheetId="73">'Div 4'!$H$71</definedName>
    <definedName name="OSRRefH22_10x_0" localSheetId="96">'Div 5'!$H$56</definedName>
    <definedName name="OSRRefH22_10x_0" localSheetId="64">'Div 6'!$H$85</definedName>
    <definedName name="OSRRefH22_10x_0" localSheetId="2">Summary!$H$226:$H$227</definedName>
    <definedName name="OSRRefH22_11x_0" localSheetId="41">'201'!$H$54</definedName>
    <definedName name="OSRRefH22_11x_0" localSheetId="42">'202'!$H$53</definedName>
    <definedName name="OSRRefH22_11x_0" localSheetId="43">'203'!$H$55:$H$57</definedName>
    <definedName name="OSRRefH22_11x_0" localSheetId="48">'300'!$H$191</definedName>
    <definedName name="OSRRefH22_11x_0" localSheetId="49">'300 &amp; 317'!$H$213</definedName>
    <definedName name="OSRRefH22_11x_0" localSheetId="50">'301'!$H$56</definedName>
    <definedName name="OSRRefH22_11x_0" localSheetId="55">'308'!$H$96:$H$98</definedName>
    <definedName name="OSRRefH22_11x_0" localSheetId="67">'309'!$H$63</definedName>
    <definedName name="OSRRefH22_11x_0" localSheetId="66">'310'!$H$66</definedName>
    <definedName name="OSRRefH22_11x_0" localSheetId="74">'310 &amp; 491'!$H$78</definedName>
    <definedName name="OSRRefH22_11x_0" localSheetId="56">'311'!$H$95:$H$97</definedName>
    <definedName name="OSRRefH22_11x_0" localSheetId="68">'313'!$H$65</definedName>
    <definedName name="OSRRefH22_11x_0" localSheetId="59">'315'!$H$86:$H$89</definedName>
    <definedName name="OSRRefH22_11x_0" localSheetId="69">'321'!$H$61</definedName>
    <definedName name="OSRRefH22_11x_0" localSheetId="70">'322'!$H$58:$H$63</definedName>
    <definedName name="OSRRefH22_11x_0" localSheetId="71">'325'!$H$58:$H$60</definedName>
    <definedName name="OSRRefH22_11x_0" localSheetId="60">'326'!$H$88</definedName>
    <definedName name="OSRRefH22_11x_0" localSheetId="52">'330'!$H$110</definedName>
    <definedName name="OSRRefH22_11x_0" localSheetId="58">'331'!$H$101</definedName>
    <definedName name="OSRRefH22_11x_0" localSheetId="76">'405'!$H$58:$H$60</definedName>
    <definedName name="OSRRefH22_11x_0" localSheetId="77">'406'!$H$62</definedName>
    <definedName name="OSRRefH22_11x_0" localSheetId="78">'411'!$H$68</definedName>
    <definedName name="OSRRefH22_11x_0" localSheetId="79">'412'!$H$59:$H$65</definedName>
    <definedName name="OSRRefH22_11x_0" localSheetId="81">'414'!$H$57</definedName>
    <definedName name="OSRRefH22_11x_0" localSheetId="82">'415'!$H$58</definedName>
    <definedName name="OSRRefH22_11x_0" localSheetId="83">'418'!$H$62</definedName>
    <definedName name="OSRRefH22_11x_0" localSheetId="87">'425'!$H$58:$H$59</definedName>
    <definedName name="OSRRefH22_11x_0" localSheetId="91">'433'!$H$68</definedName>
    <definedName name="OSRRefH22_11x_0" localSheetId="93">'444'!$H$61:$H$63</definedName>
    <definedName name="OSRRefH22_11x_0" localSheetId="95">'450'!$H$60:$H$62</definedName>
    <definedName name="OSRRefH22_11x_0" localSheetId="75">'491'!$H$71</definedName>
    <definedName name="OSRRefH22_11x_0" localSheetId="89">'492'!$H$64:$H$65</definedName>
    <definedName name="OSRRefH22_11x_0" localSheetId="39">'Div 2'!$H$59</definedName>
    <definedName name="OSRRefH22_11x_0" localSheetId="47">'Div 3'!$H$197</definedName>
    <definedName name="OSRRefH22_11x_0" localSheetId="73">'Div 4'!$H$73</definedName>
    <definedName name="OSRRefH22_11x_0" localSheetId="2">Summary!$H$229:$H$230</definedName>
    <definedName name="OSRRefH22_12x_0" localSheetId="41">'201'!$H$56:$H$58</definedName>
    <definedName name="OSRRefH22_12x_0" localSheetId="43">'203'!$H$59</definedName>
    <definedName name="OSRRefH22_12x_0" localSheetId="48">'300'!$H$193</definedName>
    <definedName name="OSRRefH22_12x_0" localSheetId="49">'300 &amp; 317'!$H$215</definedName>
    <definedName name="OSRRefH22_12x_0" localSheetId="50">'301'!$H$58</definedName>
    <definedName name="OSRRefH22_12x_0" localSheetId="55">'308'!$H$100:$H$101</definedName>
    <definedName name="OSRRefH22_12x_0" localSheetId="66">'310'!$H$68</definedName>
    <definedName name="OSRRefH22_12x_0" localSheetId="74">'310 &amp; 491'!$H$80</definedName>
    <definedName name="OSRRefH22_12x_0" localSheetId="56">'311'!$H$99:$H$100</definedName>
    <definedName name="OSRRefH22_12x_0" localSheetId="68">'313'!$H$67</definedName>
    <definedName name="OSRRefH22_12x_0" localSheetId="59">'315'!$H$91</definedName>
    <definedName name="OSRRefH22_12x_0" localSheetId="70">'322'!$H$65</definedName>
    <definedName name="OSRRefH22_12x_0" localSheetId="71">'325'!$H$62</definedName>
    <definedName name="OSRRefH22_12x_0" localSheetId="60">'326'!$H$90</definedName>
    <definedName name="OSRRefH22_12x_0" localSheetId="58">'331'!$H$103</definedName>
    <definedName name="OSRRefH22_12x_0" localSheetId="76">'405'!$H$62</definedName>
    <definedName name="OSRRefH22_12x_0" localSheetId="77">'406'!$H$64</definedName>
    <definedName name="OSRRefH22_12x_0" localSheetId="78">'411'!$H$70</definedName>
    <definedName name="OSRRefH22_12x_0" localSheetId="79">'412'!$H$67</definedName>
    <definedName name="OSRRefH22_12x_0" localSheetId="81">'414'!$H$59:$H$65</definedName>
    <definedName name="OSRRefH22_12x_0" localSheetId="82">'415'!$H$60:$H$64</definedName>
    <definedName name="OSRRefH22_12x_0" localSheetId="83">'418'!$H$64:$H$68</definedName>
    <definedName name="OSRRefH22_12x_0" localSheetId="87">'425'!$H$61:$H$66</definedName>
    <definedName name="OSRRefH22_12x_0" localSheetId="91">'433'!$H$70</definedName>
    <definedName name="OSRRefH22_12x_0" localSheetId="93">'444'!$H$65:$H$71</definedName>
    <definedName name="OSRRefH22_12x_0" localSheetId="95">'450'!$H$64:$H$69</definedName>
    <definedName name="OSRRefH22_12x_0" localSheetId="75">'491'!$H$73</definedName>
    <definedName name="OSRRefH22_12x_0" localSheetId="89">'492'!$H$67:$H$69</definedName>
    <definedName name="OSRRefH22_12x_0" localSheetId="39">'Div 2'!$H$61:$H$64</definedName>
    <definedName name="OSRRefH22_12x_0" localSheetId="47">'Div 3'!$H$199</definedName>
    <definedName name="OSRRefH22_12x_0" localSheetId="73">'Div 4'!$H$75</definedName>
    <definedName name="OSRRefH22_12x_0" localSheetId="2">Summary!$H$232</definedName>
    <definedName name="OSRRefH22_13x_0" localSheetId="41">'201'!$H$60</definedName>
    <definedName name="OSRRefH22_13x_0" localSheetId="43">'203'!$H$61</definedName>
    <definedName name="OSRRefH22_13x_0" localSheetId="48">'300'!$H$195</definedName>
    <definedName name="OSRRefH22_13x_0" localSheetId="49">'300 &amp; 317'!$H$217</definedName>
    <definedName name="OSRRefH22_13x_0" localSheetId="50">'301'!$H$60</definedName>
    <definedName name="OSRRefH22_13x_0" localSheetId="55">'308'!$H$103</definedName>
    <definedName name="OSRRefH22_13x_0" localSheetId="66">'310'!$H$70</definedName>
    <definedName name="OSRRefH22_13x_0" localSheetId="74">'310 &amp; 491'!$H$82</definedName>
    <definedName name="OSRRefH22_13x_0" localSheetId="56">'311'!$H$102</definedName>
    <definedName name="OSRRefH22_13x_0" localSheetId="59">'315'!$H$93</definedName>
    <definedName name="OSRRefH22_13x_0" localSheetId="70">'322'!$H$67</definedName>
    <definedName name="OSRRefH22_13x_0" localSheetId="71">'325'!$H$64:$H$69</definedName>
    <definedName name="OSRRefH22_13x_0" localSheetId="60">'326'!$H$92:$H$94</definedName>
    <definedName name="OSRRefH22_13x_0" localSheetId="58">'331'!$H$105</definedName>
    <definedName name="OSRRefH22_13x_0" localSheetId="76">'405'!$H$64:$H$70</definedName>
    <definedName name="OSRRefH22_13x_0" localSheetId="78">'411'!$H$72:$H$74</definedName>
    <definedName name="OSRRefH22_13x_0" localSheetId="79">'412'!$H$69</definedName>
    <definedName name="OSRRefH22_13x_0" localSheetId="81">'414'!$H$67</definedName>
    <definedName name="OSRRefH22_13x_0" localSheetId="82">'415'!$H$66</definedName>
    <definedName name="OSRRefH22_13x_0" localSheetId="83">'418'!$H$70</definedName>
    <definedName name="OSRRefH22_13x_0" localSheetId="87">'425'!$H$68</definedName>
    <definedName name="OSRRefH22_13x_0" localSheetId="91">'433'!$H$72:$H$73</definedName>
    <definedName name="OSRRefH22_13x_0" localSheetId="93">'444'!$H$73</definedName>
    <definedName name="OSRRefH22_13x_0" localSheetId="95">'450'!$H$71</definedName>
    <definedName name="OSRRefH22_13x_0" localSheetId="75">'491'!$H$75:$H$77</definedName>
    <definedName name="OSRRefH22_13x_0" localSheetId="89">'492'!$H$71:$H$77</definedName>
    <definedName name="OSRRefH22_13x_0" localSheetId="39">'Div 2'!$H$66:$H$68</definedName>
    <definedName name="OSRRefH22_13x_0" localSheetId="47">'Div 3'!$H$201</definedName>
    <definedName name="OSRRefH22_13x_0" localSheetId="73">'Div 4'!$H$77</definedName>
    <definedName name="OSRRefH22_13x_0" localSheetId="2">Summary!$H$234</definedName>
    <definedName name="OSRRefH22_14x_0" localSheetId="41">'201'!$H$62</definedName>
    <definedName name="OSRRefH22_14x_0" localSheetId="43">'203'!$H$63</definedName>
    <definedName name="OSRRefH22_14x_0" localSheetId="48">'300'!$H$197</definedName>
    <definedName name="OSRRefH22_14x_0" localSheetId="49">'300 &amp; 317'!$H$219</definedName>
    <definedName name="OSRRefH22_14x_0" localSheetId="50">'301'!$H$62:$H$64</definedName>
    <definedName name="OSRRefH22_14x_0" localSheetId="55">'308'!$H$105</definedName>
    <definedName name="OSRRefH22_14x_0" localSheetId="66">'310'!$H$72</definedName>
    <definedName name="OSRRefH22_14x_0" localSheetId="74">'310 &amp; 491'!$H$84</definedName>
    <definedName name="OSRRefH22_14x_0" localSheetId="56">'311'!$H$104</definedName>
    <definedName name="OSRRefH22_14x_0" localSheetId="59">'315'!$H$95</definedName>
    <definedName name="OSRRefH22_14x_0" localSheetId="71">'325'!$H$71</definedName>
    <definedName name="OSRRefH22_14x_0" localSheetId="60">'326'!$H$96</definedName>
    <definedName name="OSRRefH22_14x_0" localSheetId="58">'331'!$H$107:$H$108</definedName>
    <definedName name="OSRRefH22_14x_0" localSheetId="76">'405'!$H$72</definedName>
    <definedName name="OSRRefH22_14x_0" localSheetId="78">'411'!$H$76</definedName>
    <definedName name="OSRRefH22_14x_0" localSheetId="81">'414'!$H$69</definedName>
    <definedName name="OSRRefH22_14x_0" localSheetId="82">'415'!$H$68:$H$74</definedName>
    <definedName name="OSRRefH22_14x_0" localSheetId="83">'418'!$H$72</definedName>
    <definedName name="OSRRefH22_14x_0" localSheetId="87">'425'!$H$70</definedName>
    <definedName name="OSRRefH22_14x_0" localSheetId="93">'444'!$H$75</definedName>
    <definedName name="OSRRefH22_14x_0" localSheetId="95">'450'!$H$73</definedName>
    <definedName name="OSRRefH22_14x_0" localSheetId="75">'491'!$H$79:$H$80</definedName>
    <definedName name="OSRRefH22_14x_0" localSheetId="89">'492'!$H$79</definedName>
    <definedName name="OSRRefH22_14x_0" localSheetId="39">'Div 2'!$H$70:$H$71</definedName>
    <definedName name="OSRRefH22_14x_0" localSheetId="47">'Div 3'!$H$203</definedName>
    <definedName name="OSRRefH22_14x_0" localSheetId="73">'Div 4'!$H$79</definedName>
    <definedName name="OSRRefH22_14x_0" localSheetId="2">Summary!$H$236</definedName>
    <definedName name="OSRRefH22_15x_0" localSheetId="41">'201'!$H$64:$H$65</definedName>
    <definedName name="OSRRefH22_15x_0" localSheetId="48">'300'!$H$199</definedName>
    <definedName name="OSRRefH22_15x_0" localSheetId="49">'300 &amp; 317'!$H$221</definedName>
    <definedName name="OSRRefH22_15x_0" localSheetId="50">'301'!$H$66:$H$68</definedName>
    <definedName name="OSRRefH22_15x_0" localSheetId="66">'310'!$H$74</definedName>
    <definedName name="OSRRefH22_15x_0" localSheetId="74">'310 &amp; 491'!$H$86:$H$88</definedName>
    <definedName name="OSRRefH22_15x_0" localSheetId="71">'325'!$H$73</definedName>
    <definedName name="OSRRefH22_15x_0" localSheetId="60">'326'!$H$98:$H$101</definedName>
    <definedName name="OSRRefH22_15x_0" localSheetId="58">'331'!$H$110:$H$111</definedName>
    <definedName name="OSRRefH22_15x_0" localSheetId="76">'405'!$H$74</definedName>
    <definedName name="OSRRefH22_15x_0" localSheetId="82">'415'!$H$76</definedName>
    <definedName name="OSRRefH22_15x_0" localSheetId="87">'425'!$H$72</definedName>
    <definedName name="OSRRefH22_15x_0" localSheetId="93">'444'!$H$77</definedName>
    <definedName name="OSRRefH22_15x_0" localSheetId="95">'450'!$H$75:$H$76</definedName>
    <definedName name="OSRRefH22_15x_0" localSheetId="75">'491'!$H$82:$H$86</definedName>
    <definedName name="OSRRefH22_15x_0" localSheetId="89">'492'!$H$81</definedName>
    <definedName name="OSRRefH22_15x_0" localSheetId="39">'Div 2'!$H$73</definedName>
    <definedName name="OSRRefH22_15x_0" localSheetId="47">'Div 3'!$H$205</definedName>
    <definedName name="OSRRefH22_15x_0" localSheetId="73">'Div 4'!$H$81:$H$83</definedName>
    <definedName name="OSRRefH22_15x_0" localSheetId="2">Summary!$H$238</definedName>
    <definedName name="OSRRefH22_16x_0" localSheetId="48">'300'!$H$201:$H$203</definedName>
    <definedName name="OSRRefH22_16x_0" localSheetId="49">'300 &amp; 317'!$H$223:$H$225</definedName>
    <definedName name="OSRRefH22_16x_0" localSheetId="50">'301'!$H$70</definedName>
    <definedName name="OSRRefH22_16x_0" localSheetId="66">'310'!$H$76:$H$79</definedName>
    <definedName name="OSRRefH22_16x_0" localSheetId="74">'310 &amp; 491'!$H$90:$H$91</definedName>
    <definedName name="OSRRefH22_16x_0" localSheetId="60">'326'!$H$103</definedName>
    <definedName name="OSRRefH22_16x_0" localSheetId="58">'331'!$H$113:$H$115</definedName>
    <definedName name="OSRRefH22_16x_0" localSheetId="76">'405'!$H$76</definedName>
    <definedName name="OSRRefH22_16x_0" localSheetId="82">'415'!$H$78</definedName>
    <definedName name="OSRRefH22_16x_0" localSheetId="75">'491'!$H$88</definedName>
    <definedName name="OSRRefH22_16x_0" localSheetId="89">'492'!$H$83:$H$84</definedName>
    <definedName name="OSRRefH22_16x_0" localSheetId="39">'Div 2'!$H$75:$H$78</definedName>
    <definedName name="OSRRefH22_16x_0" localSheetId="47">'Div 3'!$H$207</definedName>
    <definedName name="OSRRefH22_16x_0" localSheetId="73">'Div 4'!$H$85:$H$86</definedName>
    <definedName name="OSRRefH22_16x_0" localSheetId="2">Summary!$H$240</definedName>
    <definedName name="OSRRefH22_17x_0" localSheetId="48">'300'!$H$205:$H$207</definedName>
    <definedName name="OSRRefH22_17x_0" localSheetId="49">'300 &amp; 317'!$H$227:$H$229</definedName>
    <definedName name="OSRRefH22_17x_0" localSheetId="50">'301'!$H$72:$H$76</definedName>
    <definedName name="OSRRefH22_17x_0" localSheetId="66">'310'!$H$81:$H$82</definedName>
    <definedName name="OSRRefH22_17x_0" localSheetId="74">'310 &amp; 491'!$H$93:$H$97</definedName>
    <definedName name="OSRRefH22_17x_0" localSheetId="60">'326'!$H$105</definedName>
    <definedName name="OSRRefH22_17x_0" localSheetId="58">'331'!$H$117</definedName>
    <definedName name="OSRRefH22_17x_0" localSheetId="82">'415'!$H$80</definedName>
    <definedName name="OSRRefH22_17x_0" localSheetId="75">'491'!$H$90:$H$97</definedName>
    <definedName name="OSRRefH22_17x_0" localSheetId="39">'Div 2'!$H$80:$H$81</definedName>
    <definedName name="OSRRefH22_17x_0" localSheetId="47">'Div 3'!$H$209:$H$211</definedName>
    <definedName name="OSRRefH22_17x_0" localSheetId="73">'Div 4'!$H$88:$H$92</definedName>
    <definedName name="OSRRefH22_17x_0" localSheetId="2">Summary!$H$242</definedName>
    <definedName name="OSRRefH22_18x_0" localSheetId="48">'300'!$H$209:$H$212</definedName>
    <definedName name="OSRRefH22_18x_0" localSheetId="49">'300 &amp; 317'!$H$231:$H$234</definedName>
    <definedName name="OSRRefH22_18x_0" localSheetId="50">'301'!$H$78</definedName>
    <definedName name="OSRRefH22_18x_0" localSheetId="66">'310'!$H$84:$H$90</definedName>
    <definedName name="OSRRefH22_18x_0" localSheetId="74">'310 &amp; 491'!$H$99:$H$100</definedName>
    <definedName name="OSRRefH22_18x_0" localSheetId="60">'326'!$H$107</definedName>
    <definedName name="OSRRefH22_18x_0" localSheetId="58">'331'!$H$119:$H$123</definedName>
    <definedName name="OSRRefH22_18x_0" localSheetId="75">'491'!$H$99</definedName>
    <definedName name="OSRRefH22_18x_0" localSheetId="39">'Div 2'!$H$83</definedName>
    <definedName name="OSRRefH22_18x_0" localSheetId="47">'Div 3'!$H$213:$H$215</definedName>
    <definedName name="OSRRefH22_18x_0" localSheetId="73">'Div 4'!$H$94</definedName>
    <definedName name="OSRRefH22_18x_0" localSheetId="2">Summary!$H$244:$H$246</definedName>
    <definedName name="OSRRefH22_19x_0" localSheetId="48">'300'!$H$214:$H$215</definedName>
    <definedName name="OSRRefH22_19x_0" localSheetId="49">'300 &amp; 317'!$H$236:$H$237</definedName>
    <definedName name="OSRRefH22_19x_0" localSheetId="50">'301'!$H$80</definedName>
    <definedName name="OSRRefH22_19x_0" localSheetId="66">'310'!$H$92</definedName>
    <definedName name="OSRRefH22_19x_0" localSheetId="74">'310 &amp; 491'!$H$102:$H$109</definedName>
    <definedName name="OSRRefH22_19x_0" localSheetId="58">'331'!$H$125</definedName>
    <definedName name="OSRRefH22_19x_0" localSheetId="75">'491'!$H$101</definedName>
    <definedName name="OSRRefH22_19x_0" localSheetId="39">'Div 2'!$H$85:$H$86</definedName>
    <definedName name="OSRRefH22_19x_0" localSheetId="47">'Div 3'!$H$217:$H$221</definedName>
    <definedName name="OSRRefH22_19x_0" localSheetId="73">'Div 4'!$H$96:$H$103</definedName>
    <definedName name="OSRRefH22_19x_0" localSheetId="2">Summary!$H$248:$H$250</definedName>
    <definedName name="OSRRefH22_1x_0" localSheetId="40">'200'!$H$22</definedName>
    <definedName name="OSRRefH22_1x_0" localSheetId="41">'201'!$H$30:$H$32</definedName>
    <definedName name="OSRRefH22_1x_0" localSheetId="42">'202'!$H$29:$H$32</definedName>
    <definedName name="OSRRefH22_1x_0" localSheetId="43">'203'!$H$30:$H$33</definedName>
    <definedName name="OSRRefH22_1x_0" localSheetId="44">'204'!$H$30:$H$34</definedName>
    <definedName name="OSRRefH22_1x_0" localSheetId="45">'205'!$H$29</definedName>
    <definedName name="OSRRefH22_1x_0" localSheetId="46">'206'!$H$29:$H$34</definedName>
    <definedName name="OSRRefH22_1x_0" localSheetId="48">'300'!$H$162:$H$168</definedName>
    <definedName name="OSRRefH22_1x_0" localSheetId="49">'300 &amp; 317'!$H$184:$H$190</definedName>
    <definedName name="OSRRefH22_1x_0" localSheetId="50">'301'!$H$29:$H$34</definedName>
    <definedName name="OSRRefH22_1x_0" localSheetId="51">'306'!$H$30:$H$34</definedName>
    <definedName name="OSRRefH22_1x_0" localSheetId="53">'307'!$H$73:$H$75</definedName>
    <definedName name="OSRRefH22_1x_0" localSheetId="55">'308'!$H$69:$H$73</definedName>
    <definedName name="OSRRefH22_1x_0" localSheetId="67">'309'!$H$33:$H$37</definedName>
    <definedName name="OSRRefH22_1x_0" localSheetId="66">'310'!$H$40:$H$45</definedName>
    <definedName name="OSRRefH22_1x_0" localSheetId="74">'310 &amp; 491'!$H$49:$H$55</definedName>
    <definedName name="OSRRefH22_1x_0" localSheetId="56">'311'!$H$68:$H$72</definedName>
    <definedName name="OSRRefH22_1x_0" localSheetId="68">'313'!$H$37:$H$41</definedName>
    <definedName name="OSRRefH22_1x_0" localSheetId="54">'314'!$H$63:$H$65</definedName>
    <definedName name="OSRRefH22_1x_0" localSheetId="59">'315'!$H$61:$H$65</definedName>
    <definedName name="OSRRefH22_1x_0" localSheetId="62">'316'!$H$41:$H$44</definedName>
    <definedName name="OSRRefH22_1x_0" localSheetId="65">'317'!$H$63:$H$66</definedName>
    <definedName name="OSRRefH22_1x_0" localSheetId="63">'320'!$H$37:$H$39</definedName>
    <definedName name="OSRRefH22_1x_0" localSheetId="69">'321'!$H$32:$H$36</definedName>
    <definedName name="OSRRefH22_1x_0" localSheetId="70">'322'!$H$33:$H$36</definedName>
    <definedName name="OSRRefH22_1x_0" localSheetId="71">'325'!$H$33:$H$37</definedName>
    <definedName name="OSRRefH22_1x_0" localSheetId="60">'326'!$H$65:$H$68</definedName>
    <definedName name="OSRRefH22_1x_0" localSheetId="72">'327'!$H$24</definedName>
    <definedName name="OSRRefH22_1x_0" localSheetId="52">'330'!$H$85:$H$87</definedName>
    <definedName name="OSRRefH22_1x_0" localSheetId="58">'331'!$H$77:$H$81</definedName>
    <definedName name="OSRRefH22_1x_0" localSheetId="61">'332'!$H$50:$H$53</definedName>
    <definedName name="OSRRefH22_1x_0" localSheetId="76">'405'!$H$33:$H$36</definedName>
    <definedName name="OSRRefH22_1x_0" localSheetId="77">'406'!$H$33:$H$37</definedName>
    <definedName name="OSRRefH22_1x_0" localSheetId="78">'411'!$H$30:$H$35</definedName>
    <definedName name="OSRRefH22_1x_0" localSheetId="79">'412'!$H$32:$H$37</definedName>
    <definedName name="OSRRefH22_1x_0" localSheetId="80">'413'!$H$33:$H$37</definedName>
    <definedName name="OSRRefH22_1x_0" localSheetId="81">'414'!$H$33:$H$37</definedName>
    <definedName name="OSRRefH22_1x_0" localSheetId="82">'415'!$H$33:$H$37</definedName>
    <definedName name="OSRRefH22_1x_0" localSheetId="83">'418'!$H$33:$H$38</definedName>
    <definedName name="OSRRefH22_1x_0" localSheetId="85">'423'!$H$30</definedName>
    <definedName name="OSRRefH22_1x_0" localSheetId="86">'424'!$H$28:$H$31</definedName>
    <definedName name="OSRRefH22_1x_0" localSheetId="87">'425'!$H$34:$H$38</definedName>
    <definedName name="OSRRefH22_1x_0" localSheetId="90">'430'!$H$29</definedName>
    <definedName name="OSRRefH22_1x_0" localSheetId="91">'433'!$H$36:$H$41</definedName>
    <definedName name="OSRRefH22_1x_0" localSheetId="92">'435'!$H$28:$H$29</definedName>
    <definedName name="OSRRefH22_1x_0" localSheetId="93">'444'!$H$35:$H$40</definedName>
    <definedName name="OSRRefH22_1x_0" localSheetId="95">'450'!$H$35:$H$40</definedName>
    <definedName name="OSRRefH22_1x_0" localSheetId="88">'455'!$H$28:$H$29</definedName>
    <definedName name="OSRRefH22_1x_0" localSheetId="75">'491'!$H$42:$H$48</definedName>
    <definedName name="OSRRefH22_1x_0" localSheetId="89">'492'!$H$38:$H$44</definedName>
    <definedName name="OSRRefH22_1x_0" localSheetId="97">'501'!$H$30:$H$35</definedName>
    <definedName name="OSRRefH22_1x_0" localSheetId="39">'Div 2'!$H$32:$H$38</definedName>
    <definedName name="OSRRefH22_1x_0" localSheetId="47">'Div 3'!$H$168:$H$174</definedName>
    <definedName name="OSRRefH22_1x_0" localSheetId="73">'Div 4'!$H$44:$H$50</definedName>
    <definedName name="OSRRefH22_1x_0" localSheetId="96">'Div 5'!$H$30:$H$35</definedName>
    <definedName name="OSRRefH22_1x_0" localSheetId="64">'Div 6'!$H$63:$H$66</definedName>
    <definedName name="OSRRefH22_1x_0" localSheetId="2">Summary!$H$199:$H$205</definedName>
    <definedName name="OSRRefH22_20x_0" localSheetId="48">'300'!$H$217:$H$222</definedName>
    <definedName name="OSRRefH22_20x_0" localSheetId="49">'300 &amp; 317'!$H$239:$H$244</definedName>
    <definedName name="OSRRefH22_20x_0" localSheetId="50">'301'!$H$82:$H$83</definedName>
    <definedName name="OSRRefH22_20x_0" localSheetId="66">'310'!$H$94</definedName>
    <definedName name="OSRRefH22_20x_0" localSheetId="74">'310 &amp; 491'!$H$111</definedName>
    <definedName name="OSRRefH22_20x_0" localSheetId="58">'331'!$H$127</definedName>
    <definedName name="OSRRefH22_20x_0" localSheetId="75">'491'!$H$103:$H$105</definedName>
    <definedName name="OSRRefH22_20x_0" localSheetId="47">'Div 3'!$H$223:$H$224</definedName>
    <definedName name="OSRRefH22_20x_0" localSheetId="73">'Div 4'!$H$105</definedName>
    <definedName name="OSRRefH22_20x_0" localSheetId="2">Summary!$H$252:$H$256</definedName>
    <definedName name="OSRRefH22_21x_0" localSheetId="48">'300'!$H$224:$H$225</definedName>
    <definedName name="OSRRefH22_21x_0" localSheetId="49">'300 &amp; 317'!$H$246:$H$247</definedName>
    <definedName name="OSRRefH22_21x_0" localSheetId="50">'301'!$H$85</definedName>
    <definedName name="OSRRefH22_21x_0" localSheetId="66">'310'!$H$96</definedName>
    <definedName name="OSRRefH22_21x_0" localSheetId="74">'310 &amp; 491'!$H$113</definedName>
    <definedName name="OSRRefH22_21x_0" localSheetId="58">'331'!$H$129</definedName>
    <definedName name="OSRRefH22_21x_0" localSheetId="75">'491'!$H$107</definedName>
    <definedName name="OSRRefH22_21x_0" localSheetId="47">'Div 3'!$H$226:$H$232</definedName>
    <definedName name="OSRRefH22_21x_0" localSheetId="73">'Div 4'!$H$107</definedName>
    <definedName name="OSRRefH22_21x_0" localSheetId="2">Summary!$H$258:$H$259</definedName>
    <definedName name="OSRRefH22_22x_0" localSheetId="48">'300'!$H$227</definedName>
    <definedName name="OSRRefH22_22x_0" localSheetId="49">'300 &amp; 317'!$H$249</definedName>
    <definedName name="OSRRefH22_22x_0" localSheetId="74">'310 &amp; 491'!$H$115:$H$117</definedName>
    <definedName name="OSRRefH22_22x_0" localSheetId="58">'331'!$H$131</definedName>
    <definedName name="OSRRefH22_22x_0" localSheetId="47">'Div 3'!$H$234:$H$235</definedName>
    <definedName name="OSRRefH22_22x_0" localSheetId="73">'Div 4'!$H$109:$H$111</definedName>
    <definedName name="OSRRefH22_22x_0" localSheetId="2">Summary!$H$261:$H$268</definedName>
    <definedName name="OSRRefH22_23x_0" localSheetId="48">'300'!$H$229:$H$231</definedName>
    <definedName name="OSRRefH22_23x_0" localSheetId="49">'300 &amp; 317'!$H$251:$H$253</definedName>
    <definedName name="OSRRefH22_23x_0" localSheetId="74">'310 &amp; 491'!$H$119</definedName>
    <definedName name="OSRRefH22_23x_0" localSheetId="47">'Div 3'!$H$237</definedName>
    <definedName name="OSRRefH22_23x_0" localSheetId="73">'Div 4'!$H$113</definedName>
    <definedName name="OSRRefH22_23x_0" localSheetId="2">Summary!$H$270:$H$271</definedName>
    <definedName name="OSRRefH22_24x_0" localSheetId="48">'300'!$H$233</definedName>
    <definedName name="OSRRefH22_24x_0" localSheetId="49">'300 &amp; 317'!$H$255</definedName>
    <definedName name="OSRRefH22_24x_0" localSheetId="47">'Div 3'!$H$239:$H$241</definedName>
    <definedName name="OSRRefH22_24x_0" localSheetId="2">Summary!$H$273</definedName>
    <definedName name="OSRRefH22_25x_0" localSheetId="47">'Div 3'!$H$243</definedName>
    <definedName name="OSRRefH22_25x_0" localSheetId="2">Summary!$H$275:$H$277</definedName>
    <definedName name="OSRRefH22_26x_0" localSheetId="2">Summary!$H$279</definedName>
    <definedName name="OSRRefH22_2x_0" localSheetId="40">'200'!$H$24</definedName>
    <definedName name="OSRRefH22_2x_0" localSheetId="41">'201'!$H$34</definedName>
    <definedName name="OSRRefH22_2x_0" localSheetId="42">'202'!$H$34</definedName>
    <definedName name="OSRRefH22_2x_0" localSheetId="43">'203'!$H$35</definedName>
    <definedName name="OSRRefH22_2x_0" localSheetId="44">'204'!$H$36</definedName>
    <definedName name="OSRRefH22_2x_0" localSheetId="45">'205'!$H$31</definedName>
    <definedName name="OSRRefH22_2x_0" localSheetId="46">'206'!$H$36</definedName>
    <definedName name="OSRRefH22_2x_0" localSheetId="48">'300'!$H$170</definedName>
    <definedName name="OSRRefH22_2x_0" localSheetId="49">'300 &amp; 317'!$H$192</definedName>
    <definedName name="OSRRefH22_2x_0" localSheetId="50">'301'!$H$36</definedName>
    <definedName name="OSRRefH22_2x_0" localSheetId="51">'306'!$H$36</definedName>
    <definedName name="OSRRefH22_2x_0" localSheetId="53">'307'!$H$77</definedName>
    <definedName name="OSRRefH22_2x_0" localSheetId="55">'308'!$H$75</definedName>
    <definedName name="OSRRefH22_2x_0" localSheetId="67">'309'!$H$39</definedName>
    <definedName name="OSRRefH22_2x_0" localSheetId="66">'310'!$H$47</definedName>
    <definedName name="OSRRefH22_2x_0" localSheetId="74">'310 &amp; 491'!$H$57</definedName>
    <definedName name="OSRRefH22_2x_0" localSheetId="56">'311'!$H$74</definedName>
    <definedName name="OSRRefH22_2x_0" localSheetId="68">'313'!$H$43</definedName>
    <definedName name="OSRRefH22_2x_0" localSheetId="54">'314'!$H$67</definedName>
    <definedName name="OSRRefH22_2x_0" localSheetId="59">'315'!$H$67</definedName>
    <definedName name="OSRRefH22_2x_0" localSheetId="62">'316'!$H$46</definedName>
    <definedName name="OSRRefH22_2x_0" localSheetId="65">'317'!$H$68</definedName>
    <definedName name="OSRRefH22_2x_0" localSheetId="63">'320'!$H$41</definedName>
    <definedName name="OSRRefH22_2x_0" localSheetId="69">'321'!$H$38</definedName>
    <definedName name="OSRRefH22_2x_0" localSheetId="70">'322'!$H$38</definedName>
    <definedName name="OSRRefH22_2x_0" localSheetId="71">'325'!$H$39</definedName>
    <definedName name="OSRRefH22_2x_0" localSheetId="60">'326'!$H$70</definedName>
    <definedName name="OSRRefH22_2x_0" localSheetId="52">'330'!$H$89</definedName>
    <definedName name="OSRRefH22_2x_0" localSheetId="58">'331'!$H$83</definedName>
    <definedName name="OSRRefH22_2x_0" localSheetId="61">'332'!$H$55</definedName>
    <definedName name="OSRRefH22_2x_0" localSheetId="76">'405'!$H$38</definedName>
    <definedName name="OSRRefH22_2x_0" localSheetId="77">'406'!$H$39</definedName>
    <definedName name="OSRRefH22_2x_0" localSheetId="78">'411'!$H$37</definedName>
    <definedName name="OSRRefH22_2x_0" localSheetId="79">'412'!$H$39</definedName>
    <definedName name="OSRRefH22_2x_0" localSheetId="80">'413'!$H$39</definedName>
    <definedName name="OSRRefH22_2x_0" localSheetId="81">'414'!$H$39</definedName>
    <definedName name="OSRRefH22_2x_0" localSheetId="82">'415'!$H$39</definedName>
    <definedName name="OSRRefH22_2x_0" localSheetId="83">'418'!$H$40</definedName>
    <definedName name="OSRRefH22_2x_0" localSheetId="85">'423'!$H$32</definedName>
    <definedName name="OSRRefH22_2x_0" localSheetId="86">'424'!$H$33</definedName>
    <definedName name="OSRRefH22_2x_0" localSheetId="87">'425'!$H$40</definedName>
    <definedName name="OSRRefH22_2x_0" localSheetId="90">'430'!$H$31</definedName>
    <definedName name="OSRRefH22_2x_0" localSheetId="91">'433'!$H$43</definedName>
    <definedName name="OSRRefH22_2x_0" localSheetId="92">'435'!$H$31</definedName>
    <definedName name="OSRRefH22_2x_0" localSheetId="93">'444'!$H$42</definedName>
    <definedName name="OSRRefH22_2x_0" localSheetId="95">'450'!$H$42</definedName>
    <definedName name="OSRRefH22_2x_0" localSheetId="75">'491'!$H$50</definedName>
    <definedName name="OSRRefH22_2x_0" localSheetId="89">'492'!$H$46</definedName>
    <definedName name="OSRRefH22_2x_0" localSheetId="97">'501'!$H$37</definedName>
    <definedName name="OSRRefH22_2x_0" localSheetId="39">'Div 2'!$H$40</definedName>
    <definedName name="OSRRefH22_2x_0" localSheetId="47">'Div 3'!$H$176</definedName>
    <definedName name="OSRRefH22_2x_0" localSheetId="73">'Div 4'!$H$52</definedName>
    <definedName name="OSRRefH22_2x_0" localSheetId="96">'Div 5'!$H$37</definedName>
    <definedName name="OSRRefH22_2x_0" localSheetId="64">'Div 6'!$H$68</definedName>
    <definedName name="OSRRefH22_2x_0" localSheetId="2">Summary!$H$207</definedName>
    <definedName name="OSRRefH22_3x_0" localSheetId="40">'200'!$H$26</definedName>
    <definedName name="OSRRefH22_3x_0" localSheetId="41">'201'!$H$36</definedName>
    <definedName name="OSRRefH22_3x_0" localSheetId="42">'202'!$H$36</definedName>
    <definedName name="OSRRefH22_3x_0" localSheetId="43">'203'!$H$37</definedName>
    <definedName name="OSRRefH22_3x_0" localSheetId="44">'204'!$H$38:$H$39</definedName>
    <definedName name="OSRRefH22_3x_0" localSheetId="45">'205'!$H$33</definedName>
    <definedName name="OSRRefH22_3x_0" localSheetId="46">'206'!$H$38</definedName>
    <definedName name="OSRRefH22_3x_0" localSheetId="48">'300'!$H$172</definedName>
    <definedName name="OSRRefH22_3x_0" localSheetId="49">'300 &amp; 317'!$H$194</definedName>
    <definedName name="OSRRefH22_3x_0" localSheetId="50">'301'!$H$38</definedName>
    <definedName name="OSRRefH22_3x_0" localSheetId="51">'306'!$H$38</definedName>
    <definedName name="OSRRefH22_3x_0" localSheetId="53">'307'!$H$79</definedName>
    <definedName name="OSRRefH22_3x_0" localSheetId="55">'308'!$H$77:$H$78</definedName>
    <definedName name="OSRRefH22_3x_0" localSheetId="67">'309'!$H$41</definedName>
    <definedName name="OSRRefH22_3x_0" localSheetId="66">'310'!$H$49</definedName>
    <definedName name="OSRRefH22_3x_0" localSheetId="74">'310 &amp; 491'!$H$59</definedName>
    <definedName name="OSRRefH22_3x_0" localSheetId="56">'311'!$H$76:$H$77</definedName>
    <definedName name="OSRRefH22_3x_0" localSheetId="68">'313'!$H$45</definedName>
    <definedName name="OSRRefH22_3x_0" localSheetId="54">'314'!$H$69:$H$70</definedName>
    <definedName name="OSRRefH22_3x_0" localSheetId="59">'315'!$H$69</definedName>
    <definedName name="OSRRefH22_3x_0" localSheetId="62">'316'!$H$48</definedName>
    <definedName name="OSRRefH22_3x_0" localSheetId="65">'317'!$H$70</definedName>
    <definedName name="OSRRefH22_3x_0" localSheetId="63">'320'!$H$43:$H$44</definedName>
    <definedName name="OSRRefH22_3x_0" localSheetId="69">'321'!$H$40</definedName>
    <definedName name="OSRRefH22_3x_0" localSheetId="70">'322'!$H$40</definedName>
    <definedName name="OSRRefH22_3x_0" localSheetId="71">'325'!$H$41</definedName>
    <definedName name="OSRRefH22_3x_0" localSheetId="60">'326'!$H$72</definedName>
    <definedName name="OSRRefH22_3x_0" localSheetId="52">'330'!$H$91</definedName>
    <definedName name="OSRRefH22_3x_0" localSheetId="58">'331'!$H$85</definedName>
    <definedName name="OSRRefH22_3x_0" localSheetId="61">'332'!$H$57</definedName>
    <definedName name="OSRRefH22_3x_0" localSheetId="76">'405'!$H$40</definedName>
    <definedName name="OSRRefH22_3x_0" localSheetId="77">'406'!$H$41</definedName>
    <definedName name="OSRRefH22_3x_0" localSheetId="78">'411'!$H$39:$H$41</definedName>
    <definedName name="OSRRefH22_3x_0" localSheetId="79">'412'!$H$41</definedName>
    <definedName name="OSRRefH22_3x_0" localSheetId="80">'413'!$H$41</definedName>
    <definedName name="OSRRefH22_3x_0" localSheetId="81">'414'!$H$41</definedName>
    <definedName name="OSRRefH22_3x_0" localSheetId="82">'415'!$H$41</definedName>
    <definedName name="OSRRefH22_3x_0" localSheetId="83">'418'!$H$42</definedName>
    <definedName name="OSRRefH22_3x_0" localSheetId="85">'423'!$H$34</definedName>
    <definedName name="OSRRefH22_3x_0" localSheetId="86">'424'!$H$35</definedName>
    <definedName name="OSRRefH22_3x_0" localSheetId="87">'425'!$H$42</definedName>
    <definedName name="OSRRefH22_3x_0" localSheetId="90">'430'!$H$33</definedName>
    <definedName name="OSRRefH22_3x_0" localSheetId="91">'433'!$H$45</definedName>
    <definedName name="OSRRefH22_3x_0" localSheetId="92">'435'!$H$33</definedName>
    <definedName name="OSRRefH22_3x_0" localSheetId="93">'444'!$H$44</definedName>
    <definedName name="OSRRefH22_3x_0" localSheetId="95">'450'!$H$44</definedName>
    <definedName name="OSRRefH22_3x_0" localSheetId="75">'491'!$H$52</definedName>
    <definedName name="OSRRefH22_3x_0" localSheetId="89">'492'!$H$48</definedName>
    <definedName name="OSRRefH22_3x_0" localSheetId="97">'501'!$H$39</definedName>
    <definedName name="OSRRefH22_3x_0" localSheetId="39">'Div 2'!$H$42</definedName>
    <definedName name="OSRRefH22_3x_0" localSheetId="47">'Div 3'!$H$178</definedName>
    <definedName name="OSRRefH22_3x_0" localSheetId="73">'Div 4'!$H$54</definedName>
    <definedName name="OSRRefH22_3x_0" localSheetId="96">'Div 5'!$H$39</definedName>
    <definedName name="OSRRefH22_3x_0" localSheetId="64">'Div 6'!$H$70</definedName>
    <definedName name="OSRRefH22_3x_0" localSheetId="2">Summary!$H$209</definedName>
    <definedName name="OSRRefH22_4x_0" localSheetId="41">'201'!$H$38</definedName>
    <definedName name="OSRRefH22_4x_0" localSheetId="42">'202'!$H$38</definedName>
    <definedName name="OSRRefH22_4x_0" localSheetId="43">'203'!$H$39</definedName>
    <definedName name="OSRRefH22_4x_0" localSheetId="44">'204'!$H$41</definedName>
    <definedName name="OSRRefH22_4x_0" localSheetId="45">'205'!$H$35:$H$36</definedName>
    <definedName name="OSRRefH22_4x_0" localSheetId="46">'206'!$H$40:$H$41</definedName>
    <definedName name="OSRRefH22_4x_0" localSheetId="48">'300'!$H$174</definedName>
    <definedName name="OSRRefH22_4x_0" localSheetId="49">'300 &amp; 317'!$H$196</definedName>
    <definedName name="OSRRefH22_4x_0" localSheetId="50">'301'!$H$40</definedName>
    <definedName name="OSRRefH22_4x_0" localSheetId="51">'306'!$H$40</definedName>
    <definedName name="OSRRefH22_4x_0" localSheetId="53">'307'!$H$81:$H$82</definedName>
    <definedName name="OSRRefH22_4x_0" localSheetId="55">'308'!$H$80</definedName>
    <definedName name="OSRRefH22_4x_0" localSheetId="67">'309'!$H$43</definedName>
    <definedName name="OSRRefH22_4x_0" localSheetId="66">'310'!$H$51</definedName>
    <definedName name="OSRRefH22_4x_0" localSheetId="74">'310 &amp; 491'!$H$61</definedName>
    <definedName name="OSRRefH22_4x_0" localSheetId="56">'311'!$H$79</definedName>
    <definedName name="OSRRefH22_4x_0" localSheetId="68">'313'!$H$47</definedName>
    <definedName name="OSRRefH22_4x_0" localSheetId="54">'314'!$H$72</definedName>
    <definedName name="OSRRefH22_4x_0" localSheetId="59">'315'!$H$71</definedName>
    <definedName name="OSRRefH22_4x_0" localSheetId="62">'316'!$H$50</definedName>
    <definedName name="OSRRefH22_4x_0" localSheetId="65">'317'!$H$72</definedName>
    <definedName name="OSRRefH22_4x_0" localSheetId="63">'320'!$H$46</definedName>
    <definedName name="OSRRefH22_4x_0" localSheetId="69">'321'!$H$42</definedName>
    <definedName name="OSRRefH22_4x_0" localSheetId="70">'322'!$H$42</definedName>
    <definedName name="OSRRefH22_4x_0" localSheetId="71">'325'!$H$43</definedName>
    <definedName name="OSRRefH22_4x_0" localSheetId="60">'326'!$H$74</definedName>
    <definedName name="OSRRefH22_4x_0" localSheetId="52">'330'!$H$93:$H$94</definedName>
    <definedName name="OSRRefH22_4x_0" localSheetId="58">'331'!$H$87</definedName>
    <definedName name="OSRRefH22_4x_0" localSheetId="61">'332'!$H$59</definedName>
    <definedName name="OSRRefH22_4x_0" localSheetId="76">'405'!$H$42</definedName>
    <definedName name="OSRRefH22_4x_0" localSheetId="77">'406'!$H$43</definedName>
    <definedName name="OSRRefH22_4x_0" localSheetId="78">'411'!$H$43</definedName>
    <definedName name="OSRRefH22_4x_0" localSheetId="79">'412'!$H$43</definedName>
    <definedName name="OSRRefH22_4x_0" localSheetId="80">'413'!$H$43</definedName>
    <definedName name="OSRRefH22_4x_0" localSheetId="81">'414'!$H$43</definedName>
    <definedName name="OSRRefH22_4x_0" localSheetId="82">'415'!$H$43</definedName>
    <definedName name="OSRRefH22_4x_0" localSheetId="83">'418'!$H$44</definedName>
    <definedName name="OSRRefH22_4x_0" localSheetId="85">'423'!$H$36</definedName>
    <definedName name="OSRRefH22_4x_0" localSheetId="86">'424'!$H$37</definedName>
    <definedName name="OSRRefH22_4x_0" localSheetId="87">'425'!$H$44</definedName>
    <definedName name="OSRRefH22_4x_0" localSheetId="90">'430'!$H$35:$H$36</definedName>
    <definedName name="OSRRefH22_4x_0" localSheetId="91">'433'!$H$47</definedName>
    <definedName name="OSRRefH22_4x_0" localSheetId="92">'435'!$H$35</definedName>
    <definedName name="OSRRefH22_4x_0" localSheetId="93">'444'!$H$46</definedName>
    <definedName name="OSRRefH22_4x_0" localSheetId="95">'450'!$H$46</definedName>
    <definedName name="OSRRefH22_4x_0" localSheetId="75">'491'!$H$54</definedName>
    <definedName name="OSRRefH22_4x_0" localSheetId="89">'492'!$H$50</definedName>
    <definedName name="OSRRefH22_4x_0" localSheetId="97">'501'!$H$41</definedName>
    <definedName name="OSRRefH22_4x_0" localSheetId="39">'Div 2'!$H$44</definedName>
    <definedName name="OSRRefH22_4x_0" localSheetId="47">'Div 3'!$H$180</definedName>
    <definedName name="OSRRefH22_4x_0" localSheetId="73">'Div 4'!$H$56</definedName>
    <definedName name="OSRRefH22_4x_0" localSheetId="96">'Div 5'!$H$41</definedName>
    <definedName name="OSRRefH22_4x_0" localSheetId="64">'Div 6'!$H$72</definedName>
    <definedName name="OSRRefH22_4x_0" localSheetId="2">Summary!$H$211</definedName>
    <definedName name="OSRRefH22_5x_0" localSheetId="41">'201'!$H$40</definedName>
    <definedName name="OSRRefH22_5x_0" localSheetId="42">'202'!$H$40</definedName>
    <definedName name="OSRRefH22_5x_0" localSheetId="43">'203'!$H$41</definedName>
    <definedName name="OSRRefH22_5x_0" localSheetId="44">'204'!$H$43</definedName>
    <definedName name="OSRRefH22_5x_0" localSheetId="45">'205'!$H$38</definedName>
    <definedName name="OSRRefH22_5x_0" localSheetId="46">'206'!$H$43</definedName>
    <definedName name="OSRRefH22_5x_0" localSheetId="48">'300'!$H$176:$H$177</definedName>
    <definedName name="OSRRefH22_5x_0" localSheetId="49">'300 &amp; 317'!$H$198:$H$199</definedName>
    <definedName name="OSRRefH22_5x_0" localSheetId="50">'301'!$H$42:$H$43</definedName>
    <definedName name="OSRRefH22_5x_0" localSheetId="51">'306'!$H$42:$H$44</definedName>
    <definedName name="OSRRefH22_5x_0" localSheetId="53">'307'!$H$84</definedName>
    <definedName name="OSRRefH22_5x_0" localSheetId="55">'308'!$H$82</definedName>
    <definedName name="OSRRefH22_5x_0" localSheetId="67">'309'!$H$45</definedName>
    <definedName name="OSRRefH22_5x_0" localSheetId="66">'310'!$H$53:$H$54</definedName>
    <definedName name="OSRRefH22_5x_0" localSheetId="74">'310 &amp; 491'!$H$63:$H$65</definedName>
    <definedName name="OSRRefH22_5x_0" localSheetId="56">'311'!$H$81</definedName>
    <definedName name="OSRRefH22_5x_0" localSheetId="68">'313'!$H$49</definedName>
    <definedName name="OSRRefH22_5x_0" localSheetId="54">'314'!$H$74:$H$75</definedName>
    <definedName name="OSRRefH22_5x_0" localSheetId="59">'315'!$H$73</definedName>
    <definedName name="OSRRefH22_5x_0" localSheetId="62">'316'!$H$52</definedName>
    <definedName name="OSRRefH22_5x_0" localSheetId="65">'317'!$H$74</definedName>
    <definedName name="OSRRefH22_5x_0" localSheetId="63">'320'!$H$48:$H$49</definedName>
    <definedName name="OSRRefH22_5x_0" localSheetId="69">'321'!$H$44</definedName>
    <definedName name="OSRRefH22_5x_0" localSheetId="70">'322'!$H$44</definedName>
    <definedName name="OSRRefH22_5x_0" localSheetId="71">'325'!$H$45:$H$46</definedName>
    <definedName name="OSRRefH22_5x_0" localSheetId="60">'326'!$H$76</definedName>
    <definedName name="OSRRefH22_5x_0" localSheetId="52">'330'!$H$96</definedName>
    <definedName name="OSRRefH22_5x_0" localSheetId="58">'331'!$H$89</definedName>
    <definedName name="OSRRefH22_5x_0" localSheetId="61">'332'!$H$61:$H$62</definedName>
    <definedName name="OSRRefH22_5x_0" localSheetId="76">'405'!$H$44:$H$45</definedName>
    <definedName name="OSRRefH22_5x_0" localSheetId="77">'406'!$H$45</definedName>
    <definedName name="OSRRefH22_5x_0" localSheetId="78">'411'!$H$45</definedName>
    <definedName name="OSRRefH22_5x_0" localSheetId="79">'412'!$H$45</definedName>
    <definedName name="OSRRefH22_5x_0" localSheetId="80">'413'!$H$45</definedName>
    <definedName name="OSRRefH22_5x_0" localSheetId="81">'414'!$H$45</definedName>
    <definedName name="OSRRefH22_5x_0" localSheetId="82">'415'!$H$45:$H$46</definedName>
    <definedName name="OSRRefH22_5x_0" localSheetId="83">'418'!$H$46:$H$47</definedName>
    <definedName name="OSRRefH22_5x_0" localSheetId="85">'423'!$H$38</definedName>
    <definedName name="OSRRefH22_5x_0" localSheetId="86">'424'!$H$39</definedName>
    <definedName name="OSRRefH22_5x_0" localSheetId="87">'425'!$H$46</definedName>
    <definedName name="OSRRefH22_5x_0" localSheetId="90">'430'!$H$38</definedName>
    <definedName name="OSRRefH22_5x_0" localSheetId="91">'433'!$H$49</definedName>
    <definedName name="OSRRefH22_5x_0" localSheetId="92">'435'!$H$37</definedName>
    <definedName name="OSRRefH22_5x_0" localSheetId="93">'444'!$H$48</definedName>
    <definedName name="OSRRefH22_5x_0" localSheetId="95">'450'!$H$48</definedName>
    <definedName name="OSRRefH22_5x_0" localSheetId="75">'491'!$H$56:$H$58</definedName>
    <definedName name="OSRRefH22_5x_0" localSheetId="89">'492'!$H$52</definedName>
    <definedName name="OSRRefH22_5x_0" localSheetId="97">'501'!$H$43</definedName>
    <definedName name="OSRRefH22_5x_0" localSheetId="39">'Div 2'!$H$46:$H$47</definedName>
    <definedName name="OSRRefH22_5x_0" localSheetId="47">'Div 3'!$H$182:$H$183</definedName>
    <definedName name="OSRRefH22_5x_0" localSheetId="73">'Div 4'!$H$58:$H$60</definedName>
    <definedName name="OSRRefH22_5x_0" localSheetId="96">'Div 5'!$H$43</definedName>
    <definedName name="OSRRefH22_5x_0" localSheetId="64">'Div 6'!$H$74</definedName>
    <definedName name="OSRRefH22_5x_0" localSheetId="2">Summary!$H$213:$H$215</definedName>
    <definedName name="OSRRefH22_6x_0" localSheetId="41">'201'!$H$42</definedName>
    <definedName name="OSRRefH22_6x_0" localSheetId="42">'202'!$H$42</definedName>
    <definedName name="OSRRefH22_6x_0" localSheetId="43">'203'!$H$43</definedName>
    <definedName name="OSRRefH22_6x_0" localSheetId="44">'204'!$H$45:$H$47</definedName>
    <definedName name="OSRRefH22_6x_0" localSheetId="45">'205'!$H$40:$H$41</definedName>
    <definedName name="OSRRefH22_6x_0" localSheetId="46">'206'!$H$45</definedName>
    <definedName name="OSRRefH22_6x_0" localSheetId="48">'300'!$H$179:$H$180</definedName>
    <definedName name="OSRRefH22_6x_0" localSheetId="49">'300 &amp; 317'!$H$201:$H$202</definedName>
    <definedName name="OSRRefH22_6x_0" localSheetId="50">'301'!$H$45:$H$46</definedName>
    <definedName name="OSRRefH22_6x_0" localSheetId="51">'306'!$H$46</definedName>
    <definedName name="OSRRefH22_6x_0" localSheetId="53">'307'!$H$86</definedName>
    <definedName name="OSRRefH22_6x_0" localSheetId="55">'308'!$H$84:$H$85</definedName>
    <definedName name="OSRRefH22_6x_0" localSheetId="67">'309'!$H$47</definedName>
    <definedName name="OSRRefH22_6x_0" localSheetId="66">'310'!$H$56</definedName>
    <definedName name="OSRRefH22_6x_0" localSheetId="74">'310 &amp; 491'!$H$67</definedName>
    <definedName name="OSRRefH22_6x_0" localSheetId="56">'311'!$H$83:$H$84</definedName>
    <definedName name="OSRRefH22_6x_0" localSheetId="68">'313'!$H$51</definedName>
    <definedName name="OSRRefH22_6x_0" localSheetId="54">'314'!$H$77</definedName>
    <definedName name="OSRRefH22_6x_0" localSheetId="59">'315'!$H$75</definedName>
    <definedName name="OSRRefH22_6x_0" localSheetId="62">'316'!$H$54</definedName>
    <definedName name="OSRRefH22_6x_0" localSheetId="65">'317'!$H$76</definedName>
    <definedName name="OSRRefH22_6x_0" localSheetId="63">'320'!$H$51</definedName>
    <definedName name="OSRRefH22_6x_0" localSheetId="69">'321'!$H$46</definedName>
    <definedName name="OSRRefH22_6x_0" localSheetId="70">'322'!$H$46</definedName>
    <definedName name="OSRRefH22_6x_0" localSheetId="71">'325'!$H$48</definedName>
    <definedName name="OSRRefH22_6x_0" localSheetId="60">'326'!$H$78</definedName>
    <definedName name="OSRRefH22_6x_0" localSheetId="52">'330'!$H$98</definedName>
    <definedName name="OSRRefH22_6x_0" localSheetId="58">'331'!$H$91</definedName>
    <definedName name="OSRRefH22_6x_0" localSheetId="61">'332'!$H$64</definedName>
    <definedName name="OSRRefH22_6x_0" localSheetId="76">'405'!$H$47</definedName>
    <definedName name="OSRRefH22_6x_0" localSheetId="77">'406'!$H$47</definedName>
    <definedName name="OSRRefH22_6x_0" localSheetId="78">'411'!$H$47</definedName>
    <definedName name="OSRRefH22_6x_0" localSheetId="79">'412'!$H$47</definedName>
    <definedName name="OSRRefH22_6x_0" localSheetId="80">'413'!$H$47</definedName>
    <definedName name="OSRRefH22_6x_0" localSheetId="81">'414'!$H$47</definedName>
    <definedName name="OSRRefH22_6x_0" localSheetId="82">'415'!$H$48</definedName>
    <definedName name="OSRRefH22_6x_0" localSheetId="83">'418'!$H$49</definedName>
    <definedName name="OSRRefH22_6x_0" localSheetId="86">'424'!$H$41</definedName>
    <definedName name="OSRRefH22_6x_0" localSheetId="87">'425'!$H$48</definedName>
    <definedName name="OSRRefH22_6x_0" localSheetId="90">'430'!$H$40</definedName>
    <definedName name="OSRRefH22_6x_0" localSheetId="91">'433'!$H$51</definedName>
    <definedName name="OSRRefH22_6x_0" localSheetId="92">'435'!$H$39:$H$40</definedName>
    <definedName name="OSRRefH22_6x_0" localSheetId="93">'444'!$H$50</definedName>
    <definedName name="OSRRefH22_6x_0" localSheetId="95">'450'!$H$50</definedName>
    <definedName name="OSRRefH22_6x_0" localSheetId="75">'491'!$H$60</definedName>
    <definedName name="OSRRefH22_6x_0" localSheetId="89">'492'!$H$54</definedName>
    <definedName name="OSRRefH22_6x_0" localSheetId="97">'501'!$H$45</definedName>
    <definedName name="OSRRefH22_6x_0" localSheetId="39">'Div 2'!$H$49</definedName>
    <definedName name="OSRRefH22_6x_0" localSheetId="47">'Div 3'!$H$185:$H$186</definedName>
    <definedName name="OSRRefH22_6x_0" localSheetId="73">'Div 4'!$H$62</definedName>
    <definedName name="OSRRefH22_6x_0" localSheetId="96">'Div 5'!$H$45</definedName>
    <definedName name="OSRRefH22_6x_0" localSheetId="64">'Div 6'!$H$76</definedName>
    <definedName name="OSRRefH22_6x_0" localSheetId="2">Summary!$H$217:$H$218</definedName>
    <definedName name="OSRRefH22_7x_0" localSheetId="41">'201'!$H$44</definedName>
    <definedName name="OSRRefH22_7x_0" localSheetId="42">'202'!$H$44</definedName>
    <definedName name="OSRRefH22_7x_0" localSheetId="43">'203'!$H$45</definedName>
    <definedName name="OSRRefH22_7x_0" localSheetId="44">'204'!$H$49:$H$50</definedName>
    <definedName name="OSRRefH22_7x_0" localSheetId="45">'205'!$H$43</definedName>
    <definedName name="OSRRefH22_7x_0" localSheetId="48">'300'!$H$182</definedName>
    <definedName name="OSRRefH22_7x_0" localSheetId="49">'300 &amp; 317'!$H$204</definedName>
    <definedName name="OSRRefH22_7x_0" localSheetId="50">'301'!$H$48</definedName>
    <definedName name="OSRRefH22_7x_0" localSheetId="51">'306'!$H$48</definedName>
    <definedName name="OSRRefH22_7x_0" localSheetId="53">'307'!$H$88</definedName>
    <definedName name="OSRRefH22_7x_0" localSheetId="55">'308'!$H$87</definedName>
    <definedName name="OSRRefH22_7x_0" localSheetId="67">'309'!$H$49</definedName>
    <definedName name="OSRRefH22_7x_0" localSheetId="66">'310'!$H$58</definedName>
    <definedName name="OSRRefH22_7x_0" localSheetId="74">'310 &amp; 491'!$H$69</definedName>
    <definedName name="OSRRefH22_7x_0" localSheetId="56">'311'!$H$86</definedName>
    <definedName name="OSRRefH22_7x_0" localSheetId="68">'313'!$H$53</definedName>
    <definedName name="OSRRefH22_7x_0" localSheetId="59">'315'!$H$77</definedName>
    <definedName name="OSRRefH22_7x_0" localSheetId="62">'316'!$H$56:$H$59</definedName>
    <definedName name="OSRRefH22_7x_0" localSheetId="65">'317'!$H$78</definedName>
    <definedName name="OSRRefH22_7x_0" localSheetId="69">'321'!$H$48</definedName>
    <definedName name="OSRRefH22_7x_0" localSheetId="70">'322'!$H$48</definedName>
    <definedName name="OSRRefH22_7x_0" localSheetId="71">'325'!$H$50</definedName>
    <definedName name="OSRRefH22_7x_0" localSheetId="60">'326'!$H$80</definedName>
    <definedName name="OSRRefH22_7x_0" localSheetId="52">'330'!$H$100</definedName>
    <definedName name="OSRRefH22_7x_0" localSheetId="58">'331'!$H$93</definedName>
    <definedName name="OSRRefH22_7x_0" localSheetId="61">'332'!$H$66</definedName>
    <definedName name="OSRRefH22_7x_0" localSheetId="76">'405'!$H$49</definedName>
    <definedName name="OSRRefH22_7x_0" localSheetId="77">'406'!$H$49</definedName>
    <definedName name="OSRRefH22_7x_0" localSheetId="78">'411'!$H$49</definedName>
    <definedName name="OSRRefH22_7x_0" localSheetId="79">'412'!$H$49</definedName>
    <definedName name="OSRRefH22_7x_0" localSheetId="80">'413'!$H$49</definedName>
    <definedName name="OSRRefH22_7x_0" localSheetId="81">'414'!$H$49</definedName>
    <definedName name="OSRRefH22_7x_0" localSheetId="82">'415'!$H$50</definedName>
    <definedName name="OSRRefH22_7x_0" localSheetId="83">'418'!$H$51</definedName>
    <definedName name="OSRRefH22_7x_0" localSheetId="86">'424'!$H$43:$H$44</definedName>
    <definedName name="OSRRefH22_7x_0" localSheetId="87">'425'!$H$50</definedName>
    <definedName name="OSRRefH22_7x_0" localSheetId="90">'430'!$H$42</definedName>
    <definedName name="OSRRefH22_7x_0" localSheetId="91">'433'!$H$53</definedName>
    <definedName name="OSRRefH22_7x_0" localSheetId="92">'435'!$H$42</definedName>
    <definedName name="OSRRefH22_7x_0" localSheetId="93">'444'!$H$52</definedName>
    <definedName name="OSRRefH22_7x_0" localSheetId="95">'450'!$H$52</definedName>
    <definedName name="OSRRefH22_7x_0" localSheetId="75">'491'!$H$62</definedName>
    <definedName name="OSRRefH22_7x_0" localSheetId="89">'492'!$H$56</definedName>
    <definedName name="OSRRefH22_7x_0" localSheetId="97">'501'!$H$47</definedName>
    <definedName name="OSRRefH22_7x_0" localSheetId="39">'Div 2'!$H$51</definedName>
    <definedName name="OSRRefH22_7x_0" localSheetId="47">'Div 3'!$H$188</definedName>
    <definedName name="OSRRefH22_7x_0" localSheetId="73">'Div 4'!$H$64</definedName>
    <definedName name="OSRRefH22_7x_0" localSheetId="96">'Div 5'!$H$47</definedName>
    <definedName name="OSRRefH22_7x_0" localSheetId="64">'Div 6'!$H$78</definedName>
    <definedName name="OSRRefH22_7x_0" localSheetId="2">Summary!$H$220</definedName>
    <definedName name="OSRRefH22_8x_0" localSheetId="41">'201'!$H$46</definedName>
    <definedName name="OSRRefH22_8x_0" localSheetId="42">'202'!$H$46</definedName>
    <definedName name="OSRRefH22_8x_0" localSheetId="43">'203'!$H$47:$H$48</definedName>
    <definedName name="OSRRefH22_8x_0" localSheetId="44">'204'!$H$52:$H$53</definedName>
    <definedName name="OSRRefH22_8x_0" localSheetId="48">'300'!$H$184</definedName>
    <definedName name="OSRRefH22_8x_0" localSheetId="49">'300 &amp; 317'!$H$206</definedName>
    <definedName name="OSRRefH22_8x_0" localSheetId="50">'301'!$H$50</definedName>
    <definedName name="OSRRefH22_8x_0" localSheetId="53">'307'!$H$90:$H$91</definedName>
    <definedName name="OSRRefH22_8x_0" localSheetId="55">'308'!$H$89</definedName>
    <definedName name="OSRRefH22_8x_0" localSheetId="67">'309'!$H$51:$H$52</definedName>
    <definedName name="OSRRefH22_8x_0" localSheetId="66">'310'!$H$60</definedName>
    <definedName name="OSRRefH22_8x_0" localSheetId="74">'310 &amp; 491'!$H$71</definedName>
    <definedName name="OSRRefH22_8x_0" localSheetId="56">'311'!$H$88</definedName>
    <definedName name="OSRRefH22_8x_0" localSheetId="68">'313'!$H$55</definedName>
    <definedName name="OSRRefH22_8x_0" localSheetId="59">'315'!$H$79</definedName>
    <definedName name="OSRRefH22_8x_0" localSheetId="62">'316'!$H$61</definedName>
    <definedName name="OSRRefH22_8x_0" localSheetId="65">'317'!$H$80</definedName>
    <definedName name="OSRRefH22_8x_0" localSheetId="69">'321'!$H$50:$H$51</definedName>
    <definedName name="OSRRefH22_8x_0" localSheetId="70">'322'!$H$50</definedName>
    <definedName name="OSRRefH22_8x_0" localSheetId="71">'325'!$H$52</definedName>
    <definedName name="OSRRefH22_8x_0" localSheetId="60">'326'!$H$82</definedName>
    <definedName name="OSRRefH22_8x_0" localSheetId="52">'330'!$H$102:$H$103</definedName>
    <definedName name="OSRRefH22_8x_0" localSheetId="58">'331'!$H$95</definedName>
    <definedName name="OSRRefH22_8x_0" localSheetId="61">'332'!$H$68</definedName>
    <definedName name="OSRRefH22_8x_0" localSheetId="76">'405'!$H$51</definedName>
    <definedName name="OSRRefH22_8x_0" localSheetId="77">'406'!$H$51</definedName>
    <definedName name="OSRRefH22_8x_0" localSheetId="78">'411'!$H$51:$H$53</definedName>
    <definedName name="OSRRefH22_8x_0" localSheetId="79">'412'!$H$51:$H$52</definedName>
    <definedName name="OSRRefH22_8x_0" localSheetId="80">'413'!$H$51</definedName>
    <definedName name="OSRRefH22_8x_0" localSheetId="81">'414'!$H$51</definedName>
    <definedName name="OSRRefH22_8x_0" localSheetId="82">'415'!$H$52</definedName>
    <definedName name="OSRRefH22_8x_0" localSheetId="83">'418'!$H$53:$H$54</definedName>
    <definedName name="OSRRefH22_8x_0" localSheetId="86">'424'!$H$46</definedName>
    <definedName name="OSRRefH22_8x_0" localSheetId="87">'425'!$H$52</definedName>
    <definedName name="OSRRefH22_8x_0" localSheetId="91">'433'!$H$55</definedName>
    <definedName name="OSRRefH22_8x_0" localSheetId="93">'444'!$H$54</definedName>
    <definedName name="OSRRefH22_8x_0" localSheetId="95">'450'!$H$54</definedName>
    <definedName name="OSRRefH22_8x_0" localSheetId="75">'491'!$H$64:$H$65</definedName>
    <definedName name="OSRRefH22_8x_0" localSheetId="89">'492'!$H$58</definedName>
    <definedName name="OSRRefH22_8x_0" localSheetId="97">'501'!$H$49</definedName>
    <definedName name="OSRRefH22_8x_0" localSheetId="39">'Div 2'!$H$53</definedName>
    <definedName name="OSRRefH22_8x_0" localSheetId="47">'Div 3'!$H$190</definedName>
    <definedName name="OSRRefH22_8x_0" localSheetId="73">'Div 4'!$H$66</definedName>
    <definedName name="OSRRefH22_8x_0" localSheetId="96">'Div 5'!$H$49</definedName>
    <definedName name="OSRRefH22_8x_0" localSheetId="64">'Div 6'!$H$80</definedName>
    <definedName name="OSRRefH22_8x_0" localSheetId="2">Summary!$H$222</definedName>
    <definedName name="OSRRefH22_9x_0" localSheetId="41">'201'!$H$48:$H$49</definedName>
    <definedName name="OSRRefH22_9x_0" localSheetId="42">'202'!$H$48:$H$49</definedName>
    <definedName name="OSRRefH22_9x_0" localSheetId="43">'203'!$H$50:$H$51</definedName>
    <definedName name="OSRRefH22_9x_0" localSheetId="44">'204'!$H$55</definedName>
    <definedName name="OSRRefH22_9x_0" localSheetId="48">'300'!$H$186</definedName>
    <definedName name="OSRRefH22_9x_0" localSheetId="49">'300 &amp; 317'!$H$208</definedName>
    <definedName name="OSRRefH22_9x_0" localSheetId="50">'301'!$H$52</definedName>
    <definedName name="OSRRefH22_9x_0" localSheetId="53">'307'!$H$93</definedName>
    <definedName name="OSRRefH22_9x_0" localSheetId="55">'308'!$H$91:$H$92</definedName>
    <definedName name="OSRRefH22_9x_0" localSheetId="67">'309'!$H$54</definedName>
    <definedName name="OSRRefH22_9x_0" localSheetId="66">'310'!$H$62</definedName>
    <definedName name="OSRRefH22_9x_0" localSheetId="74">'310 &amp; 491'!$H$73</definedName>
    <definedName name="OSRRefH22_9x_0" localSheetId="56">'311'!$H$90:$H$91</definedName>
    <definedName name="OSRRefH22_9x_0" localSheetId="68">'313'!$H$57</definedName>
    <definedName name="OSRRefH22_9x_0" localSheetId="59">'315'!$H$81:$H$82</definedName>
    <definedName name="OSRRefH22_9x_0" localSheetId="65">'317'!$H$82:$H$83</definedName>
    <definedName name="OSRRefH22_9x_0" localSheetId="69">'321'!$H$53:$H$57</definedName>
    <definedName name="OSRRefH22_9x_0" localSheetId="70">'322'!$H$52</definedName>
    <definedName name="OSRRefH22_9x_0" localSheetId="71">'325'!$H$54</definedName>
    <definedName name="OSRRefH22_9x_0" localSheetId="60">'326'!$H$84</definedName>
    <definedName name="OSRRefH22_9x_0" localSheetId="52">'330'!$H$105</definedName>
    <definedName name="OSRRefH22_9x_0" localSheetId="58">'331'!$H$97</definedName>
    <definedName name="OSRRefH22_9x_0" localSheetId="61">'332'!$H$70:$H$74</definedName>
    <definedName name="OSRRefH22_9x_0" localSheetId="76">'405'!$H$53:$H$54</definedName>
    <definedName name="OSRRefH22_9x_0" localSheetId="77">'406'!$H$53</definedName>
    <definedName name="OSRRefH22_9x_0" localSheetId="78">'411'!$H$55:$H$59</definedName>
    <definedName name="OSRRefH22_9x_0" localSheetId="79">'412'!$H$54</definedName>
    <definedName name="OSRRefH22_9x_0" localSheetId="80">'413'!$H$53:$H$56</definedName>
    <definedName name="OSRRefH22_9x_0" localSheetId="81">'414'!$H$53</definedName>
    <definedName name="OSRRefH22_9x_0" localSheetId="82">'415'!$H$54</definedName>
    <definedName name="OSRRefH22_9x_0" localSheetId="83">'418'!$H$56</definedName>
    <definedName name="OSRRefH22_9x_0" localSheetId="86">'424'!$H$48:$H$50</definedName>
    <definedName name="OSRRefH22_9x_0" localSheetId="87">'425'!$H$54</definedName>
    <definedName name="OSRRefH22_9x_0" localSheetId="91">'433'!$H$57:$H$59</definedName>
    <definedName name="OSRRefH22_9x_0" localSheetId="93">'444'!$H$56</definedName>
    <definedName name="OSRRefH22_9x_0" localSheetId="95">'450'!$H$56</definedName>
    <definedName name="OSRRefH22_9x_0" localSheetId="75">'491'!$H$67</definedName>
    <definedName name="OSRRefH22_9x_0" localSheetId="89">'492'!$H$60</definedName>
    <definedName name="OSRRefH22_9x_0" localSheetId="97">'501'!$H$51:$H$54</definedName>
    <definedName name="OSRRefH22_9x_0" localSheetId="39">'Div 2'!$H$55</definedName>
    <definedName name="OSRRefH22_9x_0" localSheetId="47">'Div 3'!$H$192</definedName>
    <definedName name="OSRRefH22_9x_0" localSheetId="73">'Div 4'!$H$68:$H$69</definedName>
    <definedName name="OSRRefH22_9x_0" localSheetId="96">'Div 5'!$H$51:$H$54</definedName>
    <definedName name="OSRRefH22_9x_0" localSheetId="64">'Div 6'!$H$82:$H$83</definedName>
    <definedName name="OSRRefH22_9x_0" localSheetId="2">Summary!$H$224</definedName>
    <definedName name="OSRRefH22x_0" localSheetId="40">'200'!$H$20,'200'!$H$22,'200'!$H$24,'200'!$H$26</definedName>
    <definedName name="OSRRefH22x_0" localSheetId="41">'201'!$H$20:$H$28,'201'!$H$30:$H$32,'201'!$H$34,'201'!$H$36,'201'!$H$38,'201'!$H$40,'201'!$H$42,'201'!$H$44,'201'!$H$46,'201'!$H$48:$H$49,'201'!$H$51:$H$52,'201'!$H$54,'201'!$H$56:$H$58,'201'!$H$60,'201'!$H$62,'201'!$H$64:$H$65</definedName>
    <definedName name="OSRRefH22x_0" localSheetId="42">'202'!$H$20:$H$27,'202'!$H$29:$H$32,'202'!$H$34,'202'!$H$36,'202'!$H$38,'202'!$H$40,'202'!$H$42,'202'!$H$44,'202'!$H$46,'202'!$H$48:$H$49,'202'!$H$51,'202'!$H$53</definedName>
    <definedName name="OSRRefH22x_0" localSheetId="43">'203'!$H$20:$H$28,'203'!$H$30:$H$33,'203'!$H$35,'203'!$H$37,'203'!$H$39,'203'!$H$41,'203'!$H$43,'203'!$H$45,'203'!$H$47:$H$48,'203'!$H$50:$H$51,'203'!$H$53,'203'!$H$55:$H$57,'203'!$H$59,'203'!$H$61,'203'!$H$63</definedName>
    <definedName name="OSRRefH22x_0" localSheetId="44">'204'!$H$20:$H$28,'204'!$H$30:$H$34,'204'!$H$36,'204'!$H$38:$H$39,'204'!$H$41,'204'!$H$43,'204'!$H$45:$H$47,'204'!$H$49:$H$50,'204'!$H$52:$H$53,'204'!$H$55,'204'!$H$57:$H$58</definedName>
    <definedName name="OSRRefH22x_0" localSheetId="45">'205'!$H$20:$H$27,'205'!$H$29,'205'!$H$31,'205'!$H$33,'205'!$H$35:$H$36,'205'!$H$38,'205'!$H$40:$H$41,'205'!$H$43</definedName>
    <definedName name="OSRRefH22x_0" localSheetId="46">'206'!$H$20:$H$27,'206'!$H$29:$H$34,'206'!$H$36,'206'!$H$38,'206'!$H$40:$H$41,'206'!$H$43,'206'!$H$45</definedName>
    <definedName name="OSRRefH22x_0" localSheetId="48">'300'!$H$152:$H$160,'300'!$H$162:$H$168,'300'!$H$170,'300'!$H$172,'300'!$H$174,'300'!$H$176:$H$177,'300'!$H$179:$H$180,'300'!$H$182,'300'!$H$184,'300'!$H$186,'300'!$H$188:$H$189,'300'!$H$191,'300'!$H$193,'300'!$H$195,'300'!$H$197,'300'!$H$199,'300'!$H$201:$H$203,'300'!$H$205:$H$207,'300'!$H$209:$H$212,'300'!$H$214:$H$215,'300'!$H$217:$H$222,'300'!$H$224:$H$225,'300'!$H$227,'300'!$H$229:$H$231,'300'!$H$233</definedName>
    <definedName name="OSRRefH22x_0" localSheetId="49">'300 &amp; 317'!$H$174:$H$182,'300 &amp; 317'!$H$184:$H$190,'300 &amp; 317'!$H$192,'300 &amp; 317'!$H$194,'300 &amp; 317'!$H$196,'300 &amp; 317'!$H$198:$H$199,'300 &amp; 317'!$H$201:$H$202,'300 &amp; 317'!$H$204,'300 &amp; 317'!$H$206,'300 &amp; 317'!$H$208,'300 &amp; 317'!$H$210:$H$211,'300 &amp; 317'!$H$213,'300 &amp; 317'!$H$215,'300 &amp; 317'!$H$217,'300 &amp; 317'!$H$219,'300 &amp; 317'!$H$221,'300 &amp; 317'!$H$223:$H$225,'300 &amp; 317'!$H$227:$H$229,'300 &amp; 317'!$H$231:$H$234,'300 &amp; 317'!$H$236:$H$237,'300 &amp; 317'!$H$239:$H$244,'300 &amp; 317'!$H$246:$H$247,'300 &amp; 317'!$H$249,'300 &amp; 317'!$H$251:$H$253,'300 &amp; 317'!$H$255</definedName>
    <definedName name="OSRRefH22x_0" localSheetId="50">'301'!$H$20:$H$27,'301'!$H$29:$H$34,'301'!$H$36,'301'!$H$38,'301'!$H$40,'301'!$H$42:$H$43,'301'!$H$45:$H$46,'301'!$H$48,'301'!$H$50,'301'!$H$52,'301'!$H$54,'301'!$H$56,'301'!$H$58,'301'!$H$60,'301'!$H$62:$H$64,'301'!$H$66:$H$68,'301'!$H$70,'301'!$H$72:$H$76,'301'!$H$78,'301'!$H$80,'301'!$H$82:$H$83,'301'!$H$85</definedName>
    <definedName name="OSRRefH22x_0" localSheetId="51">'306'!$H$20:$H$28,'306'!$H$30:$H$34,'306'!$H$36,'306'!$H$38,'306'!$H$40,'306'!$H$42:$H$44,'306'!$H$46,'306'!$H$48</definedName>
    <definedName name="OSRRefH22x_0" localSheetId="53">'307'!$H$64:$H$71,'307'!$H$73:$H$75,'307'!$H$77,'307'!$H$79,'307'!$H$81:$H$82,'307'!$H$84,'307'!$H$86,'307'!$H$88,'307'!$H$90:$H$91,'307'!$H$93,'307'!$H$95</definedName>
    <definedName name="OSRRefH22x_0" localSheetId="55">'308'!$H$59:$H$67,'308'!$H$69:$H$73,'308'!$H$75,'308'!$H$77:$H$78,'308'!$H$80,'308'!$H$82,'308'!$H$84:$H$85,'308'!$H$87,'308'!$H$89,'308'!$H$91:$H$92,'308'!$H$94,'308'!$H$96:$H$98,'308'!$H$100:$H$101,'308'!$H$103,'308'!$H$105</definedName>
    <definedName name="OSRRefH22x_0" localSheetId="67">'309'!$H$24:$H$31,'309'!$H$33:$H$37,'309'!$H$39,'309'!$H$41,'309'!$H$43,'309'!$H$45,'309'!$H$47,'309'!$H$49,'309'!$H$51:$H$52,'309'!$H$54,'309'!$H$56:$H$61,'309'!$H$63</definedName>
    <definedName name="OSRRefH22x_0" localSheetId="66">'310'!$H$31:$H$38,'310'!$H$40:$H$45,'310'!$H$47,'310'!$H$49,'310'!$H$51,'310'!$H$53:$H$54,'310'!$H$56,'310'!$H$58,'310'!$H$60,'310'!$H$62,'310'!$H$64,'310'!$H$66,'310'!$H$68,'310'!$H$70,'310'!$H$72,'310'!$H$74,'310'!$H$76:$H$79,'310'!$H$81:$H$82,'310'!$H$84:$H$90,'310'!$H$92,'310'!$H$94,'310'!$H$96</definedName>
    <definedName name="OSRRefH22x_0" localSheetId="74">'310 &amp; 491'!$H$39:$H$47,'310 &amp; 491'!$H$49:$H$55,'310 &amp; 491'!$H$57,'310 &amp; 491'!$H$59,'310 &amp; 491'!$H$61,'310 &amp; 491'!$H$63:$H$65,'310 &amp; 491'!$H$67,'310 &amp; 491'!$H$69,'310 &amp; 491'!$H$71,'310 &amp; 491'!$H$73,'310 &amp; 491'!$H$75:$H$76,'310 &amp; 491'!$H$78,'310 &amp; 491'!$H$80,'310 &amp; 491'!$H$82,'310 &amp; 491'!$H$84,'310 &amp; 491'!$H$86:$H$88,'310 &amp; 491'!$H$90:$H$91,'310 &amp; 491'!$H$93:$H$97,'310 &amp; 491'!$H$99:$H$100,'310 &amp; 491'!$H$102:$H$109,'310 &amp; 491'!$H$111,'310 &amp; 491'!$H$113,'310 &amp; 491'!$H$115:$H$117,'310 &amp; 491'!$H$119</definedName>
    <definedName name="OSRRefH22x_0" localSheetId="56">'311'!$H$58:$H$66,'311'!$H$68:$H$72,'311'!$H$74,'311'!$H$76:$H$77,'311'!$H$79,'311'!$H$81,'311'!$H$83:$H$84,'311'!$H$86,'311'!$H$88,'311'!$H$90:$H$91,'311'!$H$93,'311'!$H$95:$H$97,'311'!$H$99:$H$100,'311'!$H$102,'311'!$H$104</definedName>
    <definedName name="OSRRefH22x_0" localSheetId="68">'313'!$H$28:$H$35,'313'!$H$37:$H$41,'313'!$H$43,'313'!$H$45,'313'!$H$47,'313'!$H$49,'313'!$H$51,'313'!$H$53,'313'!$H$55,'313'!$H$57,'313'!$H$59:$H$63,'313'!$H$65,'313'!$H$67</definedName>
    <definedName name="OSRRefH22x_0" localSheetId="54">'314'!$H$55:$H$61,'314'!$H$63:$H$65,'314'!$H$67,'314'!$H$69:$H$70,'314'!$H$72,'314'!$H$74:$H$75,'314'!$H$77</definedName>
    <definedName name="OSRRefH22x_0" localSheetId="59">'315'!$H$52:$H$59,'315'!$H$61:$H$65,'315'!$H$67,'315'!$H$69,'315'!$H$71,'315'!$H$73,'315'!$H$75,'315'!$H$77,'315'!$H$79,'315'!$H$81:$H$82,'315'!$H$84,'315'!$H$86:$H$89,'315'!$H$91,'315'!$H$93,'315'!$H$95</definedName>
    <definedName name="OSRRefH22x_0" localSheetId="62">'316'!$H$32:$H$39,'316'!$H$41:$H$44,'316'!$H$46,'316'!$H$48,'316'!$H$50,'316'!$H$52,'316'!$H$54,'316'!$H$56:$H$59,'316'!$H$61</definedName>
    <definedName name="OSRRefH22x_0" localSheetId="65">'317'!$H$53:$H$61,'317'!$H$63:$H$66,'317'!$H$68,'317'!$H$70,'317'!$H$72,'317'!$H$74,'317'!$H$76,'317'!$H$78,'317'!$H$80,'317'!$H$82:$H$83,'317'!$H$85</definedName>
    <definedName name="OSRRefH22x_0" localSheetId="63">'320'!$H$29:$H$35,'320'!$H$37:$H$39,'320'!$H$41,'320'!$H$43:$H$44,'320'!$H$46,'320'!$H$48:$H$49,'320'!$H$51</definedName>
    <definedName name="OSRRefH22x_0" localSheetId="69">'321'!$H$24:$H$30,'321'!$H$32:$H$36,'321'!$H$38,'321'!$H$40,'321'!$H$42,'321'!$H$44,'321'!$H$46,'321'!$H$48,'321'!$H$50:$H$51,'321'!$H$53:$H$57,'321'!$H$59,'321'!$H$61</definedName>
    <definedName name="OSRRefH22x_0" localSheetId="70">'322'!$H$24:$H$31,'322'!$H$33:$H$36,'322'!$H$38,'322'!$H$40,'322'!$H$42,'322'!$H$44,'322'!$H$46,'322'!$H$48,'322'!$H$50,'322'!$H$52,'322'!$H$54:$H$56,'322'!$H$58:$H$63,'322'!$H$65,'322'!$H$67</definedName>
    <definedName name="OSRRefH22x_0" localSheetId="57">'324'!$H$25</definedName>
    <definedName name="OSRRefH22x_0" localSheetId="71">'325'!$H$24:$H$31,'325'!$H$33:$H$37,'325'!$H$39,'325'!$H$41,'325'!$H$43,'325'!$H$45:$H$46,'325'!$H$48,'325'!$H$50,'325'!$H$52,'325'!$H$54,'325'!$H$56,'325'!$H$58:$H$60,'325'!$H$62,'325'!$H$64:$H$69,'325'!$H$71,'325'!$H$73</definedName>
    <definedName name="OSRRefH22x_0" localSheetId="60">'326'!$H$56:$H$63,'326'!$H$65:$H$68,'326'!$H$70,'326'!$H$72,'326'!$H$74,'326'!$H$76,'326'!$H$78,'326'!$H$80,'326'!$H$82,'326'!$H$84,'326'!$H$86,'326'!$H$88,'326'!$H$90,'326'!$H$92:$H$94,'326'!$H$96,'326'!$H$98:$H$101,'326'!$H$103,'326'!$H$105,'326'!$H$107</definedName>
    <definedName name="OSRRefH22x_0" localSheetId="72">'327'!$H$22,'327'!$H$24</definedName>
    <definedName name="OSRRefH22x_0" localSheetId="52">'330'!$H$76:$H$83,'330'!$H$85:$H$87,'330'!$H$89,'330'!$H$91,'330'!$H$93:$H$94,'330'!$H$96,'330'!$H$98,'330'!$H$100,'330'!$H$102:$H$103,'330'!$H$105,'330'!$H$107:$H$108,'330'!$H$110</definedName>
    <definedName name="OSRRefH22x_0" localSheetId="58">'331'!$H$68:$H$75,'331'!$H$77:$H$81,'331'!$H$83,'331'!$H$85,'331'!$H$87,'331'!$H$89,'331'!$H$91,'331'!$H$93,'331'!$H$95,'331'!$H$97,'331'!$H$99,'331'!$H$101,'331'!$H$103,'331'!$H$105,'331'!$H$107:$H$108,'331'!$H$110:$H$111,'331'!$H$113:$H$115,'331'!$H$117,'331'!$H$119:$H$123,'331'!$H$125,'331'!$H$127,'331'!$H$129,'331'!$H$131</definedName>
    <definedName name="OSRRefH22x_0" localSheetId="61">'332'!$H$41:$H$48,'332'!$H$50:$H$53,'332'!$H$55,'332'!$H$57,'332'!$H$59,'332'!$H$61:$H$62,'332'!$H$64,'332'!$H$66,'332'!$H$68,'332'!$H$70:$H$74,'332'!$H$76</definedName>
    <definedName name="OSRRefH22x_0" localSheetId="76">'405'!$H$24:$H$31,'405'!$H$33:$H$36,'405'!$H$38,'405'!$H$40,'405'!$H$42,'405'!$H$44:$H$45,'405'!$H$47,'405'!$H$49,'405'!$H$51,'405'!$H$53:$H$54,'405'!$H$56,'405'!$H$58:$H$60,'405'!$H$62,'405'!$H$64:$H$70,'405'!$H$72,'405'!$H$74,'405'!$H$76</definedName>
    <definedName name="OSRRefH22x_0" localSheetId="77">'406'!$H$24:$H$31,'406'!$H$33:$H$37,'406'!$H$39,'406'!$H$41,'406'!$H$43,'406'!$H$45,'406'!$H$47,'406'!$H$49,'406'!$H$51,'406'!$H$53,'406'!$H$55:$H$60,'406'!$H$62,'406'!$H$64</definedName>
    <definedName name="OSRRefH22x_0" localSheetId="78">'411'!$H$20:$H$28,'411'!$H$30:$H$35,'411'!$H$37,'411'!$H$39:$H$41,'411'!$H$43,'411'!$H$45,'411'!$H$47,'411'!$H$49,'411'!$H$51:$H$53,'411'!$H$55:$H$59,'411'!$H$61:$H$66,'411'!$H$68,'411'!$H$70,'411'!$H$72:$H$74,'411'!$H$76</definedName>
    <definedName name="OSRRefH22x_0" localSheetId="79">'412'!$H$23:$H$30,'412'!$H$32:$H$37,'412'!$H$39,'412'!$H$41,'412'!$H$43,'412'!$H$45,'412'!$H$47,'412'!$H$49,'412'!$H$51:$H$52,'412'!$H$54,'412'!$H$56:$H$57,'412'!$H$59:$H$65,'412'!$H$67,'412'!$H$69</definedName>
    <definedName name="OSRRefH22x_0" localSheetId="80">'413'!$H$24:$H$31,'413'!$H$33:$H$37,'413'!$H$39,'413'!$H$41,'413'!$H$43,'413'!$H$45,'413'!$H$47,'413'!$H$49,'413'!$H$51,'413'!$H$53:$H$56,'413'!$H$58</definedName>
    <definedName name="OSRRefH22x_0" localSheetId="81">'414'!$H$24:$H$31,'414'!$H$33:$H$37,'414'!$H$39,'414'!$H$41,'414'!$H$43,'414'!$H$45,'414'!$H$47,'414'!$H$49,'414'!$H$51,'414'!$H$53,'414'!$H$55,'414'!$H$57,'414'!$H$59:$H$65,'414'!$H$67,'414'!$H$69</definedName>
    <definedName name="OSRRefH22x_0" localSheetId="82">'415'!$H$24:$H$31,'415'!$H$33:$H$37,'415'!$H$39,'415'!$H$41,'415'!$H$43,'415'!$H$45:$H$46,'415'!$H$48,'415'!$H$50,'415'!$H$52,'415'!$H$54,'415'!$H$56,'415'!$H$58,'415'!$H$60:$H$64,'415'!$H$66,'415'!$H$68:$H$74,'415'!$H$76,'415'!$H$78,'415'!$H$80</definedName>
    <definedName name="OSRRefH22x_0" localSheetId="83">'418'!$H$24:$H$31,'418'!$H$33:$H$38,'418'!$H$40,'418'!$H$42,'418'!$H$44,'418'!$H$46:$H$47,'418'!$H$49,'418'!$H$51,'418'!$H$53:$H$54,'418'!$H$56,'418'!$H$58:$H$60,'418'!$H$62,'418'!$H$64:$H$68,'418'!$H$70,'418'!$H$72</definedName>
    <definedName name="OSRRefH22x_0" localSheetId="85">'423'!$H$21:$H$28,'423'!$H$30,'423'!$H$32,'423'!$H$34,'423'!$H$36,'423'!$H$38</definedName>
    <definedName name="OSRRefH22x_0" localSheetId="86">'424'!$H$24:$H$26,'424'!$H$28:$H$31,'424'!$H$33,'424'!$H$35,'424'!$H$37,'424'!$H$39,'424'!$H$41,'424'!$H$43:$H$44,'424'!$H$46,'424'!$H$48:$H$50,'424'!$H$52</definedName>
    <definedName name="OSRRefH22x_0" localSheetId="87">'425'!$H$25:$H$32,'425'!$H$34:$H$38,'425'!$H$40,'425'!$H$42,'425'!$H$44,'425'!$H$46,'425'!$H$48,'425'!$H$50,'425'!$H$52,'425'!$H$54,'425'!$H$56,'425'!$H$58:$H$59,'425'!$H$61:$H$66,'425'!$H$68,'425'!$H$70,'425'!$H$72</definedName>
    <definedName name="OSRRefH22x_0" localSheetId="90">'430'!$H$20:$H$27,'430'!$H$29,'430'!$H$31,'430'!$H$33,'430'!$H$35:$H$36,'430'!$H$38,'430'!$H$40,'430'!$H$42</definedName>
    <definedName name="OSRRefH22x_0" localSheetId="91">'433'!$H$26:$H$34,'433'!$H$36:$H$41,'433'!$H$43,'433'!$H$45,'433'!$H$47,'433'!$H$49,'433'!$H$51,'433'!$H$53,'433'!$H$55,'433'!$H$57:$H$59,'433'!$H$61:$H$66,'433'!$H$68,'433'!$H$70,'433'!$H$72:$H$73</definedName>
    <definedName name="OSRRefH22x_0" localSheetId="92">'435'!$H$24:$H$26,'435'!$H$28:$H$29,'435'!$H$31,'435'!$H$33,'435'!$H$35,'435'!$H$37,'435'!$H$39:$H$40,'435'!$H$42</definedName>
    <definedName name="OSRRefH22x_0" localSheetId="93">'444'!$H$25:$H$33,'444'!$H$35:$H$40,'444'!$H$42,'444'!$H$44,'444'!$H$46,'444'!$H$48,'444'!$H$50,'444'!$H$52,'444'!$H$54,'444'!$H$56,'444'!$H$58:$H$59,'444'!$H$61:$H$63,'444'!$H$65:$H$71,'444'!$H$73,'444'!$H$75,'444'!$H$77</definedName>
    <definedName name="OSRRefH22x_0" localSheetId="94">'445'!$H$20</definedName>
    <definedName name="OSRRefH22x_0" localSheetId="95">'450'!$H$25:$H$33,'450'!$H$35:$H$40,'450'!$H$42,'450'!$H$44,'450'!$H$46,'450'!$H$48,'450'!$H$50,'450'!$H$52,'450'!$H$54,'450'!$H$56,'450'!$H$58,'450'!$H$60:$H$62,'450'!$H$64:$H$69,'450'!$H$71,'450'!$H$73,'450'!$H$75:$H$76</definedName>
    <definedName name="OSRRefH22x_0" localSheetId="88">'455'!$H$20:$H$26,'455'!$H$28:$H$29</definedName>
    <definedName name="OSRRefH22x_0" localSheetId="75">'491'!$H$32:$H$40,'491'!$H$42:$H$48,'491'!$H$50,'491'!$H$52,'491'!$H$54,'491'!$H$56:$H$58,'491'!$H$60,'491'!$H$62,'491'!$H$64:$H$65,'491'!$H$67,'491'!$H$69,'491'!$H$71,'491'!$H$73,'491'!$H$75:$H$77,'491'!$H$79:$H$80,'491'!$H$82:$H$86,'491'!$H$88,'491'!$H$90:$H$97,'491'!$H$99,'491'!$H$101,'491'!$H$103:$H$105,'491'!$H$107</definedName>
    <definedName name="OSRRefH22x_0" localSheetId="89">'492'!$H$28:$H$36,'492'!$H$38:$H$44,'492'!$H$46,'492'!$H$48,'492'!$H$50,'492'!$H$52,'492'!$H$54,'492'!$H$56,'492'!$H$58,'492'!$H$60,'492'!$H$62,'492'!$H$64:$H$65,'492'!$H$67:$H$69,'492'!$H$71:$H$77,'492'!$H$79,'492'!$H$81,'492'!$H$83:$H$84</definedName>
    <definedName name="OSRRefH22x_0" localSheetId="97">'501'!$H$21:$H$28,'501'!$H$30:$H$35,'501'!$H$37,'501'!$H$39,'501'!$H$41,'501'!$H$43,'501'!$H$45,'501'!$H$47,'501'!$H$49,'501'!$H$51:$H$54,'501'!$H$56</definedName>
    <definedName name="OSRRefH22x_0" localSheetId="39">'Div 2'!$H$20:$H$30,'Div 2'!$H$32:$H$38,'Div 2'!$H$40,'Div 2'!$H$42,'Div 2'!$H$44,'Div 2'!$H$46:$H$47,'Div 2'!$H$49,'Div 2'!$H$51,'Div 2'!$H$53,'Div 2'!$H$55,'Div 2'!$H$57,'Div 2'!$H$59,'Div 2'!$H$61:$H$64,'Div 2'!$H$66:$H$68,'Div 2'!$H$70:$H$71,'Div 2'!$H$73,'Div 2'!$H$75:$H$78,'Div 2'!$H$80:$H$81,'Div 2'!$H$83,'Div 2'!$H$85:$H$86</definedName>
    <definedName name="OSRRefH22x_0" localSheetId="47">'Div 3'!$H$158:$H$166,'Div 3'!$H$168:$H$174,'Div 3'!$H$176,'Div 3'!$H$178,'Div 3'!$H$180,'Div 3'!$H$182:$H$183,'Div 3'!$H$185:$H$186,'Div 3'!$H$188,'Div 3'!$H$190,'Div 3'!$H$192,'Div 3'!$H$194:$H$195,'Div 3'!$H$197,'Div 3'!$H$199,'Div 3'!$H$201,'Div 3'!$H$203,'Div 3'!$H$205,'Div 3'!$H$207,'Div 3'!$H$209:$H$211,'Div 3'!$H$213:$H$215,'Div 3'!$H$217:$H$221,'Div 3'!$H$223:$H$224,'Div 3'!$H$226:$H$232,'Div 3'!$H$234:$H$235,'Div 3'!$H$237,'Div 3'!$H$239:$H$241,'Div 3'!$H$243</definedName>
    <definedName name="OSRRefH22x_0" localSheetId="73">'Div 4'!$H$34:$H$42,'Div 4'!$H$44:$H$50,'Div 4'!$H$52,'Div 4'!$H$54,'Div 4'!$H$56,'Div 4'!$H$58:$H$60,'Div 4'!$H$62,'Div 4'!$H$64,'Div 4'!$H$66,'Div 4'!$H$68:$H$69,'Div 4'!$H$71,'Div 4'!$H$73,'Div 4'!$H$75,'Div 4'!$H$77,'Div 4'!$H$79,'Div 4'!$H$81:$H$83,'Div 4'!$H$85:$H$86,'Div 4'!$H$88:$H$92,'Div 4'!$H$94,'Div 4'!$H$96:$H$103,'Div 4'!$H$105,'Div 4'!$H$107,'Div 4'!$H$109:$H$111,'Div 4'!$H$113</definedName>
    <definedName name="OSRRefH22x_0" localSheetId="96">'Div 5'!$H$21:$H$28,'Div 5'!$H$30:$H$35,'Div 5'!$H$37,'Div 5'!$H$39,'Div 5'!$H$41,'Div 5'!$H$43,'Div 5'!$H$45,'Div 5'!$H$47,'Div 5'!$H$49,'Div 5'!$H$51:$H$54,'Div 5'!$H$56</definedName>
    <definedName name="OSRRefH22x_0" localSheetId="64">'Div 6'!$H$53:$H$61,'Div 6'!$H$63:$H$66,'Div 6'!$H$68,'Div 6'!$H$70,'Div 6'!$H$72,'Div 6'!$H$74,'Div 6'!$H$76,'Div 6'!$H$78,'Div 6'!$H$80,'Div 6'!$H$82:$H$83,'Div 6'!$H$85</definedName>
    <definedName name="OSRRefH22x_0" localSheetId="2">Summary!$H$189:$H$197,Summary!$H$199:$H$205,Summary!$H$207,Summary!$H$209,Summary!$H$211,Summary!$H$213:$H$215,Summary!$H$217:$H$218,Summary!$H$220,Summary!$H$222,Summary!$H$224,Summary!$H$226:$H$227,Summary!$H$229:$H$230,Summary!$H$232,Summary!$H$234,Summary!$H$236,Summary!$H$238,Summary!$H$240,Summary!$H$242,Summary!$H$244:$H$246,Summary!$H$248:$H$250,Summary!$H$252:$H$256,Summary!$H$258:$H$259,Summary!$H$261:$H$268,Summary!$H$270:$H$271,Summary!$H$273,Summary!$H$275:$H$277,Summary!$H$279</definedName>
    <definedName name="OSRRefH25x_0" localSheetId="48">'300'!$H$236:$H$242</definedName>
    <definedName name="OSRRefH25x_0" localSheetId="49">'300 &amp; 317'!$H$258:$H$266</definedName>
    <definedName name="OSRRefH25x_0" localSheetId="50">'301'!$H$88:$H$89</definedName>
    <definedName name="OSRRefH25x_0" localSheetId="55">'308'!$H$108:$H$109</definedName>
    <definedName name="OSRRefH25x_0" localSheetId="74">'310 &amp; 491'!$H$122:$H$124</definedName>
    <definedName name="OSRRefH25x_0" localSheetId="56">'311'!$H$107:$H$108</definedName>
    <definedName name="OSRRefH25x_0" localSheetId="59">'315'!$H$98</definedName>
    <definedName name="OSRRefH25x_0" localSheetId="62">'316'!$H$64</definedName>
    <definedName name="OSRRefH25x_0" localSheetId="65">'317'!$H$88:$H$90</definedName>
    <definedName name="OSRRefH25x_0" localSheetId="63">'320'!$H$54:$H$57</definedName>
    <definedName name="OSRRefH25x_0" localSheetId="58">'331'!$H$134</definedName>
    <definedName name="OSRRefH25x_0" localSheetId="61">'332'!$H$79:$H$83</definedName>
    <definedName name="OSRRefH25x_0" localSheetId="78">'411'!$H$79:$H$80</definedName>
    <definedName name="OSRRefH25x_0" localSheetId="80">'413'!$H$61</definedName>
    <definedName name="OSRRefH25x_0" localSheetId="85">'423'!$H$41</definedName>
    <definedName name="OSRRefH25x_0" localSheetId="86">'424'!$H$55</definedName>
    <definedName name="OSRRefH25x_0" localSheetId="87">'425'!$H$75</definedName>
    <definedName name="OSRRefH25x_0" localSheetId="88">'455'!$H$32:$H$33</definedName>
    <definedName name="OSRRefH25x_0" localSheetId="75">'491'!$H$110:$H$112</definedName>
    <definedName name="OSRRefH25x_0" localSheetId="97">'501'!$H$59</definedName>
    <definedName name="OSRRefH25x_0" localSheetId="47">'Div 3'!$H$246:$H$252</definedName>
    <definedName name="OSRRefH25x_0" localSheetId="73">'Div 4'!$H$116:$H$118</definedName>
    <definedName name="OSRRefH25x_0" localSheetId="96">'Div 5'!$H$59</definedName>
    <definedName name="OSRRefH25x_0" localSheetId="64">'Div 6'!$H$88:$H$90</definedName>
    <definedName name="OSRRefH25x_0" localSheetId="2">Summary!$H$282:$H$291</definedName>
    <definedName name="OSRRefP13x_0" localSheetId="48">'300'!$P$13:$P$96</definedName>
    <definedName name="OSRRefP13x_0" localSheetId="49">'300 &amp; 317'!$P$13:$P$113</definedName>
    <definedName name="OSRRefP13x_0" localSheetId="53">'307'!$P$13:$P$39</definedName>
    <definedName name="OSRRefP13x_0" localSheetId="55">'308'!$P$13:$P$36</definedName>
    <definedName name="OSRRefP13x_0" localSheetId="67">'309'!$P$13:$P$14</definedName>
    <definedName name="OSRRefP13x_0" localSheetId="66">'310'!$P$13:$P$21</definedName>
    <definedName name="OSRRefP13x_0" localSheetId="74">'310 &amp; 491'!$P$13:$P$29</definedName>
    <definedName name="OSRRefP13x_0" localSheetId="56">'311'!$P$13:$P$35</definedName>
    <definedName name="OSRRefP13x_0" localSheetId="68">'313'!$P$13:$P$18</definedName>
    <definedName name="OSRRefP13x_0" localSheetId="54">'314'!$P$13:$P$33</definedName>
    <definedName name="OSRRefP13x_0" localSheetId="59">'315'!$P$13:$P$30</definedName>
    <definedName name="OSRRefP13x_0" localSheetId="62">'316'!$P$13:$P$24</definedName>
    <definedName name="OSRRefP13x_0" localSheetId="65">'317'!$P$13:$P$34</definedName>
    <definedName name="OSRRefP13x_0" localSheetId="63">'320'!$P$13:$P$16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1">'325'!$P$13:$P$14</definedName>
    <definedName name="OSRRefP13x_0" localSheetId="60">'326'!$P$13:$P$33</definedName>
    <definedName name="OSRRefP13x_0" localSheetId="72">'327'!$P$13</definedName>
    <definedName name="OSRRefP13x_0" localSheetId="52">'330'!$P$13:$P$47</definedName>
    <definedName name="OSRRefP13x_0" localSheetId="58">'331'!$P$13:$P$39</definedName>
    <definedName name="OSRRefP13x_0" localSheetId="61">'332'!$P$13:$P$28</definedName>
    <definedName name="OSRRefP13x_0" localSheetId="76">'405'!$P$13:$P$14</definedName>
    <definedName name="OSRRefP13x_0" localSheetId="77">'406'!$P$13:$P$14</definedName>
    <definedName name="OSRRefP13x_0" localSheetId="79">'412'!$P$13:$P$14</definedName>
    <definedName name="OSRRefP13x_0" localSheetId="80">'413'!$P$13:$P$14</definedName>
    <definedName name="OSRRefP13x_0" localSheetId="81">'414'!$P$13:$P$14</definedName>
    <definedName name="OSRRefP13x_0" localSheetId="82">'415'!$P$13:$P$14</definedName>
    <definedName name="OSRRefP13x_0" localSheetId="83">'418'!$P$13:$P$14</definedName>
    <definedName name="OSRRefP13x_0" localSheetId="86">'424'!$P$13:$P$14</definedName>
    <definedName name="OSRRefP13x_0" localSheetId="87">'425'!$P$13:$P$15</definedName>
    <definedName name="OSRRefP13x_0" localSheetId="91">'433'!$P$13:$P$16</definedName>
    <definedName name="OSRRefP13x_0" localSheetId="92">'435'!$P$13:$P$14</definedName>
    <definedName name="OSRRefP13x_0" localSheetId="93">'444'!$P$13:$P$15</definedName>
    <definedName name="OSRRefP13x_0" localSheetId="95">'450'!$P$13:$P$15</definedName>
    <definedName name="OSRRefP13x_0" localSheetId="75">'491'!$P$13:$P$22</definedName>
    <definedName name="OSRRefP13x_0" localSheetId="89">'492'!$P$13:$P$18</definedName>
    <definedName name="OSRRefP13x_0" localSheetId="97">'501'!$P$13</definedName>
    <definedName name="OSRRefP13x_0" localSheetId="47">'Div 3'!$P$13:$P$100</definedName>
    <definedName name="OSRRefP13x_0" localSheetId="73">'Div 4'!$P$13:$P$24</definedName>
    <definedName name="OSRRefP13x_0" localSheetId="96">'Div 5'!$P$13</definedName>
    <definedName name="OSRRefP13x_0" localSheetId="64">'Div 6'!$P$13:$P$34</definedName>
    <definedName name="OSRRefP13x_0" localSheetId="2">Summary!$P$13:$P$126</definedName>
    <definedName name="OSRRefP16x_0" localSheetId="48">'300'!$P$99:$P$146</definedName>
    <definedName name="OSRRefP16x_0" localSheetId="49">'300 &amp; 317'!$P$116:$P$168</definedName>
    <definedName name="OSRRefP16x_0" localSheetId="53">'307'!$P$42:$P$58</definedName>
    <definedName name="OSRRefP16x_0" localSheetId="55">'308'!$P$39:$P$53</definedName>
    <definedName name="OSRRefP16x_0" localSheetId="67">'309'!$P$17:$P$18</definedName>
    <definedName name="OSRRefP16x_0" localSheetId="66">'310'!$P$24:$P$25</definedName>
    <definedName name="OSRRefP16x_0" localSheetId="74">'310 &amp; 491'!$P$32:$P$33</definedName>
    <definedName name="OSRRefP16x_0" localSheetId="56">'311'!$P$38:$P$52</definedName>
    <definedName name="OSRRefP16x_0" localSheetId="68">'313'!$P$21:$P$22</definedName>
    <definedName name="OSRRefP16x_0" localSheetId="54">'314'!$P$36:$P$49</definedName>
    <definedName name="OSRRefP16x_0" localSheetId="59">'315'!$P$33:$P$46</definedName>
    <definedName name="OSRRefP16x_0" localSheetId="65">'317'!$P$37:$P$47</definedName>
    <definedName name="OSRRefP16x_0" localSheetId="63">'320'!$P$19:$P$23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1">'325'!$P$17:$P$18</definedName>
    <definedName name="OSRRefP16x_0" localSheetId="60">'326'!$P$36:$P$50</definedName>
    <definedName name="OSRRefP16x_0" localSheetId="72">'327'!$P$16</definedName>
    <definedName name="OSRRefP16x_0" localSheetId="52">'330'!$P$50:$P$70</definedName>
    <definedName name="OSRRefP16x_0" localSheetId="58">'331'!$P$42:$P$62</definedName>
    <definedName name="OSRRefP16x_0" localSheetId="61">'332'!$P$31:$P$35</definedName>
    <definedName name="OSRRefP16x_0" localSheetId="76">'405'!$P$17:$P$18</definedName>
    <definedName name="OSRRefP16x_0" localSheetId="77">'406'!$P$17:$P$18</definedName>
    <definedName name="OSRRefP16x_0" localSheetId="79">'412'!$P$17</definedName>
    <definedName name="OSRRefP16x_0" localSheetId="80">'413'!$P$17:$P$18</definedName>
    <definedName name="OSRRefP16x_0" localSheetId="81">'414'!$P$17:$P$18</definedName>
    <definedName name="OSRRefP16x_0" localSheetId="82">'415'!$P$17:$P$18</definedName>
    <definedName name="OSRRefP16x_0" localSheetId="83">'418'!$P$17:$P$18</definedName>
    <definedName name="OSRRefP16x_0" localSheetId="85">'423'!$P$15</definedName>
    <definedName name="OSRRefP16x_0" localSheetId="86">'424'!$P$17:$P$18</definedName>
    <definedName name="OSRRefP16x_0" localSheetId="87">'425'!$P$18:$P$19</definedName>
    <definedName name="OSRRefP16x_0" localSheetId="91">'433'!$P$19:$P$20</definedName>
    <definedName name="OSRRefP16x_0" localSheetId="92">'435'!$P$17:$P$18</definedName>
    <definedName name="OSRRefP16x_0" localSheetId="93">'444'!$P$18:$P$19</definedName>
    <definedName name="OSRRefP16x_0" localSheetId="95">'450'!$P$18:$P$19</definedName>
    <definedName name="OSRRefP16x_0" localSheetId="75">'491'!$P$25:$P$26</definedName>
    <definedName name="OSRRefP16x_0" localSheetId="89">'492'!$P$21:$P$22</definedName>
    <definedName name="OSRRefP16x_0" localSheetId="47">'Div 3'!$P$103:$P$152</definedName>
    <definedName name="OSRRefP16x_0" localSheetId="73">'Div 4'!$P$27:$P$28</definedName>
    <definedName name="OSRRefP16x_0" localSheetId="64">'Div 6'!$P$37:$P$47</definedName>
    <definedName name="OSRRefP16x_0" localSheetId="2">Summary!$P$129:$P$183</definedName>
    <definedName name="OSRRefP22_0x_0" localSheetId="40">'200'!$P$20</definedName>
    <definedName name="OSRRefP22_0x_0" localSheetId="41">'201'!$P$20:$P$28</definedName>
    <definedName name="OSRRefP22_0x_0" localSheetId="42">'202'!$P$20:$P$27</definedName>
    <definedName name="OSRRefP22_0x_0" localSheetId="43">'203'!$P$20:$P$28</definedName>
    <definedName name="OSRRefP22_0x_0" localSheetId="44">'204'!$P$20:$P$28</definedName>
    <definedName name="OSRRefP22_0x_0" localSheetId="45">'205'!$P$20:$P$27</definedName>
    <definedName name="OSRRefP22_0x_0" localSheetId="46">'206'!$P$20:$P$27</definedName>
    <definedName name="OSRRefP22_0x_0" localSheetId="48">'300'!$P$152:$P$160</definedName>
    <definedName name="OSRRefP22_0x_0" localSheetId="49">'300 &amp; 317'!$P$174:$P$182</definedName>
    <definedName name="OSRRefP22_0x_0" localSheetId="50">'301'!$P$20:$P$27</definedName>
    <definedName name="OSRRefP22_0x_0" localSheetId="51">'306'!$P$20:$P$28</definedName>
    <definedName name="OSRRefP22_0x_0" localSheetId="53">'307'!$P$64:$P$71</definedName>
    <definedName name="OSRRefP22_0x_0" localSheetId="55">'308'!$P$59:$P$67</definedName>
    <definedName name="OSRRefP22_0x_0" localSheetId="67">'309'!$P$24:$P$31</definedName>
    <definedName name="OSRRefP22_0x_0" localSheetId="66">'310'!$P$31:$P$38</definedName>
    <definedName name="OSRRefP22_0x_0" localSheetId="74">'310 &amp; 491'!$P$39:$P$47</definedName>
    <definedName name="OSRRefP22_0x_0" localSheetId="56">'311'!$P$58:$P$66</definedName>
    <definedName name="OSRRefP22_0x_0" localSheetId="68">'313'!$P$28:$P$35</definedName>
    <definedName name="OSRRefP22_0x_0" localSheetId="54">'314'!$P$55:$P$61</definedName>
    <definedName name="OSRRefP22_0x_0" localSheetId="59">'315'!$P$52:$P$59</definedName>
    <definedName name="OSRRefP22_0x_0" localSheetId="62">'316'!$P$32:$P$39</definedName>
    <definedName name="OSRRefP22_0x_0" localSheetId="65">'317'!$P$53:$P$61</definedName>
    <definedName name="OSRRefP22_0x_0" localSheetId="63">'320'!$P$29:$P$35</definedName>
    <definedName name="OSRRefP22_0x_0" localSheetId="69">'321'!$P$24:$P$30</definedName>
    <definedName name="OSRRefP22_0x_0" localSheetId="70">'322'!$P$24:$P$31</definedName>
    <definedName name="OSRRefP22_0x_0" localSheetId="57">'324'!$P$25</definedName>
    <definedName name="OSRRefP22_0x_0" localSheetId="71">'325'!$P$24:$P$31</definedName>
    <definedName name="OSRRefP22_0x_0" localSheetId="60">'326'!$P$56:$P$63</definedName>
    <definedName name="OSRRefP22_0x_0" localSheetId="72">'327'!$P$22</definedName>
    <definedName name="OSRRefP22_0x_0" localSheetId="52">'330'!$P$76:$P$83</definedName>
    <definedName name="OSRRefP22_0x_0" localSheetId="58">'331'!$P$68:$P$75</definedName>
    <definedName name="OSRRefP22_0x_0" localSheetId="61">'332'!$P$41:$P$48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'412'!$P$23:$P$30</definedName>
    <definedName name="OSRRefP22_0x_0" localSheetId="80">'413'!$P$24:$P$31</definedName>
    <definedName name="OSRRefP22_0x_0" localSheetId="81">'414'!$P$24:$P$31</definedName>
    <definedName name="OSRRefP22_0x_0" localSheetId="82">'415'!$P$24:$P$31</definedName>
    <definedName name="OSRRefP22_0x_0" localSheetId="83">'418'!$P$24:$P$31</definedName>
    <definedName name="OSRRefP22_0x_0" localSheetId="85">'423'!$P$21:$P$28</definedName>
    <definedName name="OSRRefP22_0x_0" localSheetId="86">'424'!$P$24:$P$26</definedName>
    <definedName name="OSRRefP22_0x_0" localSheetId="87">'425'!$P$25:$P$32</definedName>
    <definedName name="OSRRefP22_0x_0" localSheetId="90">'430'!$P$20:$P$27</definedName>
    <definedName name="OSRRefP22_0x_0" localSheetId="91">'433'!$P$26:$P$34</definedName>
    <definedName name="OSRRefP22_0x_0" localSheetId="92">'435'!$P$24:$P$26</definedName>
    <definedName name="OSRRefP22_0x_0" localSheetId="93">'444'!$P$25:$P$33</definedName>
    <definedName name="OSRRefP22_0x_0" localSheetId="94">'445'!$P$20</definedName>
    <definedName name="OSRRefP22_0x_0" localSheetId="95">'450'!$P$25:$P$33</definedName>
    <definedName name="OSRRefP22_0x_0" localSheetId="88">'455'!$P$20:$P$26</definedName>
    <definedName name="OSRRefP22_0x_0" localSheetId="75">'491'!$P$32:$P$40</definedName>
    <definedName name="OSRRefP22_0x_0" localSheetId="89">'492'!$P$28:$P$36</definedName>
    <definedName name="OSRRefP22_0x_0" localSheetId="97">'501'!$P$21:$P$28</definedName>
    <definedName name="OSRRefP22_0x_0" localSheetId="39">'Div 2'!$P$20:$P$30</definedName>
    <definedName name="OSRRefP22_0x_0" localSheetId="47">'Div 3'!$P$158:$P$166</definedName>
    <definedName name="OSRRefP22_0x_0" localSheetId="73">'Div 4'!$P$34:$P$42</definedName>
    <definedName name="OSRRefP22_0x_0" localSheetId="96">'Div 5'!$P$21:$P$28</definedName>
    <definedName name="OSRRefP22_0x_0" localSheetId="64">'Div 6'!$P$53:$P$61</definedName>
    <definedName name="OSRRefP22_0x_0" localSheetId="2">Summary!$P$189:$P$197</definedName>
    <definedName name="OSRRefP22_10x_0" localSheetId="41">'201'!$P$51:$P$52</definedName>
    <definedName name="OSRRefP22_10x_0" localSheetId="42">'202'!$P$51</definedName>
    <definedName name="OSRRefP22_10x_0" localSheetId="43">'203'!$P$53</definedName>
    <definedName name="OSRRefP22_10x_0" localSheetId="44">'204'!$P$57:$P$58</definedName>
    <definedName name="OSRRefP22_10x_0" localSheetId="48">'300'!$P$188:$P$189</definedName>
    <definedName name="OSRRefP22_10x_0" localSheetId="49">'300 &amp; 317'!$P$210:$P$211</definedName>
    <definedName name="OSRRefP22_10x_0" localSheetId="50">'301'!$P$54</definedName>
    <definedName name="OSRRefP22_10x_0" localSheetId="53">'307'!$P$95</definedName>
    <definedName name="OSRRefP22_10x_0" localSheetId="55">'308'!$P$94</definedName>
    <definedName name="OSRRefP22_10x_0" localSheetId="67">'309'!$P$56:$P$61</definedName>
    <definedName name="OSRRefP22_10x_0" localSheetId="66">'310'!$P$64</definedName>
    <definedName name="OSRRefP22_10x_0" localSheetId="74">'310 &amp; 491'!$P$75:$P$76</definedName>
    <definedName name="OSRRefP22_10x_0" localSheetId="56">'311'!$P$93</definedName>
    <definedName name="OSRRefP22_10x_0" localSheetId="68">'313'!$P$59:$P$63</definedName>
    <definedName name="OSRRefP22_10x_0" localSheetId="59">'315'!$P$84</definedName>
    <definedName name="OSRRefP22_10x_0" localSheetId="65">'317'!$P$85</definedName>
    <definedName name="OSRRefP22_10x_0" localSheetId="69">'321'!$P$59</definedName>
    <definedName name="OSRRefP22_10x_0" localSheetId="70">'322'!$P$54:$P$56</definedName>
    <definedName name="OSRRefP22_10x_0" localSheetId="71">'325'!$P$56</definedName>
    <definedName name="OSRRefP22_10x_0" localSheetId="60">'326'!$P$86</definedName>
    <definedName name="OSRRefP22_10x_0" localSheetId="52">'330'!$P$107:$P$108</definedName>
    <definedName name="OSRRefP22_10x_0" localSheetId="58">'331'!$P$99</definedName>
    <definedName name="OSRRefP22_10x_0" localSheetId="61">'332'!$P$76</definedName>
    <definedName name="OSRRefP22_10x_0" localSheetId="76">'405'!$P$56</definedName>
    <definedName name="OSRRefP22_10x_0" localSheetId="77">'406'!$P$55:$P$60</definedName>
    <definedName name="OSRRefP22_10x_0" localSheetId="78">'411'!$P$61:$P$66</definedName>
    <definedName name="OSRRefP22_10x_0" localSheetId="79">'412'!$P$56:$P$57</definedName>
    <definedName name="OSRRefP22_10x_0" localSheetId="80">'413'!$P$58</definedName>
    <definedName name="OSRRefP22_10x_0" localSheetId="81">'414'!$P$55</definedName>
    <definedName name="OSRRefP22_10x_0" localSheetId="82">'415'!$P$56</definedName>
    <definedName name="OSRRefP22_10x_0" localSheetId="83">'418'!$P$58:$P$60</definedName>
    <definedName name="OSRRefP22_10x_0" localSheetId="86">'424'!$P$52</definedName>
    <definedName name="OSRRefP22_10x_0" localSheetId="87">'425'!$P$56</definedName>
    <definedName name="OSRRefP22_10x_0" localSheetId="91">'433'!$P$61:$P$66</definedName>
    <definedName name="OSRRefP22_10x_0" localSheetId="93">'444'!$P$58:$P$59</definedName>
    <definedName name="OSRRefP22_10x_0" localSheetId="95">'450'!$P$58</definedName>
    <definedName name="OSRRefP22_10x_0" localSheetId="75">'491'!$P$69</definedName>
    <definedName name="OSRRefP22_10x_0" localSheetId="89">'492'!$P$62</definedName>
    <definedName name="OSRRefP22_10x_0" localSheetId="97">'501'!$P$56</definedName>
    <definedName name="OSRRefP22_10x_0" localSheetId="39">'Div 2'!$P$57</definedName>
    <definedName name="OSRRefP22_10x_0" localSheetId="47">'Div 3'!$P$194:$P$195</definedName>
    <definedName name="OSRRefP22_10x_0" localSheetId="73">'Div 4'!$P$71</definedName>
    <definedName name="OSRRefP22_10x_0" localSheetId="96">'Div 5'!$P$56</definedName>
    <definedName name="OSRRefP22_10x_0" localSheetId="64">'Div 6'!$P$85</definedName>
    <definedName name="OSRRefP22_10x_0" localSheetId="2">Summary!$P$226:$P$227</definedName>
    <definedName name="OSRRefP22_11x_0" localSheetId="41">'201'!$P$54</definedName>
    <definedName name="OSRRefP22_11x_0" localSheetId="42">'202'!$P$53</definedName>
    <definedName name="OSRRefP22_11x_0" localSheetId="43">'203'!$P$55:$P$57</definedName>
    <definedName name="OSRRefP22_11x_0" localSheetId="48">'300'!$P$191</definedName>
    <definedName name="OSRRefP22_11x_0" localSheetId="49">'300 &amp; 317'!$P$213</definedName>
    <definedName name="OSRRefP22_11x_0" localSheetId="50">'301'!$P$56</definedName>
    <definedName name="OSRRefP22_11x_0" localSheetId="55">'308'!$P$96:$P$98</definedName>
    <definedName name="OSRRefP22_11x_0" localSheetId="67">'309'!$P$63</definedName>
    <definedName name="OSRRefP22_11x_0" localSheetId="66">'310'!$P$66</definedName>
    <definedName name="OSRRefP22_11x_0" localSheetId="74">'310 &amp; 491'!$P$78</definedName>
    <definedName name="OSRRefP22_11x_0" localSheetId="56">'311'!$P$95:$P$97</definedName>
    <definedName name="OSRRefP22_11x_0" localSheetId="68">'313'!$P$65</definedName>
    <definedName name="OSRRefP22_11x_0" localSheetId="59">'315'!$P$86:$P$89</definedName>
    <definedName name="OSRRefP22_11x_0" localSheetId="69">'321'!$P$61</definedName>
    <definedName name="OSRRefP22_11x_0" localSheetId="70">'322'!$P$58:$P$63</definedName>
    <definedName name="OSRRefP22_11x_0" localSheetId="71">'325'!$P$58:$P$60</definedName>
    <definedName name="OSRRefP22_11x_0" localSheetId="60">'326'!$P$88</definedName>
    <definedName name="OSRRefP22_11x_0" localSheetId="52">'330'!$P$110</definedName>
    <definedName name="OSRRefP22_11x_0" localSheetId="58">'331'!$P$101</definedName>
    <definedName name="OSRRefP22_11x_0" localSheetId="76">'405'!$P$58:$P$60</definedName>
    <definedName name="OSRRefP22_11x_0" localSheetId="77">'406'!$P$62</definedName>
    <definedName name="OSRRefP22_11x_0" localSheetId="78">'411'!$P$68</definedName>
    <definedName name="OSRRefP22_11x_0" localSheetId="79">'412'!$P$59:$P$65</definedName>
    <definedName name="OSRRefP22_11x_0" localSheetId="81">'414'!$P$57</definedName>
    <definedName name="OSRRefP22_11x_0" localSheetId="82">'415'!$P$58</definedName>
    <definedName name="OSRRefP22_11x_0" localSheetId="83">'418'!$P$62</definedName>
    <definedName name="OSRRefP22_11x_0" localSheetId="87">'425'!$P$58:$P$59</definedName>
    <definedName name="OSRRefP22_11x_0" localSheetId="91">'433'!$P$68</definedName>
    <definedName name="OSRRefP22_11x_0" localSheetId="93">'444'!$P$61:$P$63</definedName>
    <definedName name="OSRRefP22_11x_0" localSheetId="95">'450'!$P$60:$P$62</definedName>
    <definedName name="OSRRefP22_11x_0" localSheetId="75">'491'!$P$71</definedName>
    <definedName name="OSRRefP22_11x_0" localSheetId="89">'492'!$P$64:$P$65</definedName>
    <definedName name="OSRRefP22_11x_0" localSheetId="39">'Div 2'!$P$59</definedName>
    <definedName name="OSRRefP22_11x_0" localSheetId="47">'Div 3'!$P$197</definedName>
    <definedName name="OSRRefP22_11x_0" localSheetId="73">'Div 4'!$P$73</definedName>
    <definedName name="OSRRefP22_11x_0" localSheetId="2">Summary!$P$229:$P$230</definedName>
    <definedName name="OSRRefP22_12x_0" localSheetId="41">'201'!$P$56:$P$58</definedName>
    <definedName name="OSRRefP22_12x_0" localSheetId="43">'203'!$P$59</definedName>
    <definedName name="OSRRefP22_12x_0" localSheetId="48">'300'!$P$193</definedName>
    <definedName name="OSRRefP22_12x_0" localSheetId="49">'300 &amp; 317'!$P$215</definedName>
    <definedName name="OSRRefP22_12x_0" localSheetId="50">'301'!$P$58</definedName>
    <definedName name="OSRRefP22_12x_0" localSheetId="55">'308'!$P$100:$P$101</definedName>
    <definedName name="OSRRefP22_12x_0" localSheetId="66">'310'!$P$68</definedName>
    <definedName name="OSRRefP22_12x_0" localSheetId="74">'310 &amp; 491'!$P$80</definedName>
    <definedName name="OSRRefP22_12x_0" localSheetId="56">'311'!$P$99:$P$100</definedName>
    <definedName name="OSRRefP22_12x_0" localSheetId="68">'313'!$P$67</definedName>
    <definedName name="OSRRefP22_12x_0" localSheetId="59">'315'!$P$91</definedName>
    <definedName name="OSRRefP22_12x_0" localSheetId="70">'322'!$P$65</definedName>
    <definedName name="OSRRefP22_12x_0" localSheetId="71">'325'!$P$62</definedName>
    <definedName name="OSRRefP22_12x_0" localSheetId="60">'326'!$P$90</definedName>
    <definedName name="OSRRefP22_12x_0" localSheetId="58">'331'!$P$103</definedName>
    <definedName name="OSRRefP22_12x_0" localSheetId="76">'405'!$P$62</definedName>
    <definedName name="OSRRefP22_12x_0" localSheetId="77">'406'!$P$64</definedName>
    <definedName name="OSRRefP22_12x_0" localSheetId="78">'411'!$P$70</definedName>
    <definedName name="OSRRefP22_12x_0" localSheetId="79">'412'!$P$67</definedName>
    <definedName name="OSRRefP22_12x_0" localSheetId="81">'414'!$P$59:$P$65</definedName>
    <definedName name="OSRRefP22_12x_0" localSheetId="82">'415'!$P$60:$P$64</definedName>
    <definedName name="OSRRefP22_12x_0" localSheetId="83">'418'!$P$64:$P$68</definedName>
    <definedName name="OSRRefP22_12x_0" localSheetId="87">'425'!$P$61:$P$66</definedName>
    <definedName name="OSRRefP22_12x_0" localSheetId="91">'433'!$P$70</definedName>
    <definedName name="OSRRefP22_12x_0" localSheetId="93">'444'!$P$65:$P$71</definedName>
    <definedName name="OSRRefP22_12x_0" localSheetId="95">'450'!$P$64:$P$69</definedName>
    <definedName name="OSRRefP22_12x_0" localSheetId="75">'491'!$P$73</definedName>
    <definedName name="OSRRefP22_12x_0" localSheetId="89">'492'!$P$67:$P$69</definedName>
    <definedName name="OSRRefP22_12x_0" localSheetId="39">'Div 2'!$P$61:$P$64</definedName>
    <definedName name="OSRRefP22_12x_0" localSheetId="47">'Div 3'!$P$199</definedName>
    <definedName name="OSRRefP22_12x_0" localSheetId="73">'Div 4'!$P$75</definedName>
    <definedName name="OSRRefP22_12x_0" localSheetId="2">Summary!$P$232</definedName>
    <definedName name="OSRRefP22_13x_0" localSheetId="41">'201'!$P$60</definedName>
    <definedName name="OSRRefP22_13x_0" localSheetId="43">'203'!$P$61</definedName>
    <definedName name="OSRRefP22_13x_0" localSheetId="48">'300'!$P$195</definedName>
    <definedName name="OSRRefP22_13x_0" localSheetId="49">'300 &amp; 317'!$P$217</definedName>
    <definedName name="OSRRefP22_13x_0" localSheetId="50">'301'!$P$60</definedName>
    <definedName name="OSRRefP22_13x_0" localSheetId="55">'308'!$P$103</definedName>
    <definedName name="OSRRefP22_13x_0" localSheetId="66">'310'!$P$70</definedName>
    <definedName name="OSRRefP22_13x_0" localSheetId="74">'310 &amp; 491'!$P$82</definedName>
    <definedName name="OSRRefP22_13x_0" localSheetId="56">'311'!$P$102</definedName>
    <definedName name="OSRRefP22_13x_0" localSheetId="59">'315'!$P$93</definedName>
    <definedName name="OSRRefP22_13x_0" localSheetId="70">'322'!$P$67</definedName>
    <definedName name="OSRRefP22_13x_0" localSheetId="71">'325'!$P$64:$P$69</definedName>
    <definedName name="OSRRefP22_13x_0" localSheetId="60">'326'!$P$92:$P$94</definedName>
    <definedName name="OSRRefP22_13x_0" localSheetId="58">'331'!$P$105</definedName>
    <definedName name="OSRRefP22_13x_0" localSheetId="76">'405'!$P$64:$P$70</definedName>
    <definedName name="OSRRefP22_13x_0" localSheetId="78">'411'!$P$72:$P$74</definedName>
    <definedName name="OSRRefP22_13x_0" localSheetId="79">'412'!$P$69</definedName>
    <definedName name="OSRRefP22_13x_0" localSheetId="81">'414'!$P$67</definedName>
    <definedName name="OSRRefP22_13x_0" localSheetId="82">'415'!$P$66</definedName>
    <definedName name="OSRRefP22_13x_0" localSheetId="83">'418'!$P$70</definedName>
    <definedName name="OSRRefP22_13x_0" localSheetId="87">'425'!$P$68</definedName>
    <definedName name="OSRRefP22_13x_0" localSheetId="91">'433'!$P$72:$P$73</definedName>
    <definedName name="OSRRefP22_13x_0" localSheetId="93">'444'!$P$73</definedName>
    <definedName name="OSRRefP22_13x_0" localSheetId="95">'450'!$P$71</definedName>
    <definedName name="OSRRefP22_13x_0" localSheetId="75">'491'!$P$75:$P$77</definedName>
    <definedName name="OSRRefP22_13x_0" localSheetId="89">'492'!$P$71:$P$77</definedName>
    <definedName name="OSRRefP22_13x_0" localSheetId="39">'Div 2'!$P$66:$P$68</definedName>
    <definedName name="OSRRefP22_13x_0" localSheetId="47">'Div 3'!$P$201</definedName>
    <definedName name="OSRRefP22_13x_0" localSheetId="73">'Div 4'!$P$77</definedName>
    <definedName name="OSRRefP22_13x_0" localSheetId="2">Summary!$P$234</definedName>
    <definedName name="OSRRefP22_14x_0" localSheetId="41">'201'!$P$62</definedName>
    <definedName name="OSRRefP22_14x_0" localSheetId="43">'203'!$P$63</definedName>
    <definedName name="OSRRefP22_14x_0" localSheetId="48">'300'!$P$197</definedName>
    <definedName name="OSRRefP22_14x_0" localSheetId="49">'300 &amp; 317'!$P$219</definedName>
    <definedName name="OSRRefP22_14x_0" localSheetId="50">'301'!$P$62:$P$64</definedName>
    <definedName name="OSRRefP22_14x_0" localSheetId="55">'308'!$P$105</definedName>
    <definedName name="OSRRefP22_14x_0" localSheetId="66">'310'!$P$72</definedName>
    <definedName name="OSRRefP22_14x_0" localSheetId="74">'310 &amp; 491'!$P$84</definedName>
    <definedName name="OSRRefP22_14x_0" localSheetId="56">'311'!$P$104</definedName>
    <definedName name="OSRRefP22_14x_0" localSheetId="59">'315'!$P$95</definedName>
    <definedName name="OSRRefP22_14x_0" localSheetId="71">'325'!$P$71</definedName>
    <definedName name="OSRRefP22_14x_0" localSheetId="60">'326'!$P$96</definedName>
    <definedName name="OSRRefP22_14x_0" localSheetId="58">'331'!$P$107:$P$108</definedName>
    <definedName name="OSRRefP22_14x_0" localSheetId="76">'405'!$P$72</definedName>
    <definedName name="OSRRefP22_14x_0" localSheetId="78">'411'!$P$76</definedName>
    <definedName name="OSRRefP22_14x_0" localSheetId="81">'414'!$P$69</definedName>
    <definedName name="OSRRefP22_14x_0" localSheetId="82">'415'!$P$68:$P$74</definedName>
    <definedName name="OSRRefP22_14x_0" localSheetId="83">'418'!$P$72</definedName>
    <definedName name="OSRRefP22_14x_0" localSheetId="87">'425'!$P$70</definedName>
    <definedName name="OSRRefP22_14x_0" localSheetId="93">'444'!$P$75</definedName>
    <definedName name="OSRRefP22_14x_0" localSheetId="95">'450'!$P$73</definedName>
    <definedName name="OSRRefP22_14x_0" localSheetId="75">'491'!$P$79:$P$80</definedName>
    <definedName name="OSRRefP22_14x_0" localSheetId="89">'492'!$P$79</definedName>
    <definedName name="OSRRefP22_14x_0" localSheetId="39">'Div 2'!$P$70:$P$71</definedName>
    <definedName name="OSRRefP22_14x_0" localSheetId="47">'Div 3'!$P$203</definedName>
    <definedName name="OSRRefP22_14x_0" localSheetId="73">'Div 4'!$P$79</definedName>
    <definedName name="OSRRefP22_14x_0" localSheetId="2">Summary!$P$236</definedName>
    <definedName name="OSRRefP22_15x_0" localSheetId="41">'201'!$P$64:$P$65</definedName>
    <definedName name="OSRRefP22_15x_0" localSheetId="48">'300'!$P$199</definedName>
    <definedName name="OSRRefP22_15x_0" localSheetId="49">'300 &amp; 317'!$P$221</definedName>
    <definedName name="OSRRefP22_15x_0" localSheetId="50">'301'!$P$66:$P$68</definedName>
    <definedName name="OSRRefP22_15x_0" localSheetId="66">'310'!$P$74</definedName>
    <definedName name="OSRRefP22_15x_0" localSheetId="74">'310 &amp; 491'!$P$86:$P$88</definedName>
    <definedName name="OSRRefP22_15x_0" localSheetId="71">'325'!$P$73</definedName>
    <definedName name="OSRRefP22_15x_0" localSheetId="60">'326'!$P$98:$P$101</definedName>
    <definedName name="OSRRefP22_15x_0" localSheetId="58">'331'!$P$110:$P$111</definedName>
    <definedName name="OSRRefP22_15x_0" localSheetId="76">'405'!$P$74</definedName>
    <definedName name="OSRRefP22_15x_0" localSheetId="82">'415'!$P$76</definedName>
    <definedName name="OSRRefP22_15x_0" localSheetId="87">'425'!$P$72</definedName>
    <definedName name="OSRRefP22_15x_0" localSheetId="93">'444'!$P$77</definedName>
    <definedName name="OSRRefP22_15x_0" localSheetId="95">'450'!$P$75:$P$76</definedName>
    <definedName name="OSRRefP22_15x_0" localSheetId="75">'491'!$P$82:$P$86</definedName>
    <definedName name="OSRRefP22_15x_0" localSheetId="89">'492'!$P$81</definedName>
    <definedName name="OSRRefP22_15x_0" localSheetId="39">'Div 2'!$P$73</definedName>
    <definedName name="OSRRefP22_15x_0" localSheetId="47">'Div 3'!$P$205</definedName>
    <definedName name="OSRRefP22_15x_0" localSheetId="73">'Div 4'!$P$81:$P$83</definedName>
    <definedName name="OSRRefP22_15x_0" localSheetId="2">Summary!$P$238</definedName>
    <definedName name="OSRRefP22_16x_0" localSheetId="48">'300'!$P$201:$P$203</definedName>
    <definedName name="OSRRefP22_16x_0" localSheetId="49">'300 &amp; 317'!$P$223:$P$225</definedName>
    <definedName name="OSRRefP22_16x_0" localSheetId="50">'301'!$P$70</definedName>
    <definedName name="OSRRefP22_16x_0" localSheetId="66">'310'!$P$76:$P$79</definedName>
    <definedName name="OSRRefP22_16x_0" localSheetId="74">'310 &amp; 491'!$P$90:$P$91</definedName>
    <definedName name="OSRRefP22_16x_0" localSheetId="60">'326'!$P$103</definedName>
    <definedName name="OSRRefP22_16x_0" localSheetId="58">'331'!$P$113:$P$115</definedName>
    <definedName name="OSRRefP22_16x_0" localSheetId="76">'405'!$P$76</definedName>
    <definedName name="OSRRefP22_16x_0" localSheetId="82">'415'!$P$78</definedName>
    <definedName name="OSRRefP22_16x_0" localSheetId="75">'491'!$P$88</definedName>
    <definedName name="OSRRefP22_16x_0" localSheetId="89">'492'!$P$83:$P$84</definedName>
    <definedName name="OSRRefP22_16x_0" localSheetId="39">'Div 2'!$P$75:$P$78</definedName>
    <definedName name="OSRRefP22_16x_0" localSheetId="47">'Div 3'!$P$207</definedName>
    <definedName name="OSRRefP22_16x_0" localSheetId="73">'Div 4'!$P$85:$P$86</definedName>
    <definedName name="OSRRefP22_16x_0" localSheetId="2">Summary!$P$240</definedName>
    <definedName name="OSRRefP22_17x_0" localSheetId="48">'300'!$P$205:$P$207</definedName>
    <definedName name="OSRRefP22_17x_0" localSheetId="49">'300 &amp; 317'!$P$227:$P$229</definedName>
    <definedName name="OSRRefP22_17x_0" localSheetId="50">'301'!$P$72:$P$76</definedName>
    <definedName name="OSRRefP22_17x_0" localSheetId="66">'310'!$P$81:$P$82</definedName>
    <definedName name="OSRRefP22_17x_0" localSheetId="74">'310 &amp; 491'!$P$93:$P$97</definedName>
    <definedName name="OSRRefP22_17x_0" localSheetId="60">'326'!$P$105</definedName>
    <definedName name="OSRRefP22_17x_0" localSheetId="58">'331'!$P$117</definedName>
    <definedName name="OSRRefP22_17x_0" localSheetId="82">'415'!$P$80</definedName>
    <definedName name="OSRRefP22_17x_0" localSheetId="75">'491'!$P$90:$P$97</definedName>
    <definedName name="OSRRefP22_17x_0" localSheetId="39">'Div 2'!$P$80:$P$81</definedName>
    <definedName name="OSRRefP22_17x_0" localSheetId="47">'Div 3'!$P$209:$P$211</definedName>
    <definedName name="OSRRefP22_17x_0" localSheetId="73">'Div 4'!$P$88:$P$92</definedName>
    <definedName name="OSRRefP22_17x_0" localSheetId="2">Summary!$P$242</definedName>
    <definedName name="OSRRefP22_18x_0" localSheetId="48">'300'!$P$209:$P$212</definedName>
    <definedName name="OSRRefP22_18x_0" localSheetId="49">'300 &amp; 317'!$P$231:$P$234</definedName>
    <definedName name="OSRRefP22_18x_0" localSheetId="50">'301'!$P$78</definedName>
    <definedName name="OSRRefP22_18x_0" localSheetId="66">'310'!$P$84:$P$90</definedName>
    <definedName name="OSRRefP22_18x_0" localSheetId="74">'310 &amp; 491'!$P$99:$P$100</definedName>
    <definedName name="OSRRefP22_18x_0" localSheetId="60">'326'!$P$107</definedName>
    <definedName name="OSRRefP22_18x_0" localSheetId="58">'331'!$P$119:$P$123</definedName>
    <definedName name="OSRRefP22_18x_0" localSheetId="75">'491'!$P$99</definedName>
    <definedName name="OSRRefP22_18x_0" localSheetId="39">'Div 2'!$P$83</definedName>
    <definedName name="OSRRefP22_18x_0" localSheetId="47">'Div 3'!$P$213:$P$215</definedName>
    <definedName name="OSRRefP22_18x_0" localSheetId="73">'Div 4'!$P$94</definedName>
    <definedName name="OSRRefP22_18x_0" localSheetId="2">Summary!$P$244:$P$246</definedName>
    <definedName name="OSRRefP22_19x_0" localSheetId="48">'300'!$P$214:$P$215</definedName>
    <definedName name="OSRRefP22_19x_0" localSheetId="49">'300 &amp; 317'!$P$236:$P$237</definedName>
    <definedName name="OSRRefP22_19x_0" localSheetId="50">'301'!$P$80</definedName>
    <definedName name="OSRRefP22_19x_0" localSheetId="66">'310'!$P$92</definedName>
    <definedName name="OSRRefP22_19x_0" localSheetId="74">'310 &amp; 491'!$P$102:$P$109</definedName>
    <definedName name="OSRRefP22_19x_0" localSheetId="58">'331'!$P$125</definedName>
    <definedName name="OSRRefP22_19x_0" localSheetId="75">'491'!$P$101</definedName>
    <definedName name="OSRRefP22_19x_0" localSheetId="39">'Div 2'!$P$85:$P$86</definedName>
    <definedName name="OSRRefP22_19x_0" localSheetId="47">'Div 3'!$P$217:$P$221</definedName>
    <definedName name="OSRRefP22_19x_0" localSheetId="73">'Div 4'!$P$96:$P$103</definedName>
    <definedName name="OSRRefP22_19x_0" localSheetId="2">Summary!$P$248:$P$250</definedName>
    <definedName name="OSRRefP22_1x_0" localSheetId="40">'200'!$P$22</definedName>
    <definedName name="OSRRefP22_1x_0" localSheetId="41">'201'!$P$30:$P$32</definedName>
    <definedName name="OSRRefP22_1x_0" localSheetId="42">'202'!$P$29:$P$32</definedName>
    <definedName name="OSRRefP22_1x_0" localSheetId="43">'203'!$P$30:$P$33</definedName>
    <definedName name="OSRRefP22_1x_0" localSheetId="44">'204'!$P$30:$P$34</definedName>
    <definedName name="OSRRefP22_1x_0" localSheetId="45">'205'!$P$29</definedName>
    <definedName name="OSRRefP22_1x_0" localSheetId="46">'206'!$P$29:$P$34</definedName>
    <definedName name="OSRRefP22_1x_0" localSheetId="48">'300'!$P$162:$P$168</definedName>
    <definedName name="OSRRefP22_1x_0" localSheetId="49">'300 &amp; 317'!$P$184:$P$190</definedName>
    <definedName name="OSRRefP22_1x_0" localSheetId="50">'301'!$P$29:$P$34</definedName>
    <definedName name="OSRRefP22_1x_0" localSheetId="51">'306'!$P$30:$P$34</definedName>
    <definedName name="OSRRefP22_1x_0" localSheetId="53">'307'!$P$73:$P$75</definedName>
    <definedName name="OSRRefP22_1x_0" localSheetId="55">'308'!$P$69:$P$73</definedName>
    <definedName name="OSRRefP22_1x_0" localSheetId="67">'309'!$P$33:$P$37</definedName>
    <definedName name="OSRRefP22_1x_0" localSheetId="66">'310'!$P$40:$P$45</definedName>
    <definedName name="OSRRefP22_1x_0" localSheetId="74">'310 &amp; 491'!$P$49:$P$55</definedName>
    <definedName name="OSRRefP22_1x_0" localSheetId="56">'311'!$P$68:$P$72</definedName>
    <definedName name="OSRRefP22_1x_0" localSheetId="68">'313'!$P$37:$P$41</definedName>
    <definedName name="OSRRefP22_1x_0" localSheetId="54">'314'!$P$63:$P$65</definedName>
    <definedName name="OSRRefP22_1x_0" localSheetId="59">'315'!$P$61:$P$65</definedName>
    <definedName name="OSRRefP22_1x_0" localSheetId="62">'316'!$P$41:$P$44</definedName>
    <definedName name="OSRRefP22_1x_0" localSheetId="65">'317'!$P$63:$P$66</definedName>
    <definedName name="OSRRefP22_1x_0" localSheetId="63">'320'!$P$37:$P$39</definedName>
    <definedName name="OSRRefP22_1x_0" localSheetId="69">'321'!$P$32:$P$36</definedName>
    <definedName name="OSRRefP22_1x_0" localSheetId="70">'322'!$P$33:$P$36</definedName>
    <definedName name="OSRRefP22_1x_0" localSheetId="71">'325'!$P$33:$P$37</definedName>
    <definedName name="OSRRefP22_1x_0" localSheetId="60">'326'!$P$65:$P$68</definedName>
    <definedName name="OSRRefP22_1x_0" localSheetId="72">'327'!$P$24</definedName>
    <definedName name="OSRRefP22_1x_0" localSheetId="52">'330'!$P$85:$P$87</definedName>
    <definedName name="OSRRefP22_1x_0" localSheetId="58">'331'!$P$77:$P$81</definedName>
    <definedName name="OSRRefP22_1x_0" localSheetId="61">'332'!$P$50:$P$53</definedName>
    <definedName name="OSRRefP22_1x_0" localSheetId="76">'405'!$P$33:$P$36</definedName>
    <definedName name="OSRRefP22_1x_0" localSheetId="77">'406'!$P$33:$P$37</definedName>
    <definedName name="OSRRefP22_1x_0" localSheetId="78">'411'!$P$30:$P$35</definedName>
    <definedName name="OSRRefP22_1x_0" localSheetId="79">'412'!$P$32:$P$37</definedName>
    <definedName name="OSRRefP22_1x_0" localSheetId="80">'413'!$P$33:$P$37</definedName>
    <definedName name="OSRRefP22_1x_0" localSheetId="81">'414'!$P$33:$P$37</definedName>
    <definedName name="OSRRefP22_1x_0" localSheetId="82">'415'!$P$33:$P$37</definedName>
    <definedName name="OSRRefP22_1x_0" localSheetId="83">'418'!$P$33:$P$38</definedName>
    <definedName name="OSRRefP22_1x_0" localSheetId="85">'423'!$P$30</definedName>
    <definedName name="OSRRefP22_1x_0" localSheetId="86">'424'!$P$28:$P$31</definedName>
    <definedName name="OSRRefP22_1x_0" localSheetId="87">'425'!$P$34:$P$38</definedName>
    <definedName name="OSRRefP22_1x_0" localSheetId="90">'430'!$P$29</definedName>
    <definedName name="OSRRefP22_1x_0" localSheetId="91">'433'!$P$36:$P$41</definedName>
    <definedName name="OSRRefP22_1x_0" localSheetId="92">'435'!$P$28:$P$29</definedName>
    <definedName name="OSRRefP22_1x_0" localSheetId="93">'444'!$P$35:$P$40</definedName>
    <definedName name="OSRRefP22_1x_0" localSheetId="95">'450'!$P$35:$P$40</definedName>
    <definedName name="OSRRefP22_1x_0" localSheetId="88">'455'!$P$28:$P$29</definedName>
    <definedName name="OSRRefP22_1x_0" localSheetId="75">'491'!$P$42:$P$48</definedName>
    <definedName name="OSRRefP22_1x_0" localSheetId="89">'492'!$P$38:$P$44</definedName>
    <definedName name="OSRRefP22_1x_0" localSheetId="97">'501'!$P$30:$P$35</definedName>
    <definedName name="OSRRefP22_1x_0" localSheetId="39">'Div 2'!$P$32:$P$38</definedName>
    <definedName name="OSRRefP22_1x_0" localSheetId="47">'Div 3'!$P$168:$P$174</definedName>
    <definedName name="OSRRefP22_1x_0" localSheetId="73">'Div 4'!$P$44:$P$50</definedName>
    <definedName name="OSRRefP22_1x_0" localSheetId="96">'Div 5'!$P$30:$P$35</definedName>
    <definedName name="OSRRefP22_1x_0" localSheetId="64">'Div 6'!$P$63:$P$66</definedName>
    <definedName name="OSRRefP22_1x_0" localSheetId="2">Summary!$P$199:$P$205</definedName>
    <definedName name="OSRRefP22_20x_0" localSheetId="48">'300'!$P$217:$P$222</definedName>
    <definedName name="OSRRefP22_20x_0" localSheetId="49">'300 &amp; 317'!$P$239:$P$244</definedName>
    <definedName name="OSRRefP22_20x_0" localSheetId="50">'301'!$P$82:$P$83</definedName>
    <definedName name="OSRRefP22_20x_0" localSheetId="66">'310'!$P$94</definedName>
    <definedName name="OSRRefP22_20x_0" localSheetId="74">'310 &amp; 491'!$P$111</definedName>
    <definedName name="OSRRefP22_20x_0" localSheetId="58">'331'!$P$127</definedName>
    <definedName name="OSRRefP22_20x_0" localSheetId="75">'491'!$P$103:$P$105</definedName>
    <definedName name="OSRRefP22_20x_0" localSheetId="47">'Div 3'!$P$223:$P$224</definedName>
    <definedName name="OSRRefP22_20x_0" localSheetId="73">'Div 4'!$P$105</definedName>
    <definedName name="OSRRefP22_20x_0" localSheetId="2">Summary!$P$252:$P$256</definedName>
    <definedName name="OSRRefP22_21x_0" localSheetId="48">'300'!$P$224:$P$225</definedName>
    <definedName name="OSRRefP22_21x_0" localSheetId="49">'300 &amp; 317'!$P$246:$P$247</definedName>
    <definedName name="OSRRefP22_21x_0" localSheetId="50">'301'!$P$85</definedName>
    <definedName name="OSRRefP22_21x_0" localSheetId="66">'310'!$P$96</definedName>
    <definedName name="OSRRefP22_21x_0" localSheetId="74">'310 &amp; 491'!$P$113</definedName>
    <definedName name="OSRRefP22_21x_0" localSheetId="58">'331'!$P$129</definedName>
    <definedName name="OSRRefP22_21x_0" localSheetId="75">'491'!$P$107</definedName>
    <definedName name="OSRRefP22_21x_0" localSheetId="47">'Div 3'!$P$226:$P$232</definedName>
    <definedName name="OSRRefP22_21x_0" localSheetId="73">'Div 4'!$P$107</definedName>
    <definedName name="OSRRefP22_21x_0" localSheetId="2">Summary!$P$258:$P$259</definedName>
    <definedName name="OSRRefP22_22x_0" localSheetId="48">'300'!$P$227</definedName>
    <definedName name="OSRRefP22_22x_0" localSheetId="49">'300 &amp; 317'!$P$249</definedName>
    <definedName name="OSRRefP22_22x_0" localSheetId="74">'310 &amp; 491'!$P$115:$P$117</definedName>
    <definedName name="OSRRefP22_22x_0" localSheetId="58">'331'!$P$131</definedName>
    <definedName name="OSRRefP22_22x_0" localSheetId="47">'Div 3'!$P$234:$P$235</definedName>
    <definedName name="OSRRefP22_22x_0" localSheetId="73">'Div 4'!$P$109:$P$111</definedName>
    <definedName name="OSRRefP22_22x_0" localSheetId="2">Summary!$P$261:$P$268</definedName>
    <definedName name="OSRRefP22_23x_0" localSheetId="48">'300'!$P$229:$P$231</definedName>
    <definedName name="OSRRefP22_23x_0" localSheetId="49">'300 &amp; 317'!$P$251:$P$253</definedName>
    <definedName name="OSRRefP22_23x_0" localSheetId="74">'310 &amp; 491'!$P$119</definedName>
    <definedName name="OSRRefP22_23x_0" localSheetId="47">'Div 3'!$P$237</definedName>
    <definedName name="OSRRefP22_23x_0" localSheetId="73">'Div 4'!$P$113</definedName>
    <definedName name="OSRRefP22_23x_0" localSheetId="2">Summary!$P$270:$P$271</definedName>
    <definedName name="OSRRefP22_24x_0" localSheetId="48">'300'!$P$233</definedName>
    <definedName name="OSRRefP22_24x_0" localSheetId="49">'300 &amp; 317'!$P$255</definedName>
    <definedName name="OSRRefP22_24x_0" localSheetId="47">'Div 3'!$P$239:$P$241</definedName>
    <definedName name="OSRRefP22_24x_0" localSheetId="2">Summary!$P$273</definedName>
    <definedName name="OSRRefP22_25x_0" localSheetId="47">'Div 3'!$P$243</definedName>
    <definedName name="OSRRefP22_25x_0" localSheetId="2">Summary!$P$275:$P$277</definedName>
    <definedName name="OSRRefP22_26x_0" localSheetId="2">Summary!$P$279</definedName>
    <definedName name="OSRRefP22_2x_0" localSheetId="40">'200'!$P$24</definedName>
    <definedName name="OSRRefP22_2x_0" localSheetId="41">'201'!$P$34</definedName>
    <definedName name="OSRRefP22_2x_0" localSheetId="42">'202'!$P$34</definedName>
    <definedName name="OSRRefP22_2x_0" localSheetId="43">'203'!$P$35</definedName>
    <definedName name="OSRRefP22_2x_0" localSheetId="44">'204'!$P$36</definedName>
    <definedName name="OSRRefP22_2x_0" localSheetId="45">'205'!$P$31</definedName>
    <definedName name="OSRRefP22_2x_0" localSheetId="46">'206'!$P$36</definedName>
    <definedName name="OSRRefP22_2x_0" localSheetId="48">'300'!$P$170</definedName>
    <definedName name="OSRRefP22_2x_0" localSheetId="49">'300 &amp; 317'!$P$192</definedName>
    <definedName name="OSRRefP22_2x_0" localSheetId="50">'301'!$P$36</definedName>
    <definedName name="OSRRefP22_2x_0" localSheetId="51">'306'!$P$36</definedName>
    <definedName name="OSRRefP22_2x_0" localSheetId="53">'307'!$P$77</definedName>
    <definedName name="OSRRefP22_2x_0" localSheetId="55">'308'!$P$75</definedName>
    <definedName name="OSRRefP22_2x_0" localSheetId="67">'309'!$P$39</definedName>
    <definedName name="OSRRefP22_2x_0" localSheetId="66">'310'!$P$47</definedName>
    <definedName name="OSRRefP22_2x_0" localSheetId="74">'310 &amp; 491'!$P$57</definedName>
    <definedName name="OSRRefP22_2x_0" localSheetId="56">'311'!$P$74</definedName>
    <definedName name="OSRRefP22_2x_0" localSheetId="68">'313'!$P$43</definedName>
    <definedName name="OSRRefP22_2x_0" localSheetId="54">'314'!$P$67</definedName>
    <definedName name="OSRRefP22_2x_0" localSheetId="59">'315'!$P$67</definedName>
    <definedName name="OSRRefP22_2x_0" localSheetId="62">'316'!$P$46</definedName>
    <definedName name="OSRRefP22_2x_0" localSheetId="65">'317'!$P$68</definedName>
    <definedName name="OSRRefP22_2x_0" localSheetId="63">'320'!$P$41</definedName>
    <definedName name="OSRRefP22_2x_0" localSheetId="69">'321'!$P$38</definedName>
    <definedName name="OSRRefP22_2x_0" localSheetId="70">'322'!$P$38</definedName>
    <definedName name="OSRRefP22_2x_0" localSheetId="71">'325'!$P$39</definedName>
    <definedName name="OSRRefP22_2x_0" localSheetId="60">'326'!$P$70</definedName>
    <definedName name="OSRRefP22_2x_0" localSheetId="52">'330'!$P$89</definedName>
    <definedName name="OSRRefP22_2x_0" localSheetId="58">'331'!$P$83</definedName>
    <definedName name="OSRRefP22_2x_0" localSheetId="61">'332'!$P$55</definedName>
    <definedName name="OSRRefP22_2x_0" localSheetId="76">'405'!$P$38</definedName>
    <definedName name="OSRRefP22_2x_0" localSheetId="77">'406'!$P$39</definedName>
    <definedName name="OSRRefP22_2x_0" localSheetId="78">'411'!$P$37</definedName>
    <definedName name="OSRRefP22_2x_0" localSheetId="79">'412'!$P$39</definedName>
    <definedName name="OSRRefP22_2x_0" localSheetId="80">'413'!$P$39</definedName>
    <definedName name="OSRRefP22_2x_0" localSheetId="81">'414'!$P$39</definedName>
    <definedName name="OSRRefP22_2x_0" localSheetId="82">'415'!$P$39</definedName>
    <definedName name="OSRRefP22_2x_0" localSheetId="83">'418'!$P$40</definedName>
    <definedName name="OSRRefP22_2x_0" localSheetId="85">'423'!$P$32</definedName>
    <definedName name="OSRRefP22_2x_0" localSheetId="86">'424'!$P$33</definedName>
    <definedName name="OSRRefP22_2x_0" localSheetId="87">'425'!$P$40</definedName>
    <definedName name="OSRRefP22_2x_0" localSheetId="90">'430'!$P$31</definedName>
    <definedName name="OSRRefP22_2x_0" localSheetId="91">'433'!$P$43</definedName>
    <definedName name="OSRRefP22_2x_0" localSheetId="92">'435'!$P$31</definedName>
    <definedName name="OSRRefP22_2x_0" localSheetId="93">'444'!$P$42</definedName>
    <definedName name="OSRRefP22_2x_0" localSheetId="95">'450'!$P$42</definedName>
    <definedName name="OSRRefP22_2x_0" localSheetId="75">'491'!$P$50</definedName>
    <definedName name="OSRRefP22_2x_0" localSheetId="89">'492'!$P$46</definedName>
    <definedName name="OSRRefP22_2x_0" localSheetId="97">'501'!$P$37</definedName>
    <definedName name="OSRRefP22_2x_0" localSheetId="39">'Div 2'!$P$40</definedName>
    <definedName name="OSRRefP22_2x_0" localSheetId="47">'Div 3'!$P$176</definedName>
    <definedName name="OSRRefP22_2x_0" localSheetId="73">'Div 4'!$P$52</definedName>
    <definedName name="OSRRefP22_2x_0" localSheetId="96">'Div 5'!$P$37</definedName>
    <definedName name="OSRRefP22_2x_0" localSheetId="64">'Div 6'!$P$68</definedName>
    <definedName name="OSRRefP22_2x_0" localSheetId="2">Summary!$P$207</definedName>
    <definedName name="OSRRefP22_3x_0" localSheetId="40">'200'!$P$26</definedName>
    <definedName name="OSRRefP22_3x_0" localSheetId="41">'201'!$P$36</definedName>
    <definedName name="OSRRefP22_3x_0" localSheetId="42">'202'!$P$36</definedName>
    <definedName name="OSRRefP22_3x_0" localSheetId="43">'203'!$P$37</definedName>
    <definedName name="OSRRefP22_3x_0" localSheetId="44">'204'!$P$38:$P$39</definedName>
    <definedName name="OSRRefP22_3x_0" localSheetId="45">'205'!$P$33</definedName>
    <definedName name="OSRRefP22_3x_0" localSheetId="46">'206'!$P$38</definedName>
    <definedName name="OSRRefP22_3x_0" localSheetId="48">'300'!$P$172</definedName>
    <definedName name="OSRRefP22_3x_0" localSheetId="49">'300 &amp; 317'!$P$194</definedName>
    <definedName name="OSRRefP22_3x_0" localSheetId="50">'301'!$P$38</definedName>
    <definedName name="OSRRefP22_3x_0" localSheetId="51">'306'!$P$38</definedName>
    <definedName name="OSRRefP22_3x_0" localSheetId="53">'307'!$P$79</definedName>
    <definedName name="OSRRefP22_3x_0" localSheetId="55">'308'!$P$77:$P$78</definedName>
    <definedName name="OSRRefP22_3x_0" localSheetId="67">'309'!$P$41</definedName>
    <definedName name="OSRRefP22_3x_0" localSheetId="66">'310'!$P$49</definedName>
    <definedName name="OSRRefP22_3x_0" localSheetId="74">'310 &amp; 491'!$P$59</definedName>
    <definedName name="OSRRefP22_3x_0" localSheetId="56">'311'!$P$76:$P$77</definedName>
    <definedName name="OSRRefP22_3x_0" localSheetId="68">'313'!$P$45</definedName>
    <definedName name="OSRRefP22_3x_0" localSheetId="54">'314'!$P$69:$P$70</definedName>
    <definedName name="OSRRefP22_3x_0" localSheetId="59">'315'!$P$69</definedName>
    <definedName name="OSRRefP22_3x_0" localSheetId="62">'316'!$P$48</definedName>
    <definedName name="OSRRefP22_3x_0" localSheetId="65">'317'!$P$70</definedName>
    <definedName name="OSRRefP22_3x_0" localSheetId="63">'320'!$P$43:$P$44</definedName>
    <definedName name="OSRRefP22_3x_0" localSheetId="69">'321'!$P$40</definedName>
    <definedName name="OSRRefP22_3x_0" localSheetId="70">'322'!$P$40</definedName>
    <definedName name="OSRRefP22_3x_0" localSheetId="71">'325'!$P$41</definedName>
    <definedName name="OSRRefP22_3x_0" localSheetId="60">'326'!$P$72</definedName>
    <definedName name="OSRRefP22_3x_0" localSheetId="52">'330'!$P$91</definedName>
    <definedName name="OSRRefP22_3x_0" localSheetId="58">'331'!$P$85</definedName>
    <definedName name="OSRRefP22_3x_0" localSheetId="61">'332'!$P$57</definedName>
    <definedName name="OSRRefP22_3x_0" localSheetId="76">'405'!$P$40</definedName>
    <definedName name="OSRRefP22_3x_0" localSheetId="77">'406'!$P$41</definedName>
    <definedName name="OSRRefP22_3x_0" localSheetId="78">'411'!$P$39:$P$41</definedName>
    <definedName name="OSRRefP22_3x_0" localSheetId="79">'412'!$P$41</definedName>
    <definedName name="OSRRefP22_3x_0" localSheetId="80">'413'!$P$41</definedName>
    <definedName name="OSRRefP22_3x_0" localSheetId="81">'414'!$P$41</definedName>
    <definedName name="OSRRefP22_3x_0" localSheetId="82">'415'!$P$41</definedName>
    <definedName name="OSRRefP22_3x_0" localSheetId="83">'418'!$P$42</definedName>
    <definedName name="OSRRefP22_3x_0" localSheetId="85">'423'!$P$34</definedName>
    <definedName name="OSRRefP22_3x_0" localSheetId="86">'424'!$P$35</definedName>
    <definedName name="OSRRefP22_3x_0" localSheetId="87">'425'!$P$42</definedName>
    <definedName name="OSRRefP22_3x_0" localSheetId="90">'430'!$P$33</definedName>
    <definedName name="OSRRefP22_3x_0" localSheetId="91">'433'!$P$45</definedName>
    <definedName name="OSRRefP22_3x_0" localSheetId="92">'435'!$P$33</definedName>
    <definedName name="OSRRefP22_3x_0" localSheetId="93">'444'!$P$44</definedName>
    <definedName name="OSRRefP22_3x_0" localSheetId="95">'450'!$P$44</definedName>
    <definedName name="OSRRefP22_3x_0" localSheetId="75">'491'!$P$52</definedName>
    <definedName name="OSRRefP22_3x_0" localSheetId="89">'492'!$P$48</definedName>
    <definedName name="OSRRefP22_3x_0" localSheetId="97">'501'!$P$39</definedName>
    <definedName name="OSRRefP22_3x_0" localSheetId="39">'Div 2'!$P$42</definedName>
    <definedName name="OSRRefP22_3x_0" localSheetId="47">'Div 3'!$P$178</definedName>
    <definedName name="OSRRefP22_3x_0" localSheetId="73">'Div 4'!$P$54</definedName>
    <definedName name="OSRRefP22_3x_0" localSheetId="96">'Div 5'!$P$39</definedName>
    <definedName name="OSRRefP22_3x_0" localSheetId="64">'Div 6'!$P$70</definedName>
    <definedName name="OSRRefP22_3x_0" localSheetId="2">Summary!$P$209</definedName>
    <definedName name="OSRRefP22_4x_0" localSheetId="41">'201'!$P$38</definedName>
    <definedName name="OSRRefP22_4x_0" localSheetId="42">'202'!$P$38</definedName>
    <definedName name="OSRRefP22_4x_0" localSheetId="43">'203'!$P$39</definedName>
    <definedName name="OSRRefP22_4x_0" localSheetId="44">'204'!$P$41</definedName>
    <definedName name="OSRRefP22_4x_0" localSheetId="45">'205'!$P$35:$P$36</definedName>
    <definedName name="OSRRefP22_4x_0" localSheetId="46">'206'!$P$40:$P$41</definedName>
    <definedName name="OSRRefP22_4x_0" localSheetId="48">'300'!$P$174</definedName>
    <definedName name="OSRRefP22_4x_0" localSheetId="49">'300 &amp; 317'!$P$196</definedName>
    <definedName name="OSRRefP22_4x_0" localSheetId="50">'301'!$P$40</definedName>
    <definedName name="OSRRefP22_4x_0" localSheetId="51">'306'!$P$40</definedName>
    <definedName name="OSRRefP22_4x_0" localSheetId="53">'307'!$P$81:$P$82</definedName>
    <definedName name="OSRRefP22_4x_0" localSheetId="55">'308'!$P$80</definedName>
    <definedName name="OSRRefP22_4x_0" localSheetId="67">'309'!$P$43</definedName>
    <definedName name="OSRRefP22_4x_0" localSheetId="66">'310'!$P$51</definedName>
    <definedName name="OSRRefP22_4x_0" localSheetId="74">'310 &amp; 491'!$P$61</definedName>
    <definedName name="OSRRefP22_4x_0" localSheetId="56">'311'!$P$79</definedName>
    <definedName name="OSRRefP22_4x_0" localSheetId="68">'313'!$P$47</definedName>
    <definedName name="OSRRefP22_4x_0" localSheetId="54">'314'!$P$72</definedName>
    <definedName name="OSRRefP22_4x_0" localSheetId="59">'315'!$P$71</definedName>
    <definedName name="OSRRefP22_4x_0" localSheetId="62">'316'!$P$50</definedName>
    <definedName name="OSRRefP22_4x_0" localSheetId="65">'317'!$P$72</definedName>
    <definedName name="OSRRefP22_4x_0" localSheetId="63">'320'!$P$46</definedName>
    <definedName name="OSRRefP22_4x_0" localSheetId="69">'321'!$P$42</definedName>
    <definedName name="OSRRefP22_4x_0" localSheetId="70">'322'!$P$42</definedName>
    <definedName name="OSRRefP22_4x_0" localSheetId="71">'325'!$P$43</definedName>
    <definedName name="OSRRefP22_4x_0" localSheetId="60">'326'!$P$74</definedName>
    <definedName name="OSRRefP22_4x_0" localSheetId="52">'330'!$P$93:$P$94</definedName>
    <definedName name="OSRRefP22_4x_0" localSheetId="58">'331'!$P$87</definedName>
    <definedName name="OSRRefP22_4x_0" localSheetId="61">'332'!$P$59</definedName>
    <definedName name="OSRRefP22_4x_0" localSheetId="76">'405'!$P$42</definedName>
    <definedName name="OSRRefP22_4x_0" localSheetId="77">'406'!$P$43</definedName>
    <definedName name="OSRRefP22_4x_0" localSheetId="78">'411'!$P$43</definedName>
    <definedName name="OSRRefP22_4x_0" localSheetId="79">'412'!$P$43</definedName>
    <definedName name="OSRRefP22_4x_0" localSheetId="80">'413'!$P$43</definedName>
    <definedName name="OSRRefP22_4x_0" localSheetId="81">'414'!$P$43</definedName>
    <definedName name="OSRRefP22_4x_0" localSheetId="82">'415'!$P$43</definedName>
    <definedName name="OSRRefP22_4x_0" localSheetId="83">'418'!$P$44</definedName>
    <definedName name="OSRRefP22_4x_0" localSheetId="85">'423'!$P$36</definedName>
    <definedName name="OSRRefP22_4x_0" localSheetId="86">'424'!$P$37</definedName>
    <definedName name="OSRRefP22_4x_0" localSheetId="87">'425'!$P$44</definedName>
    <definedName name="OSRRefP22_4x_0" localSheetId="90">'430'!$P$35:$P$36</definedName>
    <definedName name="OSRRefP22_4x_0" localSheetId="91">'433'!$P$47</definedName>
    <definedName name="OSRRefP22_4x_0" localSheetId="92">'435'!$P$35</definedName>
    <definedName name="OSRRefP22_4x_0" localSheetId="93">'444'!$P$46</definedName>
    <definedName name="OSRRefP22_4x_0" localSheetId="95">'450'!$P$46</definedName>
    <definedName name="OSRRefP22_4x_0" localSheetId="75">'491'!$P$54</definedName>
    <definedName name="OSRRefP22_4x_0" localSheetId="89">'492'!$P$50</definedName>
    <definedName name="OSRRefP22_4x_0" localSheetId="97">'501'!$P$41</definedName>
    <definedName name="OSRRefP22_4x_0" localSheetId="39">'Div 2'!$P$44</definedName>
    <definedName name="OSRRefP22_4x_0" localSheetId="47">'Div 3'!$P$180</definedName>
    <definedName name="OSRRefP22_4x_0" localSheetId="73">'Div 4'!$P$56</definedName>
    <definedName name="OSRRefP22_4x_0" localSheetId="96">'Div 5'!$P$41</definedName>
    <definedName name="OSRRefP22_4x_0" localSheetId="64">'Div 6'!$P$72</definedName>
    <definedName name="OSRRefP22_4x_0" localSheetId="2">Summary!$P$211</definedName>
    <definedName name="OSRRefP22_5x_0" localSheetId="41">'201'!$P$40</definedName>
    <definedName name="OSRRefP22_5x_0" localSheetId="42">'202'!$P$40</definedName>
    <definedName name="OSRRefP22_5x_0" localSheetId="43">'203'!$P$41</definedName>
    <definedName name="OSRRefP22_5x_0" localSheetId="44">'204'!$P$43</definedName>
    <definedName name="OSRRefP22_5x_0" localSheetId="45">'205'!$P$38</definedName>
    <definedName name="OSRRefP22_5x_0" localSheetId="46">'206'!$P$43</definedName>
    <definedName name="OSRRefP22_5x_0" localSheetId="48">'300'!$P$176:$P$177</definedName>
    <definedName name="OSRRefP22_5x_0" localSheetId="49">'300 &amp; 317'!$P$198:$P$199</definedName>
    <definedName name="OSRRefP22_5x_0" localSheetId="50">'301'!$P$42:$P$43</definedName>
    <definedName name="OSRRefP22_5x_0" localSheetId="51">'306'!$P$42:$P$44</definedName>
    <definedName name="OSRRefP22_5x_0" localSheetId="53">'307'!$P$84</definedName>
    <definedName name="OSRRefP22_5x_0" localSheetId="55">'308'!$P$82</definedName>
    <definedName name="OSRRefP22_5x_0" localSheetId="67">'309'!$P$45</definedName>
    <definedName name="OSRRefP22_5x_0" localSheetId="66">'310'!$P$53:$P$54</definedName>
    <definedName name="OSRRefP22_5x_0" localSheetId="74">'310 &amp; 491'!$P$63:$P$65</definedName>
    <definedName name="OSRRefP22_5x_0" localSheetId="56">'311'!$P$81</definedName>
    <definedName name="OSRRefP22_5x_0" localSheetId="68">'313'!$P$49</definedName>
    <definedName name="OSRRefP22_5x_0" localSheetId="54">'314'!$P$74:$P$75</definedName>
    <definedName name="OSRRefP22_5x_0" localSheetId="59">'315'!$P$73</definedName>
    <definedName name="OSRRefP22_5x_0" localSheetId="62">'316'!$P$52</definedName>
    <definedName name="OSRRefP22_5x_0" localSheetId="65">'317'!$P$74</definedName>
    <definedName name="OSRRefP22_5x_0" localSheetId="63">'320'!$P$48:$P$49</definedName>
    <definedName name="OSRRefP22_5x_0" localSheetId="69">'321'!$P$44</definedName>
    <definedName name="OSRRefP22_5x_0" localSheetId="70">'322'!$P$44</definedName>
    <definedName name="OSRRefP22_5x_0" localSheetId="71">'325'!$P$45:$P$46</definedName>
    <definedName name="OSRRefP22_5x_0" localSheetId="60">'326'!$P$76</definedName>
    <definedName name="OSRRefP22_5x_0" localSheetId="52">'330'!$P$96</definedName>
    <definedName name="OSRRefP22_5x_0" localSheetId="58">'331'!$P$89</definedName>
    <definedName name="OSRRefP22_5x_0" localSheetId="61">'332'!$P$61:$P$62</definedName>
    <definedName name="OSRRefP22_5x_0" localSheetId="76">'405'!$P$44:$P$45</definedName>
    <definedName name="OSRRefP22_5x_0" localSheetId="77">'406'!$P$45</definedName>
    <definedName name="OSRRefP22_5x_0" localSheetId="78">'411'!$P$45</definedName>
    <definedName name="OSRRefP22_5x_0" localSheetId="79">'412'!$P$45</definedName>
    <definedName name="OSRRefP22_5x_0" localSheetId="80">'413'!$P$45</definedName>
    <definedName name="OSRRefP22_5x_0" localSheetId="81">'414'!$P$45</definedName>
    <definedName name="OSRRefP22_5x_0" localSheetId="82">'415'!$P$45:$P$46</definedName>
    <definedName name="OSRRefP22_5x_0" localSheetId="83">'418'!$P$46:$P$47</definedName>
    <definedName name="OSRRefP22_5x_0" localSheetId="85">'423'!$P$38</definedName>
    <definedName name="OSRRefP22_5x_0" localSheetId="86">'424'!$P$39</definedName>
    <definedName name="OSRRefP22_5x_0" localSheetId="87">'425'!$P$46</definedName>
    <definedName name="OSRRefP22_5x_0" localSheetId="90">'430'!$P$38</definedName>
    <definedName name="OSRRefP22_5x_0" localSheetId="91">'433'!$P$49</definedName>
    <definedName name="OSRRefP22_5x_0" localSheetId="92">'435'!$P$37</definedName>
    <definedName name="OSRRefP22_5x_0" localSheetId="93">'444'!$P$48</definedName>
    <definedName name="OSRRefP22_5x_0" localSheetId="95">'450'!$P$48</definedName>
    <definedName name="OSRRefP22_5x_0" localSheetId="75">'491'!$P$56:$P$58</definedName>
    <definedName name="OSRRefP22_5x_0" localSheetId="89">'492'!$P$52</definedName>
    <definedName name="OSRRefP22_5x_0" localSheetId="97">'501'!$P$43</definedName>
    <definedName name="OSRRefP22_5x_0" localSheetId="39">'Div 2'!$P$46:$P$47</definedName>
    <definedName name="OSRRefP22_5x_0" localSheetId="47">'Div 3'!$P$182:$P$183</definedName>
    <definedName name="OSRRefP22_5x_0" localSheetId="73">'Div 4'!$P$58:$P$60</definedName>
    <definedName name="OSRRefP22_5x_0" localSheetId="96">'Div 5'!$P$43</definedName>
    <definedName name="OSRRefP22_5x_0" localSheetId="64">'Div 6'!$P$74</definedName>
    <definedName name="OSRRefP22_5x_0" localSheetId="2">Summary!$P$213:$P$215</definedName>
    <definedName name="OSRRefP22_6x_0" localSheetId="41">'201'!$P$42</definedName>
    <definedName name="OSRRefP22_6x_0" localSheetId="42">'202'!$P$42</definedName>
    <definedName name="OSRRefP22_6x_0" localSheetId="43">'203'!$P$43</definedName>
    <definedName name="OSRRefP22_6x_0" localSheetId="44">'204'!$P$45:$P$47</definedName>
    <definedName name="OSRRefP22_6x_0" localSheetId="45">'205'!$P$40:$P$41</definedName>
    <definedName name="OSRRefP22_6x_0" localSheetId="46">'206'!$P$45</definedName>
    <definedName name="OSRRefP22_6x_0" localSheetId="48">'300'!$P$179:$P$180</definedName>
    <definedName name="OSRRefP22_6x_0" localSheetId="49">'300 &amp; 317'!$P$201:$P$202</definedName>
    <definedName name="OSRRefP22_6x_0" localSheetId="50">'301'!$P$45:$P$46</definedName>
    <definedName name="OSRRefP22_6x_0" localSheetId="51">'306'!$P$46</definedName>
    <definedName name="OSRRefP22_6x_0" localSheetId="53">'307'!$P$86</definedName>
    <definedName name="OSRRefP22_6x_0" localSheetId="55">'308'!$P$84:$P$85</definedName>
    <definedName name="OSRRefP22_6x_0" localSheetId="67">'309'!$P$47</definedName>
    <definedName name="OSRRefP22_6x_0" localSheetId="66">'310'!$P$56</definedName>
    <definedName name="OSRRefP22_6x_0" localSheetId="74">'310 &amp; 491'!$P$67</definedName>
    <definedName name="OSRRefP22_6x_0" localSheetId="56">'311'!$P$83:$P$84</definedName>
    <definedName name="OSRRefP22_6x_0" localSheetId="68">'313'!$P$51</definedName>
    <definedName name="OSRRefP22_6x_0" localSheetId="54">'314'!$P$77</definedName>
    <definedName name="OSRRefP22_6x_0" localSheetId="59">'315'!$P$75</definedName>
    <definedName name="OSRRefP22_6x_0" localSheetId="62">'316'!$P$54</definedName>
    <definedName name="OSRRefP22_6x_0" localSheetId="65">'317'!$P$76</definedName>
    <definedName name="OSRRefP22_6x_0" localSheetId="63">'320'!$P$51</definedName>
    <definedName name="OSRRefP22_6x_0" localSheetId="69">'321'!$P$46</definedName>
    <definedName name="OSRRefP22_6x_0" localSheetId="70">'322'!$P$46</definedName>
    <definedName name="OSRRefP22_6x_0" localSheetId="71">'325'!$P$48</definedName>
    <definedName name="OSRRefP22_6x_0" localSheetId="60">'326'!$P$78</definedName>
    <definedName name="OSRRefP22_6x_0" localSheetId="52">'330'!$P$98</definedName>
    <definedName name="OSRRefP22_6x_0" localSheetId="58">'331'!$P$91</definedName>
    <definedName name="OSRRefP22_6x_0" localSheetId="61">'332'!$P$64</definedName>
    <definedName name="OSRRefP22_6x_0" localSheetId="76">'405'!$P$47</definedName>
    <definedName name="OSRRefP22_6x_0" localSheetId="77">'406'!$P$47</definedName>
    <definedName name="OSRRefP22_6x_0" localSheetId="78">'411'!$P$47</definedName>
    <definedName name="OSRRefP22_6x_0" localSheetId="79">'412'!$P$47</definedName>
    <definedName name="OSRRefP22_6x_0" localSheetId="80">'413'!$P$47</definedName>
    <definedName name="OSRRefP22_6x_0" localSheetId="81">'414'!$P$47</definedName>
    <definedName name="OSRRefP22_6x_0" localSheetId="82">'415'!$P$48</definedName>
    <definedName name="OSRRefP22_6x_0" localSheetId="83">'418'!$P$49</definedName>
    <definedName name="OSRRefP22_6x_0" localSheetId="86">'424'!$P$41</definedName>
    <definedName name="OSRRefP22_6x_0" localSheetId="87">'425'!$P$48</definedName>
    <definedName name="OSRRefP22_6x_0" localSheetId="90">'430'!$P$40</definedName>
    <definedName name="OSRRefP22_6x_0" localSheetId="91">'433'!$P$51</definedName>
    <definedName name="OSRRefP22_6x_0" localSheetId="92">'435'!$P$39:$P$40</definedName>
    <definedName name="OSRRefP22_6x_0" localSheetId="93">'444'!$P$50</definedName>
    <definedName name="OSRRefP22_6x_0" localSheetId="95">'450'!$P$50</definedName>
    <definedName name="OSRRefP22_6x_0" localSheetId="75">'491'!$P$60</definedName>
    <definedName name="OSRRefP22_6x_0" localSheetId="89">'492'!$P$54</definedName>
    <definedName name="OSRRefP22_6x_0" localSheetId="97">'501'!$P$45</definedName>
    <definedName name="OSRRefP22_6x_0" localSheetId="39">'Div 2'!$P$49</definedName>
    <definedName name="OSRRefP22_6x_0" localSheetId="47">'Div 3'!$P$185:$P$186</definedName>
    <definedName name="OSRRefP22_6x_0" localSheetId="73">'Div 4'!$P$62</definedName>
    <definedName name="OSRRefP22_6x_0" localSheetId="96">'Div 5'!$P$45</definedName>
    <definedName name="OSRRefP22_6x_0" localSheetId="64">'Div 6'!$P$76</definedName>
    <definedName name="OSRRefP22_6x_0" localSheetId="2">Summary!$P$217:$P$218</definedName>
    <definedName name="OSRRefP22_7x_0" localSheetId="41">'201'!$P$44</definedName>
    <definedName name="OSRRefP22_7x_0" localSheetId="42">'202'!$P$44</definedName>
    <definedName name="OSRRefP22_7x_0" localSheetId="43">'203'!$P$45</definedName>
    <definedName name="OSRRefP22_7x_0" localSheetId="44">'204'!$P$49:$P$50</definedName>
    <definedName name="OSRRefP22_7x_0" localSheetId="45">'205'!$P$43</definedName>
    <definedName name="OSRRefP22_7x_0" localSheetId="48">'300'!$P$182</definedName>
    <definedName name="OSRRefP22_7x_0" localSheetId="49">'300 &amp; 317'!$P$204</definedName>
    <definedName name="OSRRefP22_7x_0" localSheetId="50">'301'!$P$48</definedName>
    <definedName name="OSRRefP22_7x_0" localSheetId="51">'306'!$P$48</definedName>
    <definedName name="OSRRefP22_7x_0" localSheetId="53">'307'!$P$88</definedName>
    <definedName name="OSRRefP22_7x_0" localSheetId="55">'308'!$P$87</definedName>
    <definedName name="OSRRefP22_7x_0" localSheetId="67">'309'!$P$49</definedName>
    <definedName name="OSRRefP22_7x_0" localSheetId="66">'310'!$P$58</definedName>
    <definedName name="OSRRefP22_7x_0" localSheetId="74">'310 &amp; 491'!$P$69</definedName>
    <definedName name="OSRRefP22_7x_0" localSheetId="56">'311'!$P$86</definedName>
    <definedName name="OSRRefP22_7x_0" localSheetId="68">'313'!$P$53</definedName>
    <definedName name="OSRRefP22_7x_0" localSheetId="59">'315'!$P$77</definedName>
    <definedName name="OSRRefP22_7x_0" localSheetId="62">'316'!$P$56:$P$59</definedName>
    <definedName name="OSRRefP22_7x_0" localSheetId="65">'317'!$P$78</definedName>
    <definedName name="OSRRefP22_7x_0" localSheetId="69">'321'!$P$48</definedName>
    <definedName name="OSRRefP22_7x_0" localSheetId="70">'322'!$P$48</definedName>
    <definedName name="OSRRefP22_7x_0" localSheetId="71">'325'!$P$50</definedName>
    <definedName name="OSRRefP22_7x_0" localSheetId="60">'326'!$P$80</definedName>
    <definedName name="OSRRefP22_7x_0" localSheetId="52">'330'!$P$100</definedName>
    <definedName name="OSRRefP22_7x_0" localSheetId="58">'331'!$P$93</definedName>
    <definedName name="OSRRefP22_7x_0" localSheetId="61">'332'!$P$66</definedName>
    <definedName name="OSRRefP22_7x_0" localSheetId="76">'405'!$P$49</definedName>
    <definedName name="OSRRefP22_7x_0" localSheetId="77">'406'!$P$49</definedName>
    <definedName name="OSRRefP22_7x_0" localSheetId="78">'411'!$P$49</definedName>
    <definedName name="OSRRefP22_7x_0" localSheetId="79">'412'!$P$49</definedName>
    <definedName name="OSRRefP22_7x_0" localSheetId="80">'413'!$P$49</definedName>
    <definedName name="OSRRefP22_7x_0" localSheetId="81">'414'!$P$49</definedName>
    <definedName name="OSRRefP22_7x_0" localSheetId="82">'415'!$P$50</definedName>
    <definedName name="OSRRefP22_7x_0" localSheetId="83">'418'!$P$51</definedName>
    <definedName name="OSRRefP22_7x_0" localSheetId="86">'424'!$P$43:$P$44</definedName>
    <definedName name="OSRRefP22_7x_0" localSheetId="87">'425'!$P$50</definedName>
    <definedName name="OSRRefP22_7x_0" localSheetId="90">'430'!$P$42</definedName>
    <definedName name="OSRRefP22_7x_0" localSheetId="91">'433'!$P$53</definedName>
    <definedName name="OSRRefP22_7x_0" localSheetId="92">'435'!$P$42</definedName>
    <definedName name="OSRRefP22_7x_0" localSheetId="93">'444'!$P$52</definedName>
    <definedName name="OSRRefP22_7x_0" localSheetId="95">'450'!$P$52</definedName>
    <definedName name="OSRRefP22_7x_0" localSheetId="75">'491'!$P$62</definedName>
    <definedName name="OSRRefP22_7x_0" localSheetId="89">'492'!$P$56</definedName>
    <definedName name="OSRRefP22_7x_0" localSheetId="97">'501'!$P$47</definedName>
    <definedName name="OSRRefP22_7x_0" localSheetId="39">'Div 2'!$P$51</definedName>
    <definedName name="OSRRefP22_7x_0" localSheetId="47">'Div 3'!$P$188</definedName>
    <definedName name="OSRRefP22_7x_0" localSheetId="73">'Div 4'!$P$64</definedName>
    <definedName name="OSRRefP22_7x_0" localSheetId="96">'Div 5'!$P$47</definedName>
    <definedName name="OSRRefP22_7x_0" localSheetId="64">'Div 6'!$P$78</definedName>
    <definedName name="OSRRefP22_7x_0" localSheetId="2">Summary!$P$220</definedName>
    <definedName name="OSRRefP22_8x_0" localSheetId="41">'201'!$P$46</definedName>
    <definedName name="OSRRefP22_8x_0" localSheetId="42">'202'!$P$46</definedName>
    <definedName name="OSRRefP22_8x_0" localSheetId="43">'203'!$P$47:$P$48</definedName>
    <definedName name="OSRRefP22_8x_0" localSheetId="44">'204'!$P$52:$P$53</definedName>
    <definedName name="OSRRefP22_8x_0" localSheetId="48">'300'!$P$184</definedName>
    <definedName name="OSRRefP22_8x_0" localSheetId="49">'300 &amp; 317'!$P$206</definedName>
    <definedName name="OSRRefP22_8x_0" localSheetId="50">'301'!$P$50</definedName>
    <definedName name="OSRRefP22_8x_0" localSheetId="53">'307'!$P$90:$P$91</definedName>
    <definedName name="OSRRefP22_8x_0" localSheetId="55">'308'!$P$89</definedName>
    <definedName name="OSRRefP22_8x_0" localSheetId="67">'309'!$P$51:$P$52</definedName>
    <definedName name="OSRRefP22_8x_0" localSheetId="66">'310'!$P$60</definedName>
    <definedName name="OSRRefP22_8x_0" localSheetId="74">'310 &amp; 491'!$P$71</definedName>
    <definedName name="OSRRefP22_8x_0" localSheetId="56">'311'!$P$88</definedName>
    <definedName name="OSRRefP22_8x_0" localSheetId="68">'313'!$P$55</definedName>
    <definedName name="OSRRefP22_8x_0" localSheetId="59">'315'!$P$79</definedName>
    <definedName name="OSRRefP22_8x_0" localSheetId="62">'316'!$P$61</definedName>
    <definedName name="OSRRefP22_8x_0" localSheetId="65">'317'!$P$80</definedName>
    <definedName name="OSRRefP22_8x_0" localSheetId="69">'321'!$P$50:$P$51</definedName>
    <definedName name="OSRRefP22_8x_0" localSheetId="70">'322'!$P$50</definedName>
    <definedName name="OSRRefP22_8x_0" localSheetId="71">'325'!$P$52</definedName>
    <definedName name="OSRRefP22_8x_0" localSheetId="60">'326'!$P$82</definedName>
    <definedName name="OSRRefP22_8x_0" localSheetId="52">'330'!$P$102:$P$103</definedName>
    <definedName name="OSRRefP22_8x_0" localSheetId="58">'331'!$P$95</definedName>
    <definedName name="OSRRefP22_8x_0" localSheetId="61">'332'!$P$68</definedName>
    <definedName name="OSRRefP22_8x_0" localSheetId="76">'405'!$P$51</definedName>
    <definedName name="OSRRefP22_8x_0" localSheetId="77">'406'!$P$51</definedName>
    <definedName name="OSRRefP22_8x_0" localSheetId="78">'411'!$P$51:$P$53</definedName>
    <definedName name="OSRRefP22_8x_0" localSheetId="79">'412'!$P$51:$P$52</definedName>
    <definedName name="OSRRefP22_8x_0" localSheetId="80">'413'!$P$51</definedName>
    <definedName name="OSRRefP22_8x_0" localSheetId="81">'414'!$P$51</definedName>
    <definedName name="OSRRefP22_8x_0" localSheetId="82">'415'!$P$52</definedName>
    <definedName name="OSRRefP22_8x_0" localSheetId="83">'418'!$P$53:$P$54</definedName>
    <definedName name="OSRRefP22_8x_0" localSheetId="86">'424'!$P$46</definedName>
    <definedName name="OSRRefP22_8x_0" localSheetId="87">'425'!$P$52</definedName>
    <definedName name="OSRRefP22_8x_0" localSheetId="91">'433'!$P$55</definedName>
    <definedName name="OSRRefP22_8x_0" localSheetId="93">'444'!$P$54</definedName>
    <definedName name="OSRRefP22_8x_0" localSheetId="95">'450'!$P$54</definedName>
    <definedName name="OSRRefP22_8x_0" localSheetId="75">'491'!$P$64:$P$65</definedName>
    <definedName name="OSRRefP22_8x_0" localSheetId="89">'492'!$P$58</definedName>
    <definedName name="OSRRefP22_8x_0" localSheetId="97">'501'!$P$49</definedName>
    <definedName name="OSRRefP22_8x_0" localSheetId="39">'Div 2'!$P$53</definedName>
    <definedName name="OSRRefP22_8x_0" localSheetId="47">'Div 3'!$P$190</definedName>
    <definedName name="OSRRefP22_8x_0" localSheetId="73">'Div 4'!$P$66</definedName>
    <definedName name="OSRRefP22_8x_0" localSheetId="96">'Div 5'!$P$49</definedName>
    <definedName name="OSRRefP22_8x_0" localSheetId="64">'Div 6'!$P$80</definedName>
    <definedName name="OSRRefP22_8x_0" localSheetId="2">Summary!$P$222</definedName>
    <definedName name="OSRRefP22_9x_0" localSheetId="41">'201'!$P$48:$P$49</definedName>
    <definedName name="OSRRefP22_9x_0" localSheetId="42">'202'!$P$48:$P$49</definedName>
    <definedName name="OSRRefP22_9x_0" localSheetId="43">'203'!$P$50:$P$51</definedName>
    <definedName name="OSRRefP22_9x_0" localSheetId="44">'204'!$P$55</definedName>
    <definedName name="OSRRefP22_9x_0" localSheetId="48">'300'!$P$186</definedName>
    <definedName name="OSRRefP22_9x_0" localSheetId="49">'300 &amp; 317'!$P$208</definedName>
    <definedName name="OSRRefP22_9x_0" localSheetId="50">'301'!$P$52</definedName>
    <definedName name="OSRRefP22_9x_0" localSheetId="53">'307'!$P$93</definedName>
    <definedName name="OSRRefP22_9x_0" localSheetId="55">'308'!$P$91:$P$92</definedName>
    <definedName name="OSRRefP22_9x_0" localSheetId="67">'309'!$P$54</definedName>
    <definedName name="OSRRefP22_9x_0" localSheetId="66">'310'!$P$62</definedName>
    <definedName name="OSRRefP22_9x_0" localSheetId="74">'310 &amp; 491'!$P$73</definedName>
    <definedName name="OSRRefP22_9x_0" localSheetId="56">'311'!$P$90:$P$91</definedName>
    <definedName name="OSRRefP22_9x_0" localSheetId="68">'313'!$P$57</definedName>
    <definedName name="OSRRefP22_9x_0" localSheetId="59">'315'!$P$81:$P$82</definedName>
    <definedName name="OSRRefP22_9x_0" localSheetId="65">'317'!$P$82:$P$83</definedName>
    <definedName name="OSRRefP22_9x_0" localSheetId="69">'321'!$P$53:$P$57</definedName>
    <definedName name="OSRRefP22_9x_0" localSheetId="70">'322'!$P$52</definedName>
    <definedName name="OSRRefP22_9x_0" localSheetId="71">'325'!$P$54</definedName>
    <definedName name="OSRRefP22_9x_0" localSheetId="60">'326'!$P$84</definedName>
    <definedName name="OSRRefP22_9x_0" localSheetId="52">'330'!$P$105</definedName>
    <definedName name="OSRRefP22_9x_0" localSheetId="58">'331'!$P$97</definedName>
    <definedName name="OSRRefP22_9x_0" localSheetId="61">'332'!$P$70:$P$74</definedName>
    <definedName name="OSRRefP22_9x_0" localSheetId="76">'405'!$P$53:$P$54</definedName>
    <definedName name="OSRRefP22_9x_0" localSheetId="77">'406'!$P$53</definedName>
    <definedName name="OSRRefP22_9x_0" localSheetId="78">'411'!$P$55:$P$59</definedName>
    <definedName name="OSRRefP22_9x_0" localSheetId="79">'412'!$P$54</definedName>
    <definedName name="OSRRefP22_9x_0" localSheetId="80">'413'!$P$53:$P$56</definedName>
    <definedName name="OSRRefP22_9x_0" localSheetId="81">'414'!$P$53</definedName>
    <definedName name="OSRRefP22_9x_0" localSheetId="82">'415'!$P$54</definedName>
    <definedName name="OSRRefP22_9x_0" localSheetId="83">'418'!$P$56</definedName>
    <definedName name="OSRRefP22_9x_0" localSheetId="86">'424'!$P$48:$P$50</definedName>
    <definedName name="OSRRefP22_9x_0" localSheetId="87">'425'!$P$54</definedName>
    <definedName name="OSRRefP22_9x_0" localSheetId="91">'433'!$P$57:$P$59</definedName>
    <definedName name="OSRRefP22_9x_0" localSheetId="93">'444'!$P$56</definedName>
    <definedName name="OSRRefP22_9x_0" localSheetId="95">'450'!$P$56</definedName>
    <definedName name="OSRRefP22_9x_0" localSheetId="75">'491'!$P$67</definedName>
    <definedName name="OSRRefP22_9x_0" localSheetId="89">'492'!$P$60</definedName>
    <definedName name="OSRRefP22_9x_0" localSheetId="97">'501'!$P$51:$P$54</definedName>
    <definedName name="OSRRefP22_9x_0" localSheetId="39">'Div 2'!$P$55</definedName>
    <definedName name="OSRRefP22_9x_0" localSheetId="47">'Div 3'!$P$192</definedName>
    <definedName name="OSRRefP22_9x_0" localSheetId="73">'Div 4'!$P$68:$P$69</definedName>
    <definedName name="OSRRefP22_9x_0" localSheetId="96">'Div 5'!$P$51:$P$54</definedName>
    <definedName name="OSRRefP22_9x_0" localSheetId="64">'Div 6'!$P$82:$P$83</definedName>
    <definedName name="OSRRefP22_9x_0" localSheetId="2">Summary!$P$224</definedName>
    <definedName name="OSRRefP22x_0" localSheetId="40">'200'!$P$20,'200'!$P$22,'200'!$P$24,'200'!$P$26</definedName>
    <definedName name="OSRRefP22x_0" localSheetId="41">'201'!$P$20:$P$28,'201'!$P$30:$P$32,'201'!$P$34,'201'!$P$36,'201'!$P$38,'201'!$P$40,'201'!$P$42,'201'!$P$44,'201'!$P$46,'201'!$P$48:$P$49,'201'!$P$51:$P$52,'201'!$P$54,'201'!$P$56:$P$58,'201'!$P$60,'201'!$P$62,'201'!$P$64:$P$65</definedName>
    <definedName name="OSRRefP22x_0" localSheetId="42">'202'!$P$20:$P$27,'202'!$P$29:$P$32,'202'!$P$34,'202'!$P$36,'202'!$P$38,'202'!$P$40,'202'!$P$42,'202'!$P$44,'202'!$P$46,'202'!$P$48:$P$49,'202'!$P$51,'202'!$P$53</definedName>
    <definedName name="OSRRefP22x_0" localSheetId="43">'203'!$P$20:$P$28,'203'!$P$30:$P$33,'203'!$P$35,'203'!$P$37,'203'!$P$39,'203'!$P$41,'203'!$P$43,'203'!$P$45,'203'!$P$47:$P$48,'203'!$P$50:$P$51,'203'!$P$53,'203'!$P$55:$P$57,'203'!$P$59,'203'!$P$61,'203'!$P$63</definedName>
    <definedName name="OSRRefP22x_0" localSheetId="44">'204'!$P$20:$P$28,'204'!$P$30:$P$34,'204'!$P$36,'204'!$P$38:$P$39,'204'!$P$41,'204'!$P$43,'204'!$P$45:$P$47,'204'!$P$49:$P$50,'204'!$P$52:$P$53,'204'!$P$55,'204'!$P$57:$P$58</definedName>
    <definedName name="OSRRefP22x_0" localSheetId="45">'205'!$P$20:$P$27,'205'!$P$29,'205'!$P$31,'205'!$P$33,'205'!$P$35:$P$36,'205'!$P$38,'205'!$P$40:$P$41,'205'!$P$43</definedName>
    <definedName name="OSRRefP22x_0" localSheetId="46">'206'!$P$20:$P$27,'206'!$P$29:$P$34,'206'!$P$36,'206'!$P$38,'206'!$P$40:$P$41,'206'!$P$43,'206'!$P$45</definedName>
    <definedName name="OSRRefP22x_0" localSheetId="48">'300'!$P$152:$P$160,'300'!$P$162:$P$168,'300'!$P$170,'300'!$P$172,'300'!$P$174,'300'!$P$176:$P$177,'300'!$P$179:$P$180,'300'!$P$182,'300'!$P$184,'300'!$P$186,'300'!$P$188:$P$189,'300'!$P$191,'300'!$P$193,'300'!$P$195,'300'!$P$197,'300'!$P$199,'300'!$P$201:$P$203,'300'!$P$205:$P$207,'300'!$P$209:$P$212,'300'!$P$214:$P$215,'300'!$P$217:$P$222,'300'!$P$224:$P$225,'300'!$P$227,'300'!$P$229:$P$231,'300'!$P$233</definedName>
    <definedName name="OSRRefP22x_0" localSheetId="49">'300 &amp; 317'!$P$174:$P$182,'300 &amp; 317'!$P$184:$P$190,'300 &amp; 317'!$P$192,'300 &amp; 317'!$P$194,'300 &amp; 317'!$P$196,'300 &amp; 317'!$P$198:$P$199,'300 &amp; 317'!$P$201:$P$202,'300 &amp; 317'!$P$204,'300 &amp; 317'!$P$206,'300 &amp; 317'!$P$208,'300 &amp; 317'!$P$210:$P$211,'300 &amp; 317'!$P$213,'300 &amp; 317'!$P$215,'300 &amp; 317'!$P$217,'300 &amp; 317'!$P$219,'300 &amp; 317'!$P$221,'300 &amp; 317'!$P$223:$P$225,'300 &amp; 317'!$P$227:$P$229,'300 &amp; 317'!$P$231:$P$234,'300 &amp; 317'!$P$236:$P$237,'300 &amp; 317'!$P$239:$P$244,'300 &amp; 317'!$P$246:$P$247,'300 &amp; 317'!$P$249,'300 &amp; 317'!$P$251:$P$253,'300 &amp; 317'!$P$255</definedName>
    <definedName name="OSRRefP22x_0" localSheetId="50">'301'!$P$20:$P$27,'301'!$P$29:$P$34,'301'!$P$36,'301'!$P$38,'301'!$P$40,'301'!$P$42:$P$43,'301'!$P$45:$P$46,'301'!$P$48,'301'!$P$50,'301'!$P$52,'301'!$P$54,'301'!$P$56,'301'!$P$58,'301'!$P$60,'301'!$P$62:$P$64,'301'!$P$66:$P$68,'301'!$P$70,'301'!$P$72:$P$76,'301'!$P$78,'301'!$P$80,'301'!$P$82:$P$83,'301'!$P$85</definedName>
    <definedName name="OSRRefP22x_0" localSheetId="51">'306'!$P$20:$P$28,'306'!$P$30:$P$34,'306'!$P$36,'306'!$P$38,'306'!$P$40,'306'!$P$42:$P$44,'306'!$P$46,'306'!$P$48</definedName>
    <definedName name="OSRRefP22x_0" localSheetId="53">'307'!$P$64:$P$71,'307'!$P$73:$P$75,'307'!$P$77,'307'!$P$79,'307'!$P$81:$P$82,'307'!$P$84,'307'!$P$86,'307'!$P$88,'307'!$P$90:$P$91,'307'!$P$93,'307'!$P$95</definedName>
    <definedName name="OSRRefP22x_0" localSheetId="55">'308'!$P$59:$P$67,'308'!$P$69:$P$73,'308'!$P$75,'308'!$P$77:$P$78,'308'!$P$80,'308'!$P$82,'308'!$P$84:$P$85,'308'!$P$87,'308'!$P$89,'308'!$P$91:$P$92,'308'!$P$94,'308'!$P$96:$P$98,'308'!$P$100:$P$101,'308'!$P$103,'308'!$P$105</definedName>
    <definedName name="OSRRefP22x_0" localSheetId="67">'309'!$P$24:$P$31,'309'!$P$33:$P$37,'309'!$P$39,'309'!$P$41,'309'!$P$43,'309'!$P$45,'309'!$P$47,'309'!$P$49,'309'!$P$51:$P$52,'309'!$P$54,'309'!$P$56:$P$61,'309'!$P$63</definedName>
    <definedName name="OSRRefP22x_0" localSheetId="66">'310'!$P$31:$P$38,'310'!$P$40:$P$45,'310'!$P$47,'310'!$P$49,'310'!$P$51,'310'!$P$53:$P$54,'310'!$P$56,'310'!$P$58,'310'!$P$60,'310'!$P$62,'310'!$P$64,'310'!$P$66,'310'!$P$68,'310'!$P$70,'310'!$P$72,'310'!$P$74,'310'!$P$76:$P$79,'310'!$P$81:$P$82,'310'!$P$84:$P$90,'310'!$P$92,'310'!$P$94,'310'!$P$96</definedName>
    <definedName name="OSRRefP22x_0" localSheetId="74">'310 &amp; 491'!$P$39:$P$47,'310 &amp; 491'!$P$49:$P$55,'310 &amp; 491'!$P$57,'310 &amp; 491'!$P$59,'310 &amp; 491'!$P$61,'310 &amp; 491'!$P$63:$P$65,'310 &amp; 491'!$P$67,'310 &amp; 491'!$P$69,'310 &amp; 491'!$P$71,'310 &amp; 491'!$P$73,'310 &amp; 491'!$P$75:$P$76,'310 &amp; 491'!$P$78,'310 &amp; 491'!$P$80,'310 &amp; 491'!$P$82,'310 &amp; 491'!$P$84,'310 &amp; 491'!$P$86:$P$88,'310 &amp; 491'!$P$90:$P$91,'310 &amp; 491'!$P$93:$P$97,'310 &amp; 491'!$P$99:$P$100,'310 &amp; 491'!$P$102:$P$109,'310 &amp; 491'!$P$111,'310 &amp; 491'!$P$113,'310 &amp; 491'!$P$115:$P$117,'310 &amp; 491'!$P$119</definedName>
    <definedName name="OSRRefP22x_0" localSheetId="56">'311'!$P$58:$P$66,'311'!$P$68:$P$72,'311'!$P$74,'311'!$P$76:$P$77,'311'!$P$79,'311'!$P$81,'311'!$P$83:$P$84,'311'!$P$86,'311'!$P$88,'311'!$P$90:$P$91,'311'!$P$93,'311'!$P$95:$P$97,'311'!$P$99:$P$100,'311'!$P$102,'311'!$P$104</definedName>
    <definedName name="OSRRefP22x_0" localSheetId="68">'313'!$P$28:$P$35,'313'!$P$37:$P$41,'313'!$P$43,'313'!$P$45,'313'!$P$47,'313'!$P$49,'313'!$P$51,'313'!$P$53,'313'!$P$55,'313'!$P$57,'313'!$P$59:$P$63,'313'!$P$65,'313'!$P$67</definedName>
    <definedName name="OSRRefP22x_0" localSheetId="54">'314'!$P$55:$P$61,'314'!$P$63:$P$65,'314'!$P$67,'314'!$P$69:$P$70,'314'!$P$72,'314'!$P$74:$P$75,'314'!$P$77</definedName>
    <definedName name="OSRRefP22x_0" localSheetId="59">'315'!$P$52:$P$59,'315'!$P$61:$P$65,'315'!$P$67,'315'!$P$69,'315'!$P$71,'315'!$P$73,'315'!$P$75,'315'!$P$77,'315'!$P$79,'315'!$P$81:$P$82,'315'!$P$84,'315'!$P$86:$P$89,'315'!$P$91,'315'!$P$93,'315'!$P$95</definedName>
    <definedName name="OSRRefP22x_0" localSheetId="62">'316'!$P$32:$P$39,'316'!$P$41:$P$44,'316'!$P$46,'316'!$P$48,'316'!$P$50,'316'!$P$52,'316'!$P$54,'316'!$P$56:$P$59,'316'!$P$61</definedName>
    <definedName name="OSRRefP22x_0" localSheetId="65">'317'!$P$53:$P$61,'317'!$P$63:$P$66,'317'!$P$68,'317'!$P$70,'317'!$P$72,'317'!$P$74,'317'!$P$76,'317'!$P$78,'317'!$P$80,'317'!$P$82:$P$83,'317'!$P$85</definedName>
    <definedName name="OSRRefP22x_0" localSheetId="63">'320'!$P$29:$P$35,'320'!$P$37:$P$39,'320'!$P$41,'320'!$P$43:$P$44,'320'!$P$46,'320'!$P$48:$P$49,'320'!$P$51</definedName>
    <definedName name="OSRRefP22x_0" localSheetId="69">'321'!$P$24:$P$30,'321'!$P$32:$P$36,'321'!$P$38,'321'!$P$40,'321'!$P$42,'321'!$P$44,'321'!$P$46,'321'!$P$48,'321'!$P$50:$P$51,'321'!$P$53:$P$57,'321'!$P$59,'321'!$P$61</definedName>
    <definedName name="OSRRefP22x_0" localSheetId="70">'322'!$P$24:$P$31,'322'!$P$33:$P$36,'322'!$P$38,'322'!$P$40,'322'!$P$42,'322'!$P$44,'322'!$P$46,'322'!$P$48,'322'!$P$50,'322'!$P$52,'322'!$P$54:$P$56,'322'!$P$58:$P$63,'322'!$P$65,'322'!$P$67</definedName>
    <definedName name="OSRRefP22x_0" localSheetId="57">'324'!$P$25</definedName>
    <definedName name="OSRRefP22x_0" localSheetId="71">'325'!$P$24:$P$31,'325'!$P$33:$P$37,'325'!$P$39,'325'!$P$41,'325'!$P$43,'325'!$P$45:$P$46,'325'!$P$48,'325'!$P$50,'325'!$P$52,'325'!$P$54,'325'!$P$56,'325'!$P$58:$P$60,'325'!$P$62,'325'!$P$64:$P$69,'325'!$P$71,'325'!$P$73</definedName>
    <definedName name="OSRRefP22x_0" localSheetId="60">'326'!$P$56:$P$63,'326'!$P$65:$P$68,'326'!$P$70,'326'!$P$72,'326'!$P$74,'326'!$P$76,'326'!$P$78,'326'!$P$80,'326'!$P$82,'326'!$P$84,'326'!$P$86,'326'!$P$88,'326'!$P$90,'326'!$P$92:$P$94,'326'!$P$96,'326'!$P$98:$P$101,'326'!$P$103,'326'!$P$105,'326'!$P$107</definedName>
    <definedName name="OSRRefP22x_0" localSheetId="72">'327'!$P$22,'327'!$P$24</definedName>
    <definedName name="OSRRefP22x_0" localSheetId="52">'330'!$P$76:$P$83,'330'!$P$85:$P$87,'330'!$P$89,'330'!$P$91,'330'!$P$93:$P$94,'330'!$P$96,'330'!$P$98,'330'!$P$100,'330'!$P$102:$P$103,'330'!$P$105,'330'!$P$107:$P$108,'330'!$P$110</definedName>
    <definedName name="OSRRefP22x_0" localSheetId="58">'331'!$P$68:$P$75,'331'!$P$77:$P$81,'331'!$P$83,'331'!$P$85,'331'!$P$87,'331'!$P$89,'331'!$P$91,'331'!$P$93,'331'!$P$95,'331'!$P$97,'331'!$P$99,'331'!$P$101,'331'!$P$103,'331'!$P$105,'331'!$P$107:$P$108,'331'!$P$110:$P$111,'331'!$P$113:$P$115,'331'!$P$117,'331'!$P$119:$P$123,'331'!$P$125,'331'!$P$127,'331'!$P$129,'331'!$P$131</definedName>
    <definedName name="OSRRefP22x_0" localSheetId="61">'332'!$P$41:$P$48,'332'!$P$50:$P$53,'332'!$P$55,'332'!$P$57,'332'!$P$59,'332'!$P$61:$P$62,'332'!$P$64,'332'!$P$66,'332'!$P$68,'332'!$P$70:$P$74,'332'!$P$76</definedName>
    <definedName name="OSRRefP22x_0" localSheetId="76">'405'!$P$24:$P$31,'405'!$P$33:$P$36,'405'!$P$38,'405'!$P$40,'405'!$P$42,'405'!$P$44:$P$45,'405'!$P$47,'405'!$P$49,'405'!$P$51,'405'!$P$53:$P$54,'405'!$P$56,'405'!$P$58:$P$60,'405'!$P$62,'405'!$P$64:$P$70,'405'!$P$72,'405'!$P$74,'405'!$P$76</definedName>
    <definedName name="OSRRefP22x_0" localSheetId="77">'406'!$P$24:$P$31,'406'!$P$33:$P$37,'406'!$P$39,'406'!$P$41,'406'!$P$43,'406'!$P$45,'406'!$P$47,'406'!$P$49,'406'!$P$51,'406'!$P$53,'406'!$P$55:$P$60,'406'!$P$62,'406'!$P$64</definedName>
    <definedName name="OSRRefP22x_0" localSheetId="78">'411'!$P$20:$P$28,'411'!$P$30:$P$35,'411'!$P$37,'411'!$P$39:$P$41,'411'!$P$43,'411'!$P$45,'411'!$P$47,'411'!$P$49,'411'!$P$51:$P$53,'411'!$P$55:$P$59,'411'!$P$61:$P$66,'411'!$P$68,'411'!$P$70,'411'!$P$72:$P$74,'411'!$P$76</definedName>
    <definedName name="OSRRefP22x_0" localSheetId="79">'412'!$P$23:$P$30,'412'!$P$32:$P$37,'412'!$P$39,'412'!$P$41,'412'!$P$43,'412'!$P$45,'412'!$P$47,'412'!$P$49,'412'!$P$51:$P$52,'412'!$P$54,'412'!$P$56:$P$57,'412'!$P$59:$P$65,'412'!$P$67,'412'!$P$69</definedName>
    <definedName name="OSRRefP22x_0" localSheetId="80">'413'!$P$24:$P$31,'413'!$P$33:$P$37,'413'!$P$39,'413'!$P$41,'413'!$P$43,'413'!$P$45,'413'!$P$47,'413'!$P$49,'413'!$P$51,'413'!$P$53:$P$56,'413'!$P$58</definedName>
    <definedName name="OSRRefP22x_0" localSheetId="81">'414'!$P$24:$P$31,'414'!$P$33:$P$37,'414'!$P$39,'414'!$P$41,'414'!$P$43,'414'!$P$45,'414'!$P$47,'414'!$P$49,'414'!$P$51,'414'!$P$53,'414'!$P$55,'414'!$P$57,'414'!$P$59:$P$65,'414'!$P$67,'414'!$P$69</definedName>
    <definedName name="OSRRefP22x_0" localSheetId="82">'415'!$P$24:$P$31,'415'!$P$33:$P$37,'415'!$P$39,'415'!$P$41,'415'!$P$43,'415'!$P$45:$P$46,'415'!$P$48,'415'!$P$50,'415'!$P$52,'415'!$P$54,'415'!$P$56,'415'!$P$58,'415'!$P$60:$P$64,'415'!$P$66,'415'!$P$68:$P$74,'415'!$P$76,'415'!$P$78,'415'!$P$80</definedName>
    <definedName name="OSRRefP22x_0" localSheetId="83">'418'!$P$24:$P$31,'418'!$P$33:$P$38,'418'!$P$40,'418'!$P$42,'418'!$P$44,'418'!$P$46:$P$47,'418'!$P$49,'418'!$P$51,'418'!$P$53:$P$54,'418'!$P$56,'418'!$P$58:$P$60,'418'!$P$62,'418'!$P$64:$P$68,'418'!$P$70,'418'!$P$72</definedName>
    <definedName name="OSRRefP22x_0" localSheetId="85">'423'!$P$21:$P$28,'423'!$P$30,'423'!$P$32,'423'!$P$34,'423'!$P$36,'423'!$P$38</definedName>
    <definedName name="OSRRefP22x_0" localSheetId="86">'424'!$P$24:$P$26,'424'!$P$28:$P$31,'424'!$P$33,'424'!$P$35,'424'!$P$37,'424'!$P$39,'424'!$P$41,'424'!$P$43:$P$44,'424'!$P$46,'424'!$P$48:$P$50,'424'!$P$52</definedName>
    <definedName name="OSRRefP22x_0" localSheetId="87">'425'!$P$25:$P$32,'425'!$P$34:$P$38,'425'!$P$40,'425'!$P$42,'425'!$P$44,'425'!$P$46,'425'!$P$48,'425'!$P$50,'425'!$P$52,'425'!$P$54,'425'!$P$56,'425'!$P$58:$P$59,'425'!$P$61:$P$66,'425'!$P$68,'425'!$P$70,'425'!$P$72</definedName>
    <definedName name="OSRRefP22x_0" localSheetId="90">'430'!$P$20:$P$27,'430'!$P$29,'430'!$P$31,'430'!$P$33,'430'!$P$35:$P$36,'430'!$P$38,'430'!$P$40,'430'!$P$42</definedName>
    <definedName name="OSRRefP22x_0" localSheetId="91">'433'!$P$26:$P$34,'433'!$P$36:$P$41,'433'!$P$43,'433'!$P$45,'433'!$P$47,'433'!$P$49,'433'!$P$51,'433'!$P$53,'433'!$P$55,'433'!$P$57:$P$59,'433'!$P$61:$P$66,'433'!$P$68,'433'!$P$70,'433'!$P$72:$P$73</definedName>
    <definedName name="OSRRefP22x_0" localSheetId="92">'435'!$P$24:$P$26,'435'!$P$28:$P$29,'435'!$P$31,'435'!$P$33,'435'!$P$35,'435'!$P$37,'435'!$P$39:$P$40,'435'!$P$42</definedName>
    <definedName name="OSRRefP22x_0" localSheetId="93">'444'!$P$25:$P$33,'444'!$P$35:$P$40,'444'!$P$42,'444'!$P$44,'444'!$P$46,'444'!$P$48,'444'!$P$50,'444'!$P$52,'444'!$P$54,'444'!$P$56,'444'!$P$58:$P$59,'444'!$P$61:$P$63,'444'!$P$65:$P$71,'444'!$P$73,'444'!$P$75,'444'!$P$77</definedName>
    <definedName name="OSRRefP22x_0" localSheetId="94">'445'!$P$20</definedName>
    <definedName name="OSRRefP22x_0" localSheetId="95">'450'!$P$25:$P$33,'450'!$P$35:$P$40,'450'!$P$42,'450'!$P$44,'450'!$P$46,'450'!$P$48,'450'!$P$50,'450'!$P$52,'450'!$P$54,'450'!$P$56,'450'!$P$58,'450'!$P$60:$P$62,'450'!$P$64:$P$69,'450'!$P$71,'450'!$P$73,'450'!$P$75:$P$76</definedName>
    <definedName name="OSRRefP22x_0" localSheetId="88">'455'!$P$20:$P$26,'455'!$P$28:$P$29</definedName>
    <definedName name="OSRRefP22x_0" localSheetId="75">'491'!$P$32:$P$40,'491'!$P$42:$P$48,'491'!$P$50,'491'!$P$52,'491'!$P$54,'491'!$P$56:$P$58,'491'!$P$60,'491'!$P$62,'491'!$P$64:$P$65,'491'!$P$67,'491'!$P$69,'491'!$P$71,'491'!$P$73,'491'!$P$75:$P$77,'491'!$P$79:$P$80,'491'!$P$82:$P$86,'491'!$P$88,'491'!$P$90:$P$97,'491'!$P$99,'491'!$P$101,'491'!$P$103:$P$105,'491'!$P$107</definedName>
    <definedName name="OSRRefP22x_0" localSheetId="89">'492'!$P$28:$P$36,'492'!$P$38:$P$44,'492'!$P$46,'492'!$P$48,'492'!$P$50,'492'!$P$52,'492'!$P$54,'492'!$P$56,'492'!$P$58,'492'!$P$60,'492'!$P$62,'492'!$P$64:$P$65,'492'!$P$67:$P$69,'492'!$P$71:$P$77,'492'!$P$79,'492'!$P$81,'492'!$P$83:$P$84</definedName>
    <definedName name="OSRRefP22x_0" localSheetId="97">'501'!$P$21:$P$28,'501'!$P$30:$P$35,'501'!$P$37,'501'!$P$39,'501'!$P$41,'501'!$P$43,'501'!$P$45,'501'!$P$47,'501'!$P$49,'501'!$P$51:$P$54,'501'!$P$56</definedName>
    <definedName name="OSRRefP22x_0" localSheetId="39">'Div 2'!$P$20:$P$30,'Div 2'!$P$32:$P$38,'Div 2'!$P$40,'Div 2'!$P$42,'Div 2'!$P$44,'Div 2'!$P$46:$P$47,'Div 2'!$P$49,'Div 2'!$P$51,'Div 2'!$P$53,'Div 2'!$P$55,'Div 2'!$P$57,'Div 2'!$P$59,'Div 2'!$P$61:$P$64,'Div 2'!$P$66:$P$68,'Div 2'!$P$70:$P$71,'Div 2'!$P$73,'Div 2'!$P$75:$P$78,'Div 2'!$P$80:$P$81,'Div 2'!$P$83,'Div 2'!$P$85:$P$86</definedName>
    <definedName name="OSRRefP22x_0" localSheetId="47">'Div 3'!$P$158:$P$166,'Div 3'!$P$168:$P$174,'Div 3'!$P$176,'Div 3'!$P$178,'Div 3'!$P$180,'Div 3'!$P$182:$P$183,'Div 3'!$P$185:$P$186,'Div 3'!$P$188,'Div 3'!$P$190,'Div 3'!$P$192,'Div 3'!$P$194:$P$195,'Div 3'!$P$197,'Div 3'!$P$199,'Div 3'!$P$201,'Div 3'!$P$203,'Div 3'!$P$205,'Div 3'!$P$207,'Div 3'!$P$209:$P$211,'Div 3'!$P$213:$P$215,'Div 3'!$P$217:$P$221,'Div 3'!$P$223:$P$224,'Div 3'!$P$226:$P$232,'Div 3'!$P$234:$P$235,'Div 3'!$P$237,'Div 3'!$P$239:$P$241,'Div 3'!$P$243</definedName>
    <definedName name="OSRRefP22x_0" localSheetId="73">'Div 4'!$P$34:$P$42,'Div 4'!$P$44:$P$50,'Div 4'!$P$52,'Div 4'!$P$54,'Div 4'!$P$56,'Div 4'!$P$58:$P$60,'Div 4'!$P$62,'Div 4'!$P$64,'Div 4'!$P$66,'Div 4'!$P$68:$P$69,'Div 4'!$P$71,'Div 4'!$P$73,'Div 4'!$P$75,'Div 4'!$P$77,'Div 4'!$P$79,'Div 4'!$P$81:$P$83,'Div 4'!$P$85:$P$86,'Div 4'!$P$88:$P$92,'Div 4'!$P$94,'Div 4'!$P$96:$P$103,'Div 4'!$P$105,'Div 4'!$P$107,'Div 4'!$P$109:$P$111,'Div 4'!$P$113</definedName>
    <definedName name="OSRRefP22x_0" localSheetId="96">'Div 5'!$P$21:$P$28,'Div 5'!$P$30:$P$35,'Div 5'!$P$37,'Div 5'!$P$39,'Div 5'!$P$41,'Div 5'!$P$43,'Div 5'!$P$45,'Div 5'!$P$47,'Div 5'!$P$49,'Div 5'!$P$51:$P$54,'Div 5'!$P$56</definedName>
    <definedName name="OSRRefP22x_0" localSheetId="64">'Div 6'!$P$53:$P$61,'Div 6'!$P$63:$P$66,'Div 6'!$P$68,'Div 6'!$P$70,'Div 6'!$P$72,'Div 6'!$P$74,'Div 6'!$P$76,'Div 6'!$P$78,'Div 6'!$P$80,'Div 6'!$P$82:$P$83,'Div 6'!$P$85</definedName>
    <definedName name="OSRRefP22x_0" localSheetId="2">Summary!$P$189:$P$197,Summary!$P$199:$P$205,Summary!$P$207,Summary!$P$209,Summary!$P$211,Summary!$P$213:$P$215,Summary!$P$217:$P$218,Summary!$P$220,Summary!$P$222,Summary!$P$224,Summary!$P$226:$P$227,Summary!$P$229:$P$230,Summary!$P$232,Summary!$P$234,Summary!$P$236,Summary!$P$238,Summary!$P$240,Summary!$P$242,Summary!$P$244:$P$246,Summary!$P$248:$P$250,Summary!$P$252:$P$256,Summary!$P$258:$P$259,Summary!$P$261:$P$268,Summary!$P$270:$P$271,Summary!$P$273,Summary!$P$275:$P$277,Summary!$P$279</definedName>
    <definedName name="OSRRefP25x_0" localSheetId="48">'300'!$P$236:$P$242</definedName>
    <definedName name="OSRRefP25x_0" localSheetId="49">'300 &amp; 317'!$P$258:$P$266</definedName>
    <definedName name="OSRRefP25x_0" localSheetId="50">'301'!$P$88:$P$89</definedName>
    <definedName name="OSRRefP25x_0" localSheetId="55">'308'!$P$108:$P$109</definedName>
    <definedName name="OSRRefP25x_0" localSheetId="74">'310 &amp; 491'!$P$122:$P$124</definedName>
    <definedName name="OSRRefP25x_0" localSheetId="56">'311'!$P$107:$P$108</definedName>
    <definedName name="OSRRefP25x_0" localSheetId="59">'315'!$P$98</definedName>
    <definedName name="OSRRefP25x_0" localSheetId="62">'316'!$P$64</definedName>
    <definedName name="OSRRefP25x_0" localSheetId="65">'317'!$P$88:$P$90</definedName>
    <definedName name="OSRRefP25x_0" localSheetId="63">'320'!$P$54:$P$57</definedName>
    <definedName name="OSRRefP25x_0" localSheetId="58">'331'!$P$134</definedName>
    <definedName name="OSRRefP25x_0" localSheetId="61">'332'!$P$79:$P$83</definedName>
    <definedName name="OSRRefP25x_0" localSheetId="78">'411'!$P$79:$P$80</definedName>
    <definedName name="OSRRefP25x_0" localSheetId="80">'413'!$P$61</definedName>
    <definedName name="OSRRefP25x_0" localSheetId="85">'423'!$P$41</definedName>
    <definedName name="OSRRefP25x_0" localSheetId="86">'424'!$P$55</definedName>
    <definedName name="OSRRefP25x_0" localSheetId="87">'425'!$P$75</definedName>
    <definedName name="OSRRefP25x_0" localSheetId="88">'455'!$P$32:$P$33</definedName>
    <definedName name="OSRRefP25x_0" localSheetId="75">'491'!$P$110:$P$112</definedName>
    <definedName name="OSRRefP25x_0" localSheetId="97">'501'!$P$59</definedName>
    <definedName name="OSRRefP25x_0" localSheetId="47">'Div 3'!$P$246:$P$252</definedName>
    <definedName name="OSRRefP25x_0" localSheetId="73">'Div 4'!$P$116:$P$118</definedName>
    <definedName name="OSRRefP25x_0" localSheetId="96">'Div 5'!$P$59</definedName>
    <definedName name="OSRRefP25x_0" localSheetId="64">'Div 6'!$P$88:$P$90</definedName>
    <definedName name="OSRRefP25x_0" localSheetId="2">Summary!$P$282:$P$291</definedName>
    <definedName name="OSRRefT13x_0" localSheetId="48">'300'!$T$13:$T$96</definedName>
    <definedName name="OSRRefT13x_0" localSheetId="49">'300 &amp; 317'!$T$13:$T$113</definedName>
    <definedName name="OSRRefT13x_0" localSheetId="53">'307'!$T$13:$T$39</definedName>
    <definedName name="OSRRefT13x_0" localSheetId="55">'308'!$T$13:$T$36</definedName>
    <definedName name="OSRRefT13x_0" localSheetId="67">'309'!$T$13:$T$14</definedName>
    <definedName name="OSRRefT13x_0" localSheetId="66">'310'!$T$13:$T$21</definedName>
    <definedName name="OSRRefT13x_0" localSheetId="74">'310 &amp; 491'!$T$13:$T$29</definedName>
    <definedName name="OSRRefT13x_0" localSheetId="56">'311'!$T$13:$T$35</definedName>
    <definedName name="OSRRefT13x_0" localSheetId="68">'313'!$T$13:$T$18</definedName>
    <definedName name="OSRRefT13x_0" localSheetId="54">'314'!$T$13:$T$33</definedName>
    <definedName name="OSRRefT13x_0" localSheetId="59">'315'!$T$13:$T$30</definedName>
    <definedName name="OSRRefT13x_0" localSheetId="62">'316'!$T$13:$T$24</definedName>
    <definedName name="OSRRefT13x_0" localSheetId="65">'317'!$T$13:$T$34</definedName>
    <definedName name="OSRRefT13x_0" localSheetId="63">'320'!$T$13:$T$16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1">'325'!$T$13:$T$14</definedName>
    <definedName name="OSRRefT13x_0" localSheetId="60">'326'!$T$13:$T$33</definedName>
    <definedName name="OSRRefT13x_0" localSheetId="72">'327'!$T$13</definedName>
    <definedName name="OSRRefT13x_0" localSheetId="52">'330'!$T$13:$T$47</definedName>
    <definedName name="OSRRefT13x_0" localSheetId="58">'331'!$T$13:$T$39</definedName>
    <definedName name="OSRRefT13x_0" localSheetId="61">'332'!$T$13:$T$28</definedName>
    <definedName name="OSRRefT13x_0" localSheetId="76">'405'!$T$13:$T$14</definedName>
    <definedName name="OSRRefT13x_0" localSheetId="77">'406'!$T$13:$T$14</definedName>
    <definedName name="OSRRefT13x_0" localSheetId="79">'412'!$T$13:$T$14</definedName>
    <definedName name="OSRRefT13x_0" localSheetId="80">'413'!$T$13:$T$14</definedName>
    <definedName name="OSRRefT13x_0" localSheetId="81">'414'!$T$13:$T$14</definedName>
    <definedName name="OSRRefT13x_0" localSheetId="82">'415'!$T$13:$T$14</definedName>
    <definedName name="OSRRefT13x_0" localSheetId="83">'418'!$T$13:$T$14</definedName>
    <definedName name="OSRRefT13x_0" localSheetId="86">'424'!$T$13:$T$14</definedName>
    <definedName name="OSRRefT13x_0" localSheetId="87">'425'!$T$13:$T$15</definedName>
    <definedName name="OSRRefT13x_0" localSheetId="91">'433'!$T$13:$T$16</definedName>
    <definedName name="OSRRefT13x_0" localSheetId="92">'435'!$T$13:$T$14</definedName>
    <definedName name="OSRRefT13x_0" localSheetId="93">'444'!$T$13:$T$15</definedName>
    <definedName name="OSRRefT13x_0" localSheetId="95">'450'!$T$13:$T$15</definedName>
    <definedName name="OSRRefT13x_0" localSheetId="75">'491'!$T$13:$T$22</definedName>
    <definedName name="OSRRefT13x_0" localSheetId="89">'492'!$T$13:$T$18</definedName>
    <definedName name="OSRRefT13x_0" localSheetId="97">'501'!$T$13</definedName>
    <definedName name="OSRRefT13x_0" localSheetId="47">'Div 3'!$T$13:$T$100</definedName>
    <definedName name="OSRRefT13x_0" localSheetId="73">'Div 4'!$T$13:$T$24</definedName>
    <definedName name="OSRRefT13x_0" localSheetId="96">'Div 5'!$T$13</definedName>
    <definedName name="OSRRefT13x_0" localSheetId="64">'Div 6'!$T$13:$T$34</definedName>
    <definedName name="OSRRefT13x_0" localSheetId="2">Summary!$T$13:$T$126</definedName>
    <definedName name="OSRRefT16x_0" localSheetId="48">'300'!$T$99:$T$146</definedName>
    <definedName name="OSRRefT16x_0" localSheetId="49">'300 &amp; 317'!$T$116:$T$168</definedName>
    <definedName name="OSRRefT16x_0" localSheetId="53">'307'!$T$42:$T$58</definedName>
    <definedName name="OSRRefT16x_0" localSheetId="55">'308'!$T$39:$T$53</definedName>
    <definedName name="OSRRefT16x_0" localSheetId="67">'309'!$T$17:$T$18</definedName>
    <definedName name="OSRRefT16x_0" localSheetId="66">'310'!$T$24:$T$25</definedName>
    <definedName name="OSRRefT16x_0" localSheetId="74">'310 &amp; 491'!$T$32:$T$33</definedName>
    <definedName name="OSRRefT16x_0" localSheetId="56">'311'!$T$38:$T$52</definedName>
    <definedName name="OSRRefT16x_0" localSheetId="68">'313'!$T$21:$T$22</definedName>
    <definedName name="OSRRefT16x_0" localSheetId="54">'314'!$T$36:$T$49</definedName>
    <definedName name="OSRRefT16x_0" localSheetId="59">'315'!$T$33:$T$46</definedName>
    <definedName name="OSRRefT16x_0" localSheetId="65">'317'!$T$37:$T$47</definedName>
    <definedName name="OSRRefT16x_0" localSheetId="63">'320'!$T$19:$T$23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1">'325'!$T$17:$T$18</definedName>
    <definedName name="OSRRefT16x_0" localSheetId="60">'326'!$T$36:$T$50</definedName>
    <definedName name="OSRRefT16x_0" localSheetId="72">'327'!$T$16</definedName>
    <definedName name="OSRRefT16x_0" localSheetId="52">'330'!$T$50:$T$70</definedName>
    <definedName name="OSRRefT16x_0" localSheetId="58">'331'!$T$42:$T$62</definedName>
    <definedName name="OSRRefT16x_0" localSheetId="61">'332'!$T$31:$T$35</definedName>
    <definedName name="OSRRefT16x_0" localSheetId="76">'405'!$T$17:$T$18</definedName>
    <definedName name="OSRRefT16x_0" localSheetId="77">'406'!$T$17:$T$18</definedName>
    <definedName name="OSRRefT16x_0" localSheetId="79">'412'!$T$17</definedName>
    <definedName name="OSRRefT16x_0" localSheetId="80">'413'!$T$17:$T$18</definedName>
    <definedName name="OSRRefT16x_0" localSheetId="81">'414'!$T$17:$T$18</definedName>
    <definedName name="OSRRefT16x_0" localSheetId="82">'415'!$T$17:$T$18</definedName>
    <definedName name="OSRRefT16x_0" localSheetId="83">'418'!$T$17:$T$18</definedName>
    <definedName name="OSRRefT16x_0" localSheetId="85">'423'!$T$15</definedName>
    <definedName name="OSRRefT16x_0" localSheetId="86">'424'!$T$17:$T$18</definedName>
    <definedName name="OSRRefT16x_0" localSheetId="87">'425'!$T$18:$T$19</definedName>
    <definedName name="OSRRefT16x_0" localSheetId="91">'433'!$T$19:$T$20</definedName>
    <definedName name="OSRRefT16x_0" localSheetId="92">'435'!$T$17:$T$18</definedName>
    <definedName name="OSRRefT16x_0" localSheetId="93">'444'!$T$18:$T$19</definedName>
    <definedName name="OSRRefT16x_0" localSheetId="95">'450'!$T$18:$T$19</definedName>
    <definedName name="OSRRefT16x_0" localSheetId="75">'491'!$T$25:$T$26</definedName>
    <definedName name="OSRRefT16x_0" localSheetId="89">'492'!$T$21:$T$22</definedName>
    <definedName name="OSRRefT16x_0" localSheetId="47">'Div 3'!$T$103:$T$152</definedName>
    <definedName name="OSRRefT16x_0" localSheetId="73">'Div 4'!$T$27:$T$28</definedName>
    <definedName name="OSRRefT16x_0" localSheetId="64">'Div 6'!$T$37:$T$47</definedName>
    <definedName name="OSRRefT16x_0" localSheetId="2">Summary!$T$129:$T$183</definedName>
    <definedName name="OSRRefT22_0x_0" localSheetId="40">'200'!$T$20</definedName>
    <definedName name="OSRRefT22_0x_0" localSheetId="41">'201'!$T$20:$T$28</definedName>
    <definedName name="OSRRefT22_0x_0" localSheetId="42">'202'!$T$20:$T$27</definedName>
    <definedName name="OSRRefT22_0x_0" localSheetId="43">'203'!$T$20:$T$28</definedName>
    <definedName name="OSRRefT22_0x_0" localSheetId="44">'204'!$T$20:$T$28</definedName>
    <definedName name="OSRRefT22_0x_0" localSheetId="45">'205'!$T$20:$T$27</definedName>
    <definedName name="OSRRefT22_0x_0" localSheetId="46">'206'!$T$20:$T$27</definedName>
    <definedName name="OSRRefT22_0x_0" localSheetId="48">'300'!$T$152:$T$160</definedName>
    <definedName name="OSRRefT22_0x_0" localSheetId="49">'300 &amp; 317'!$T$174:$T$182</definedName>
    <definedName name="OSRRefT22_0x_0" localSheetId="50">'301'!$T$20:$T$27</definedName>
    <definedName name="OSRRefT22_0x_0" localSheetId="51">'306'!$T$20:$T$28</definedName>
    <definedName name="OSRRefT22_0x_0" localSheetId="53">'307'!$T$64:$T$71</definedName>
    <definedName name="OSRRefT22_0x_0" localSheetId="55">'308'!$T$59:$T$67</definedName>
    <definedName name="OSRRefT22_0x_0" localSheetId="67">'309'!$T$24:$T$31</definedName>
    <definedName name="OSRRefT22_0x_0" localSheetId="66">'310'!$T$31:$T$38</definedName>
    <definedName name="OSRRefT22_0x_0" localSheetId="74">'310 &amp; 491'!$T$39:$T$47</definedName>
    <definedName name="OSRRefT22_0x_0" localSheetId="56">'311'!$T$58:$T$66</definedName>
    <definedName name="OSRRefT22_0x_0" localSheetId="68">'313'!$T$28:$T$35</definedName>
    <definedName name="OSRRefT22_0x_0" localSheetId="54">'314'!$T$55:$T$61</definedName>
    <definedName name="OSRRefT22_0x_0" localSheetId="59">'315'!$T$52:$T$59</definedName>
    <definedName name="OSRRefT22_0x_0" localSheetId="62">'316'!$T$32:$T$39</definedName>
    <definedName name="OSRRefT22_0x_0" localSheetId="65">'317'!$T$53:$T$61</definedName>
    <definedName name="OSRRefT22_0x_0" localSheetId="63">'320'!$T$29:$T$35</definedName>
    <definedName name="OSRRefT22_0x_0" localSheetId="69">'321'!$T$24:$T$30</definedName>
    <definedName name="OSRRefT22_0x_0" localSheetId="70">'322'!$T$24:$T$31</definedName>
    <definedName name="OSRRefT22_0x_0" localSheetId="57">'324'!$T$25</definedName>
    <definedName name="OSRRefT22_0x_0" localSheetId="71">'325'!$T$24:$T$31</definedName>
    <definedName name="OSRRefT22_0x_0" localSheetId="60">'326'!$T$56:$T$63</definedName>
    <definedName name="OSRRefT22_0x_0" localSheetId="72">'327'!$T$22</definedName>
    <definedName name="OSRRefT22_0x_0" localSheetId="52">'330'!$T$76:$T$83</definedName>
    <definedName name="OSRRefT22_0x_0" localSheetId="58">'331'!$T$68:$T$75</definedName>
    <definedName name="OSRRefT22_0x_0" localSheetId="61">'332'!$T$41:$T$48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'412'!$T$23:$T$30</definedName>
    <definedName name="OSRRefT22_0x_0" localSheetId="80">'413'!$T$24:$T$31</definedName>
    <definedName name="OSRRefT22_0x_0" localSheetId="81">'414'!$T$24:$T$31</definedName>
    <definedName name="OSRRefT22_0x_0" localSheetId="82">'415'!$T$24:$T$31</definedName>
    <definedName name="OSRRefT22_0x_0" localSheetId="83">'418'!$T$24:$T$31</definedName>
    <definedName name="OSRRefT22_0x_0" localSheetId="85">'423'!$T$21:$T$28</definedName>
    <definedName name="OSRRefT22_0x_0" localSheetId="86">'424'!$T$24:$T$26</definedName>
    <definedName name="OSRRefT22_0x_0" localSheetId="87">'425'!$T$25:$T$32</definedName>
    <definedName name="OSRRefT22_0x_0" localSheetId="90">'430'!$T$20:$T$27</definedName>
    <definedName name="OSRRefT22_0x_0" localSheetId="91">'433'!$T$26:$T$34</definedName>
    <definedName name="OSRRefT22_0x_0" localSheetId="92">'435'!$T$24:$T$26</definedName>
    <definedName name="OSRRefT22_0x_0" localSheetId="93">'444'!$T$25:$T$33</definedName>
    <definedName name="OSRRefT22_0x_0" localSheetId="94">'445'!$T$20</definedName>
    <definedName name="OSRRefT22_0x_0" localSheetId="95">'450'!$T$25:$T$33</definedName>
    <definedName name="OSRRefT22_0x_0" localSheetId="88">'455'!$T$20:$T$26</definedName>
    <definedName name="OSRRefT22_0x_0" localSheetId="75">'491'!$T$32:$T$40</definedName>
    <definedName name="OSRRefT22_0x_0" localSheetId="89">'492'!$T$28:$T$36</definedName>
    <definedName name="OSRRefT22_0x_0" localSheetId="97">'501'!$T$21:$T$28</definedName>
    <definedName name="OSRRefT22_0x_0" localSheetId="39">'Div 2'!$T$20:$T$30</definedName>
    <definedName name="OSRRefT22_0x_0" localSheetId="47">'Div 3'!$T$158:$T$166</definedName>
    <definedName name="OSRRefT22_0x_0" localSheetId="73">'Div 4'!$T$34:$T$42</definedName>
    <definedName name="OSRRefT22_0x_0" localSheetId="96">'Div 5'!$T$21:$T$28</definedName>
    <definedName name="OSRRefT22_0x_0" localSheetId="64">'Div 6'!$T$53:$T$61</definedName>
    <definedName name="OSRRefT22_0x_0" localSheetId="2">Summary!$T$189:$T$197</definedName>
    <definedName name="OSRRefT22_10x_0" localSheetId="41">'201'!$T$51:$T$52</definedName>
    <definedName name="OSRRefT22_10x_0" localSheetId="42">'202'!$T$51</definedName>
    <definedName name="OSRRefT22_10x_0" localSheetId="43">'203'!$T$53</definedName>
    <definedName name="OSRRefT22_10x_0" localSheetId="44">'204'!$T$57:$T$58</definedName>
    <definedName name="OSRRefT22_10x_0" localSheetId="48">'300'!$T$188:$T$189</definedName>
    <definedName name="OSRRefT22_10x_0" localSheetId="49">'300 &amp; 317'!$T$210:$T$211</definedName>
    <definedName name="OSRRefT22_10x_0" localSheetId="50">'301'!$T$54</definedName>
    <definedName name="OSRRefT22_10x_0" localSheetId="53">'307'!$T$95</definedName>
    <definedName name="OSRRefT22_10x_0" localSheetId="55">'308'!$T$94</definedName>
    <definedName name="OSRRefT22_10x_0" localSheetId="67">'309'!$T$56:$T$61</definedName>
    <definedName name="OSRRefT22_10x_0" localSheetId="66">'310'!$T$64</definedName>
    <definedName name="OSRRefT22_10x_0" localSheetId="74">'310 &amp; 491'!$T$75:$T$76</definedName>
    <definedName name="OSRRefT22_10x_0" localSheetId="56">'311'!$T$93</definedName>
    <definedName name="OSRRefT22_10x_0" localSheetId="68">'313'!$T$59:$T$63</definedName>
    <definedName name="OSRRefT22_10x_0" localSheetId="59">'315'!$T$84</definedName>
    <definedName name="OSRRefT22_10x_0" localSheetId="65">'317'!$T$85</definedName>
    <definedName name="OSRRefT22_10x_0" localSheetId="69">'321'!$T$59</definedName>
    <definedName name="OSRRefT22_10x_0" localSheetId="70">'322'!$T$54:$T$56</definedName>
    <definedName name="OSRRefT22_10x_0" localSheetId="71">'325'!$T$56</definedName>
    <definedName name="OSRRefT22_10x_0" localSheetId="60">'326'!$T$86</definedName>
    <definedName name="OSRRefT22_10x_0" localSheetId="52">'330'!$T$107:$T$108</definedName>
    <definedName name="OSRRefT22_10x_0" localSheetId="58">'331'!$T$99</definedName>
    <definedName name="OSRRefT22_10x_0" localSheetId="61">'332'!$T$76</definedName>
    <definedName name="OSRRefT22_10x_0" localSheetId="76">'405'!$T$56</definedName>
    <definedName name="OSRRefT22_10x_0" localSheetId="77">'406'!$T$55:$T$60</definedName>
    <definedName name="OSRRefT22_10x_0" localSheetId="78">'411'!$T$61:$T$66</definedName>
    <definedName name="OSRRefT22_10x_0" localSheetId="79">'412'!$T$56:$T$57</definedName>
    <definedName name="OSRRefT22_10x_0" localSheetId="80">'413'!$T$58</definedName>
    <definedName name="OSRRefT22_10x_0" localSheetId="81">'414'!$T$55</definedName>
    <definedName name="OSRRefT22_10x_0" localSheetId="82">'415'!$T$56</definedName>
    <definedName name="OSRRefT22_10x_0" localSheetId="83">'418'!$T$58:$T$60</definedName>
    <definedName name="OSRRefT22_10x_0" localSheetId="86">'424'!$T$52</definedName>
    <definedName name="OSRRefT22_10x_0" localSheetId="87">'425'!$T$56</definedName>
    <definedName name="OSRRefT22_10x_0" localSheetId="91">'433'!$T$61:$T$66</definedName>
    <definedName name="OSRRefT22_10x_0" localSheetId="93">'444'!$T$58:$T$59</definedName>
    <definedName name="OSRRefT22_10x_0" localSheetId="95">'450'!$T$58</definedName>
    <definedName name="OSRRefT22_10x_0" localSheetId="75">'491'!$T$69</definedName>
    <definedName name="OSRRefT22_10x_0" localSheetId="89">'492'!$T$62</definedName>
    <definedName name="OSRRefT22_10x_0" localSheetId="97">'501'!$T$56</definedName>
    <definedName name="OSRRefT22_10x_0" localSheetId="39">'Div 2'!$T$57</definedName>
    <definedName name="OSRRefT22_10x_0" localSheetId="47">'Div 3'!$T$194:$T$195</definedName>
    <definedName name="OSRRefT22_10x_0" localSheetId="73">'Div 4'!$T$71</definedName>
    <definedName name="OSRRefT22_10x_0" localSheetId="96">'Div 5'!$T$56</definedName>
    <definedName name="OSRRefT22_10x_0" localSheetId="64">'Div 6'!$T$85</definedName>
    <definedName name="OSRRefT22_10x_0" localSheetId="2">Summary!$T$226:$T$227</definedName>
    <definedName name="OSRRefT22_11x_0" localSheetId="41">'201'!$T$54</definedName>
    <definedName name="OSRRefT22_11x_0" localSheetId="42">'202'!$T$53</definedName>
    <definedName name="OSRRefT22_11x_0" localSheetId="43">'203'!$T$55:$T$57</definedName>
    <definedName name="OSRRefT22_11x_0" localSheetId="48">'300'!$T$191</definedName>
    <definedName name="OSRRefT22_11x_0" localSheetId="49">'300 &amp; 317'!$T$213</definedName>
    <definedName name="OSRRefT22_11x_0" localSheetId="50">'301'!$T$56</definedName>
    <definedName name="OSRRefT22_11x_0" localSheetId="55">'308'!$T$96:$T$98</definedName>
    <definedName name="OSRRefT22_11x_0" localSheetId="67">'309'!$T$63</definedName>
    <definedName name="OSRRefT22_11x_0" localSheetId="66">'310'!$T$66</definedName>
    <definedName name="OSRRefT22_11x_0" localSheetId="74">'310 &amp; 491'!$T$78</definedName>
    <definedName name="OSRRefT22_11x_0" localSheetId="56">'311'!$T$95:$T$97</definedName>
    <definedName name="OSRRefT22_11x_0" localSheetId="68">'313'!$T$65</definedName>
    <definedName name="OSRRefT22_11x_0" localSheetId="59">'315'!$T$86:$T$89</definedName>
    <definedName name="OSRRefT22_11x_0" localSheetId="69">'321'!$T$61</definedName>
    <definedName name="OSRRefT22_11x_0" localSheetId="70">'322'!$T$58:$T$63</definedName>
    <definedName name="OSRRefT22_11x_0" localSheetId="71">'325'!$T$58:$T$60</definedName>
    <definedName name="OSRRefT22_11x_0" localSheetId="60">'326'!$T$88</definedName>
    <definedName name="OSRRefT22_11x_0" localSheetId="52">'330'!$T$110</definedName>
    <definedName name="OSRRefT22_11x_0" localSheetId="58">'331'!$T$101</definedName>
    <definedName name="OSRRefT22_11x_0" localSheetId="76">'405'!$T$58:$T$60</definedName>
    <definedName name="OSRRefT22_11x_0" localSheetId="77">'406'!$T$62</definedName>
    <definedName name="OSRRefT22_11x_0" localSheetId="78">'411'!$T$68</definedName>
    <definedName name="OSRRefT22_11x_0" localSheetId="79">'412'!$T$59:$T$65</definedName>
    <definedName name="OSRRefT22_11x_0" localSheetId="81">'414'!$T$57</definedName>
    <definedName name="OSRRefT22_11x_0" localSheetId="82">'415'!$T$58</definedName>
    <definedName name="OSRRefT22_11x_0" localSheetId="83">'418'!$T$62</definedName>
    <definedName name="OSRRefT22_11x_0" localSheetId="87">'425'!$T$58:$T$59</definedName>
    <definedName name="OSRRefT22_11x_0" localSheetId="91">'433'!$T$68</definedName>
    <definedName name="OSRRefT22_11x_0" localSheetId="93">'444'!$T$61:$T$63</definedName>
    <definedName name="OSRRefT22_11x_0" localSheetId="95">'450'!$T$60:$T$62</definedName>
    <definedName name="OSRRefT22_11x_0" localSheetId="75">'491'!$T$71</definedName>
    <definedName name="OSRRefT22_11x_0" localSheetId="89">'492'!$T$64:$T$65</definedName>
    <definedName name="OSRRefT22_11x_0" localSheetId="39">'Div 2'!$T$59</definedName>
    <definedName name="OSRRefT22_11x_0" localSheetId="47">'Div 3'!$T$197</definedName>
    <definedName name="OSRRefT22_11x_0" localSheetId="73">'Div 4'!$T$73</definedName>
    <definedName name="OSRRefT22_11x_0" localSheetId="2">Summary!$T$229:$T$230</definedName>
    <definedName name="OSRRefT22_12x_0" localSheetId="41">'201'!$T$56:$T$58</definedName>
    <definedName name="OSRRefT22_12x_0" localSheetId="43">'203'!$T$59</definedName>
    <definedName name="OSRRefT22_12x_0" localSheetId="48">'300'!$T$193</definedName>
    <definedName name="OSRRefT22_12x_0" localSheetId="49">'300 &amp; 317'!$T$215</definedName>
    <definedName name="OSRRefT22_12x_0" localSheetId="50">'301'!$T$58</definedName>
    <definedName name="OSRRefT22_12x_0" localSheetId="55">'308'!$T$100:$T$101</definedName>
    <definedName name="OSRRefT22_12x_0" localSheetId="66">'310'!$T$68</definedName>
    <definedName name="OSRRefT22_12x_0" localSheetId="74">'310 &amp; 491'!$T$80</definedName>
    <definedName name="OSRRefT22_12x_0" localSheetId="56">'311'!$T$99:$T$100</definedName>
    <definedName name="OSRRefT22_12x_0" localSheetId="68">'313'!$T$67</definedName>
    <definedName name="OSRRefT22_12x_0" localSheetId="59">'315'!$T$91</definedName>
    <definedName name="OSRRefT22_12x_0" localSheetId="70">'322'!$T$65</definedName>
    <definedName name="OSRRefT22_12x_0" localSheetId="71">'325'!$T$62</definedName>
    <definedName name="OSRRefT22_12x_0" localSheetId="60">'326'!$T$90</definedName>
    <definedName name="OSRRefT22_12x_0" localSheetId="58">'331'!$T$103</definedName>
    <definedName name="OSRRefT22_12x_0" localSheetId="76">'405'!$T$62</definedName>
    <definedName name="OSRRefT22_12x_0" localSheetId="77">'406'!$T$64</definedName>
    <definedName name="OSRRefT22_12x_0" localSheetId="78">'411'!$T$70</definedName>
    <definedName name="OSRRefT22_12x_0" localSheetId="79">'412'!$T$67</definedName>
    <definedName name="OSRRefT22_12x_0" localSheetId="81">'414'!$T$59:$T$65</definedName>
    <definedName name="OSRRefT22_12x_0" localSheetId="82">'415'!$T$60:$T$64</definedName>
    <definedName name="OSRRefT22_12x_0" localSheetId="83">'418'!$T$64:$T$68</definedName>
    <definedName name="OSRRefT22_12x_0" localSheetId="87">'425'!$T$61:$T$66</definedName>
    <definedName name="OSRRefT22_12x_0" localSheetId="91">'433'!$T$70</definedName>
    <definedName name="OSRRefT22_12x_0" localSheetId="93">'444'!$T$65:$T$71</definedName>
    <definedName name="OSRRefT22_12x_0" localSheetId="95">'450'!$T$64:$T$69</definedName>
    <definedName name="OSRRefT22_12x_0" localSheetId="75">'491'!$T$73</definedName>
    <definedName name="OSRRefT22_12x_0" localSheetId="89">'492'!$T$67:$T$69</definedName>
    <definedName name="OSRRefT22_12x_0" localSheetId="39">'Div 2'!$T$61:$T$64</definedName>
    <definedName name="OSRRefT22_12x_0" localSheetId="47">'Div 3'!$T$199</definedName>
    <definedName name="OSRRefT22_12x_0" localSheetId="73">'Div 4'!$T$75</definedName>
    <definedName name="OSRRefT22_12x_0" localSheetId="2">Summary!$T$232</definedName>
    <definedName name="OSRRefT22_13x_0" localSheetId="41">'201'!$T$60</definedName>
    <definedName name="OSRRefT22_13x_0" localSheetId="43">'203'!$T$61</definedName>
    <definedName name="OSRRefT22_13x_0" localSheetId="48">'300'!$T$195</definedName>
    <definedName name="OSRRefT22_13x_0" localSheetId="49">'300 &amp; 317'!$T$217</definedName>
    <definedName name="OSRRefT22_13x_0" localSheetId="50">'301'!$T$60</definedName>
    <definedName name="OSRRefT22_13x_0" localSheetId="55">'308'!$T$103</definedName>
    <definedName name="OSRRefT22_13x_0" localSheetId="66">'310'!$T$70</definedName>
    <definedName name="OSRRefT22_13x_0" localSheetId="74">'310 &amp; 491'!$T$82</definedName>
    <definedName name="OSRRefT22_13x_0" localSheetId="56">'311'!$T$102</definedName>
    <definedName name="OSRRefT22_13x_0" localSheetId="59">'315'!$T$93</definedName>
    <definedName name="OSRRefT22_13x_0" localSheetId="70">'322'!$T$67</definedName>
    <definedName name="OSRRefT22_13x_0" localSheetId="71">'325'!$T$64:$T$69</definedName>
    <definedName name="OSRRefT22_13x_0" localSheetId="60">'326'!$T$92:$T$94</definedName>
    <definedName name="OSRRefT22_13x_0" localSheetId="58">'331'!$T$105</definedName>
    <definedName name="OSRRefT22_13x_0" localSheetId="76">'405'!$T$64:$T$70</definedName>
    <definedName name="OSRRefT22_13x_0" localSheetId="78">'411'!$T$72:$T$74</definedName>
    <definedName name="OSRRefT22_13x_0" localSheetId="79">'412'!$T$69</definedName>
    <definedName name="OSRRefT22_13x_0" localSheetId="81">'414'!$T$67</definedName>
    <definedName name="OSRRefT22_13x_0" localSheetId="82">'415'!$T$66</definedName>
    <definedName name="OSRRefT22_13x_0" localSheetId="83">'418'!$T$70</definedName>
    <definedName name="OSRRefT22_13x_0" localSheetId="87">'425'!$T$68</definedName>
    <definedName name="OSRRefT22_13x_0" localSheetId="91">'433'!$T$72:$T$73</definedName>
    <definedName name="OSRRefT22_13x_0" localSheetId="93">'444'!$T$73</definedName>
    <definedName name="OSRRefT22_13x_0" localSheetId="95">'450'!$T$71</definedName>
    <definedName name="OSRRefT22_13x_0" localSheetId="75">'491'!$T$75:$T$77</definedName>
    <definedName name="OSRRefT22_13x_0" localSheetId="89">'492'!$T$71:$T$77</definedName>
    <definedName name="OSRRefT22_13x_0" localSheetId="39">'Div 2'!$T$66:$T$68</definedName>
    <definedName name="OSRRefT22_13x_0" localSheetId="47">'Div 3'!$T$201</definedName>
    <definedName name="OSRRefT22_13x_0" localSheetId="73">'Div 4'!$T$77</definedName>
    <definedName name="OSRRefT22_13x_0" localSheetId="2">Summary!$T$234</definedName>
    <definedName name="OSRRefT22_14x_0" localSheetId="41">'201'!$T$62</definedName>
    <definedName name="OSRRefT22_14x_0" localSheetId="43">'203'!$T$63</definedName>
    <definedName name="OSRRefT22_14x_0" localSheetId="48">'300'!$T$197</definedName>
    <definedName name="OSRRefT22_14x_0" localSheetId="49">'300 &amp; 317'!$T$219</definedName>
    <definedName name="OSRRefT22_14x_0" localSheetId="50">'301'!$T$62:$T$64</definedName>
    <definedName name="OSRRefT22_14x_0" localSheetId="55">'308'!$T$105</definedName>
    <definedName name="OSRRefT22_14x_0" localSheetId="66">'310'!$T$72</definedName>
    <definedName name="OSRRefT22_14x_0" localSheetId="74">'310 &amp; 491'!$T$84</definedName>
    <definedName name="OSRRefT22_14x_0" localSheetId="56">'311'!$T$104</definedName>
    <definedName name="OSRRefT22_14x_0" localSheetId="59">'315'!$T$95</definedName>
    <definedName name="OSRRefT22_14x_0" localSheetId="71">'325'!$T$71</definedName>
    <definedName name="OSRRefT22_14x_0" localSheetId="60">'326'!$T$96</definedName>
    <definedName name="OSRRefT22_14x_0" localSheetId="58">'331'!$T$107:$T$108</definedName>
    <definedName name="OSRRefT22_14x_0" localSheetId="76">'405'!$T$72</definedName>
    <definedName name="OSRRefT22_14x_0" localSheetId="78">'411'!$T$76</definedName>
    <definedName name="OSRRefT22_14x_0" localSheetId="81">'414'!$T$69</definedName>
    <definedName name="OSRRefT22_14x_0" localSheetId="82">'415'!$T$68:$T$74</definedName>
    <definedName name="OSRRefT22_14x_0" localSheetId="83">'418'!$T$72</definedName>
    <definedName name="OSRRefT22_14x_0" localSheetId="87">'425'!$T$70</definedName>
    <definedName name="OSRRefT22_14x_0" localSheetId="93">'444'!$T$75</definedName>
    <definedName name="OSRRefT22_14x_0" localSheetId="95">'450'!$T$73</definedName>
    <definedName name="OSRRefT22_14x_0" localSheetId="75">'491'!$T$79:$T$80</definedName>
    <definedName name="OSRRefT22_14x_0" localSheetId="89">'492'!$T$79</definedName>
    <definedName name="OSRRefT22_14x_0" localSheetId="39">'Div 2'!$T$70:$T$71</definedName>
    <definedName name="OSRRefT22_14x_0" localSheetId="47">'Div 3'!$T$203</definedName>
    <definedName name="OSRRefT22_14x_0" localSheetId="73">'Div 4'!$T$79</definedName>
    <definedName name="OSRRefT22_14x_0" localSheetId="2">Summary!$T$236</definedName>
    <definedName name="OSRRefT22_15x_0" localSheetId="41">'201'!$T$64:$T$65</definedName>
    <definedName name="OSRRefT22_15x_0" localSheetId="48">'300'!$T$199</definedName>
    <definedName name="OSRRefT22_15x_0" localSheetId="49">'300 &amp; 317'!$T$221</definedName>
    <definedName name="OSRRefT22_15x_0" localSheetId="50">'301'!$T$66:$T$68</definedName>
    <definedName name="OSRRefT22_15x_0" localSheetId="66">'310'!$T$74</definedName>
    <definedName name="OSRRefT22_15x_0" localSheetId="74">'310 &amp; 491'!$T$86:$T$88</definedName>
    <definedName name="OSRRefT22_15x_0" localSheetId="71">'325'!$T$73</definedName>
    <definedName name="OSRRefT22_15x_0" localSheetId="60">'326'!$T$98:$T$101</definedName>
    <definedName name="OSRRefT22_15x_0" localSheetId="58">'331'!$T$110:$T$111</definedName>
    <definedName name="OSRRefT22_15x_0" localSheetId="76">'405'!$T$74</definedName>
    <definedName name="OSRRefT22_15x_0" localSheetId="82">'415'!$T$76</definedName>
    <definedName name="OSRRefT22_15x_0" localSheetId="87">'425'!$T$72</definedName>
    <definedName name="OSRRefT22_15x_0" localSheetId="93">'444'!$T$77</definedName>
    <definedName name="OSRRefT22_15x_0" localSheetId="95">'450'!$T$75:$T$76</definedName>
    <definedName name="OSRRefT22_15x_0" localSheetId="75">'491'!$T$82:$T$86</definedName>
    <definedName name="OSRRefT22_15x_0" localSheetId="89">'492'!$T$81</definedName>
    <definedName name="OSRRefT22_15x_0" localSheetId="39">'Div 2'!$T$73</definedName>
    <definedName name="OSRRefT22_15x_0" localSheetId="47">'Div 3'!$T$205</definedName>
    <definedName name="OSRRefT22_15x_0" localSheetId="73">'Div 4'!$T$81:$T$83</definedName>
    <definedName name="OSRRefT22_15x_0" localSheetId="2">Summary!$T$238</definedName>
    <definedName name="OSRRefT22_16x_0" localSheetId="48">'300'!$T$201:$T$203</definedName>
    <definedName name="OSRRefT22_16x_0" localSheetId="49">'300 &amp; 317'!$T$223:$T$225</definedName>
    <definedName name="OSRRefT22_16x_0" localSheetId="50">'301'!$T$70</definedName>
    <definedName name="OSRRefT22_16x_0" localSheetId="66">'310'!$T$76:$T$79</definedName>
    <definedName name="OSRRefT22_16x_0" localSheetId="74">'310 &amp; 491'!$T$90:$T$91</definedName>
    <definedName name="OSRRefT22_16x_0" localSheetId="60">'326'!$T$103</definedName>
    <definedName name="OSRRefT22_16x_0" localSheetId="58">'331'!$T$113:$T$115</definedName>
    <definedName name="OSRRefT22_16x_0" localSheetId="76">'405'!$T$76</definedName>
    <definedName name="OSRRefT22_16x_0" localSheetId="82">'415'!$T$78</definedName>
    <definedName name="OSRRefT22_16x_0" localSheetId="75">'491'!$T$88</definedName>
    <definedName name="OSRRefT22_16x_0" localSheetId="89">'492'!$T$83:$T$84</definedName>
    <definedName name="OSRRefT22_16x_0" localSheetId="39">'Div 2'!$T$75:$T$78</definedName>
    <definedName name="OSRRefT22_16x_0" localSheetId="47">'Div 3'!$T$207</definedName>
    <definedName name="OSRRefT22_16x_0" localSheetId="73">'Div 4'!$T$85:$T$86</definedName>
    <definedName name="OSRRefT22_16x_0" localSheetId="2">Summary!$T$240</definedName>
    <definedName name="OSRRefT22_17x_0" localSheetId="48">'300'!$T$205:$T$207</definedName>
    <definedName name="OSRRefT22_17x_0" localSheetId="49">'300 &amp; 317'!$T$227:$T$229</definedName>
    <definedName name="OSRRefT22_17x_0" localSheetId="50">'301'!$T$72:$T$76</definedName>
    <definedName name="OSRRefT22_17x_0" localSheetId="66">'310'!$T$81:$T$82</definedName>
    <definedName name="OSRRefT22_17x_0" localSheetId="74">'310 &amp; 491'!$T$93:$T$97</definedName>
    <definedName name="OSRRefT22_17x_0" localSheetId="60">'326'!$T$105</definedName>
    <definedName name="OSRRefT22_17x_0" localSheetId="58">'331'!$T$117</definedName>
    <definedName name="OSRRefT22_17x_0" localSheetId="82">'415'!$T$80</definedName>
    <definedName name="OSRRefT22_17x_0" localSheetId="75">'491'!$T$90:$T$97</definedName>
    <definedName name="OSRRefT22_17x_0" localSheetId="39">'Div 2'!$T$80:$T$81</definedName>
    <definedName name="OSRRefT22_17x_0" localSheetId="47">'Div 3'!$T$209:$T$211</definedName>
    <definedName name="OSRRefT22_17x_0" localSheetId="73">'Div 4'!$T$88:$T$92</definedName>
    <definedName name="OSRRefT22_17x_0" localSheetId="2">Summary!$T$242</definedName>
    <definedName name="OSRRefT22_18x_0" localSheetId="48">'300'!$T$209:$T$212</definedName>
    <definedName name="OSRRefT22_18x_0" localSheetId="49">'300 &amp; 317'!$T$231:$T$234</definedName>
    <definedName name="OSRRefT22_18x_0" localSheetId="50">'301'!$T$78</definedName>
    <definedName name="OSRRefT22_18x_0" localSheetId="66">'310'!$T$84:$T$90</definedName>
    <definedName name="OSRRefT22_18x_0" localSheetId="74">'310 &amp; 491'!$T$99:$T$100</definedName>
    <definedName name="OSRRefT22_18x_0" localSheetId="60">'326'!$T$107</definedName>
    <definedName name="OSRRefT22_18x_0" localSheetId="58">'331'!$T$119:$T$123</definedName>
    <definedName name="OSRRefT22_18x_0" localSheetId="75">'491'!$T$99</definedName>
    <definedName name="OSRRefT22_18x_0" localSheetId="39">'Div 2'!$T$83</definedName>
    <definedName name="OSRRefT22_18x_0" localSheetId="47">'Div 3'!$T$213:$T$215</definedName>
    <definedName name="OSRRefT22_18x_0" localSheetId="73">'Div 4'!$T$94</definedName>
    <definedName name="OSRRefT22_18x_0" localSheetId="2">Summary!$T$244:$T$246</definedName>
    <definedName name="OSRRefT22_19x_0" localSheetId="48">'300'!$T$214:$T$215</definedName>
    <definedName name="OSRRefT22_19x_0" localSheetId="49">'300 &amp; 317'!$T$236:$T$237</definedName>
    <definedName name="OSRRefT22_19x_0" localSheetId="50">'301'!$T$80</definedName>
    <definedName name="OSRRefT22_19x_0" localSheetId="66">'310'!$T$92</definedName>
    <definedName name="OSRRefT22_19x_0" localSheetId="74">'310 &amp; 491'!$T$102:$T$109</definedName>
    <definedName name="OSRRefT22_19x_0" localSheetId="58">'331'!$T$125</definedName>
    <definedName name="OSRRefT22_19x_0" localSheetId="75">'491'!$T$101</definedName>
    <definedName name="OSRRefT22_19x_0" localSheetId="39">'Div 2'!$T$85:$T$86</definedName>
    <definedName name="OSRRefT22_19x_0" localSheetId="47">'Div 3'!$T$217:$T$221</definedName>
    <definedName name="OSRRefT22_19x_0" localSheetId="73">'Div 4'!$T$96:$T$103</definedName>
    <definedName name="OSRRefT22_19x_0" localSheetId="2">Summary!$T$248:$T$250</definedName>
    <definedName name="OSRRefT22_1x_0" localSheetId="40">'200'!$T$22</definedName>
    <definedName name="OSRRefT22_1x_0" localSheetId="41">'201'!$T$30:$T$32</definedName>
    <definedName name="OSRRefT22_1x_0" localSheetId="42">'202'!$T$29:$T$32</definedName>
    <definedName name="OSRRefT22_1x_0" localSheetId="43">'203'!$T$30:$T$33</definedName>
    <definedName name="OSRRefT22_1x_0" localSheetId="44">'204'!$T$30:$T$34</definedName>
    <definedName name="OSRRefT22_1x_0" localSheetId="45">'205'!$T$29</definedName>
    <definedName name="OSRRefT22_1x_0" localSheetId="46">'206'!$T$29:$T$34</definedName>
    <definedName name="OSRRefT22_1x_0" localSheetId="48">'300'!$T$162:$T$168</definedName>
    <definedName name="OSRRefT22_1x_0" localSheetId="49">'300 &amp; 317'!$T$184:$T$190</definedName>
    <definedName name="OSRRefT22_1x_0" localSheetId="50">'301'!$T$29:$T$34</definedName>
    <definedName name="OSRRefT22_1x_0" localSheetId="51">'306'!$T$30:$T$34</definedName>
    <definedName name="OSRRefT22_1x_0" localSheetId="53">'307'!$T$73:$T$75</definedName>
    <definedName name="OSRRefT22_1x_0" localSheetId="55">'308'!$T$69:$T$73</definedName>
    <definedName name="OSRRefT22_1x_0" localSheetId="67">'309'!$T$33:$T$37</definedName>
    <definedName name="OSRRefT22_1x_0" localSheetId="66">'310'!$T$40:$T$45</definedName>
    <definedName name="OSRRefT22_1x_0" localSheetId="74">'310 &amp; 491'!$T$49:$T$55</definedName>
    <definedName name="OSRRefT22_1x_0" localSheetId="56">'311'!$T$68:$T$72</definedName>
    <definedName name="OSRRefT22_1x_0" localSheetId="68">'313'!$T$37:$T$41</definedName>
    <definedName name="OSRRefT22_1x_0" localSheetId="54">'314'!$T$63:$T$65</definedName>
    <definedName name="OSRRefT22_1x_0" localSheetId="59">'315'!$T$61:$T$65</definedName>
    <definedName name="OSRRefT22_1x_0" localSheetId="62">'316'!$T$41:$T$44</definedName>
    <definedName name="OSRRefT22_1x_0" localSheetId="65">'317'!$T$63:$T$66</definedName>
    <definedName name="OSRRefT22_1x_0" localSheetId="63">'320'!$T$37:$T$39</definedName>
    <definedName name="OSRRefT22_1x_0" localSheetId="69">'321'!$T$32:$T$36</definedName>
    <definedName name="OSRRefT22_1x_0" localSheetId="70">'322'!$T$33:$T$36</definedName>
    <definedName name="OSRRefT22_1x_0" localSheetId="71">'325'!$T$33:$T$37</definedName>
    <definedName name="OSRRefT22_1x_0" localSheetId="60">'326'!$T$65:$T$68</definedName>
    <definedName name="OSRRefT22_1x_0" localSheetId="72">'327'!$T$24</definedName>
    <definedName name="OSRRefT22_1x_0" localSheetId="52">'330'!$T$85:$T$87</definedName>
    <definedName name="OSRRefT22_1x_0" localSheetId="58">'331'!$T$77:$T$81</definedName>
    <definedName name="OSRRefT22_1x_0" localSheetId="61">'332'!$T$50:$T$53</definedName>
    <definedName name="OSRRefT22_1x_0" localSheetId="76">'405'!$T$33:$T$36</definedName>
    <definedName name="OSRRefT22_1x_0" localSheetId="77">'406'!$T$33:$T$37</definedName>
    <definedName name="OSRRefT22_1x_0" localSheetId="78">'411'!$T$30:$T$35</definedName>
    <definedName name="OSRRefT22_1x_0" localSheetId="79">'412'!$T$32:$T$37</definedName>
    <definedName name="OSRRefT22_1x_0" localSheetId="80">'413'!$T$33:$T$37</definedName>
    <definedName name="OSRRefT22_1x_0" localSheetId="81">'414'!$T$33:$T$37</definedName>
    <definedName name="OSRRefT22_1x_0" localSheetId="82">'415'!$T$33:$T$37</definedName>
    <definedName name="OSRRefT22_1x_0" localSheetId="83">'418'!$T$33:$T$38</definedName>
    <definedName name="OSRRefT22_1x_0" localSheetId="85">'423'!$T$30</definedName>
    <definedName name="OSRRefT22_1x_0" localSheetId="86">'424'!$T$28:$T$31</definedName>
    <definedName name="OSRRefT22_1x_0" localSheetId="87">'425'!$T$34:$T$38</definedName>
    <definedName name="OSRRefT22_1x_0" localSheetId="90">'430'!$T$29</definedName>
    <definedName name="OSRRefT22_1x_0" localSheetId="91">'433'!$T$36:$T$41</definedName>
    <definedName name="OSRRefT22_1x_0" localSheetId="92">'435'!$T$28:$T$29</definedName>
    <definedName name="OSRRefT22_1x_0" localSheetId="93">'444'!$T$35:$T$40</definedName>
    <definedName name="OSRRefT22_1x_0" localSheetId="95">'450'!$T$35:$T$40</definedName>
    <definedName name="OSRRefT22_1x_0" localSheetId="88">'455'!$T$28:$T$29</definedName>
    <definedName name="OSRRefT22_1x_0" localSheetId="75">'491'!$T$42:$T$48</definedName>
    <definedName name="OSRRefT22_1x_0" localSheetId="89">'492'!$T$38:$T$44</definedName>
    <definedName name="OSRRefT22_1x_0" localSheetId="97">'501'!$T$30:$T$35</definedName>
    <definedName name="OSRRefT22_1x_0" localSheetId="39">'Div 2'!$T$32:$T$38</definedName>
    <definedName name="OSRRefT22_1x_0" localSheetId="47">'Div 3'!$T$168:$T$174</definedName>
    <definedName name="OSRRefT22_1x_0" localSheetId="73">'Div 4'!$T$44:$T$50</definedName>
    <definedName name="OSRRefT22_1x_0" localSheetId="96">'Div 5'!$T$30:$T$35</definedName>
    <definedName name="OSRRefT22_1x_0" localSheetId="64">'Div 6'!$T$63:$T$66</definedName>
    <definedName name="OSRRefT22_1x_0" localSheetId="2">Summary!$T$199:$T$205</definedName>
    <definedName name="OSRRefT22_20x_0" localSheetId="48">'300'!$T$217:$T$222</definedName>
    <definedName name="OSRRefT22_20x_0" localSheetId="49">'300 &amp; 317'!$T$239:$T$244</definedName>
    <definedName name="OSRRefT22_20x_0" localSheetId="50">'301'!$T$82:$T$83</definedName>
    <definedName name="OSRRefT22_20x_0" localSheetId="66">'310'!$T$94</definedName>
    <definedName name="OSRRefT22_20x_0" localSheetId="74">'310 &amp; 491'!$T$111</definedName>
    <definedName name="OSRRefT22_20x_0" localSheetId="58">'331'!$T$127</definedName>
    <definedName name="OSRRefT22_20x_0" localSheetId="75">'491'!$T$103:$T$105</definedName>
    <definedName name="OSRRefT22_20x_0" localSheetId="47">'Div 3'!$T$223:$T$224</definedName>
    <definedName name="OSRRefT22_20x_0" localSheetId="73">'Div 4'!$T$105</definedName>
    <definedName name="OSRRefT22_20x_0" localSheetId="2">Summary!$T$252:$T$256</definedName>
    <definedName name="OSRRefT22_21x_0" localSheetId="48">'300'!$T$224:$T$225</definedName>
    <definedName name="OSRRefT22_21x_0" localSheetId="49">'300 &amp; 317'!$T$246:$T$247</definedName>
    <definedName name="OSRRefT22_21x_0" localSheetId="50">'301'!$T$85</definedName>
    <definedName name="OSRRefT22_21x_0" localSheetId="66">'310'!$T$96</definedName>
    <definedName name="OSRRefT22_21x_0" localSheetId="74">'310 &amp; 491'!$T$113</definedName>
    <definedName name="OSRRefT22_21x_0" localSheetId="58">'331'!$T$129</definedName>
    <definedName name="OSRRefT22_21x_0" localSheetId="75">'491'!$T$107</definedName>
    <definedName name="OSRRefT22_21x_0" localSheetId="47">'Div 3'!$T$226:$T$232</definedName>
    <definedName name="OSRRefT22_21x_0" localSheetId="73">'Div 4'!$T$107</definedName>
    <definedName name="OSRRefT22_21x_0" localSheetId="2">Summary!$T$258:$T$259</definedName>
    <definedName name="OSRRefT22_22x_0" localSheetId="48">'300'!$T$227</definedName>
    <definedName name="OSRRefT22_22x_0" localSheetId="49">'300 &amp; 317'!$T$249</definedName>
    <definedName name="OSRRefT22_22x_0" localSheetId="74">'310 &amp; 491'!$T$115:$T$117</definedName>
    <definedName name="OSRRefT22_22x_0" localSheetId="58">'331'!$T$131</definedName>
    <definedName name="OSRRefT22_22x_0" localSheetId="47">'Div 3'!$T$234:$T$235</definedName>
    <definedName name="OSRRefT22_22x_0" localSheetId="73">'Div 4'!$T$109:$T$111</definedName>
    <definedName name="OSRRefT22_22x_0" localSheetId="2">Summary!$T$261:$T$268</definedName>
    <definedName name="OSRRefT22_23x_0" localSheetId="48">'300'!$T$229:$T$231</definedName>
    <definedName name="OSRRefT22_23x_0" localSheetId="49">'300 &amp; 317'!$T$251:$T$253</definedName>
    <definedName name="OSRRefT22_23x_0" localSheetId="74">'310 &amp; 491'!$T$119</definedName>
    <definedName name="OSRRefT22_23x_0" localSheetId="47">'Div 3'!$T$237</definedName>
    <definedName name="OSRRefT22_23x_0" localSheetId="73">'Div 4'!$T$113</definedName>
    <definedName name="OSRRefT22_23x_0" localSheetId="2">Summary!$T$270:$T$271</definedName>
    <definedName name="OSRRefT22_24x_0" localSheetId="48">'300'!$T$233</definedName>
    <definedName name="OSRRefT22_24x_0" localSheetId="49">'300 &amp; 317'!$T$255</definedName>
    <definedName name="OSRRefT22_24x_0" localSheetId="47">'Div 3'!$T$239:$T$241</definedName>
    <definedName name="OSRRefT22_24x_0" localSheetId="2">Summary!$T$273</definedName>
    <definedName name="OSRRefT22_25x_0" localSheetId="47">'Div 3'!$T$243</definedName>
    <definedName name="OSRRefT22_25x_0" localSheetId="2">Summary!$T$275:$T$277</definedName>
    <definedName name="OSRRefT22_26x_0" localSheetId="2">Summary!$T$279</definedName>
    <definedName name="OSRRefT22_2x_0" localSheetId="40">'200'!$T$24</definedName>
    <definedName name="OSRRefT22_2x_0" localSheetId="41">'201'!$T$34</definedName>
    <definedName name="OSRRefT22_2x_0" localSheetId="42">'202'!$T$34</definedName>
    <definedName name="OSRRefT22_2x_0" localSheetId="43">'203'!$T$35</definedName>
    <definedName name="OSRRefT22_2x_0" localSheetId="44">'204'!$T$36</definedName>
    <definedName name="OSRRefT22_2x_0" localSheetId="45">'205'!$T$31</definedName>
    <definedName name="OSRRefT22_2x_0" localSheetId="46">'206'!$T$36</definedName>
    <definedName name="OSRRefT22_2x_0" localSheetId="48">'300'!$T$170</definedName>
    <definedName name="OSRRefT22_2x_0" localSheetId="49">'300 &amp; 317'!$T$192</definedName>
    <definedName name="OSRRefT22_2x_0" localSheetId="50">'301'!$T$36</definedName>
    <definedName name="OSRRefT22_2x_0" localSheetId="51">'306'!$T$36</definedName>
    <definedName name="OSRRefT22_2x_0" localSheetId="53">'307'!$T$77</definedName>
    <definedName name="OSRRefT22_2x_0" localSheetId="55">'308'!$T$75</definedName>
    <definedName name="OSRRefT22_2x_0" localSheetId="67">'309'!$T$39</definedName>
    <definedName name="OSRRefT22_2x_0" localSheetId="66">'310'!$T$47</definedName>
    <definedName name="OSRRefT22_2x_0" localSheetId="74">'310 &amp; 491'!$T$57</definedName>
    <definedName name="OSRRefT22_2x_0" localSheetId="56">'311'!$T$74</definedName>
    <definedName name="OSRRefT22_2x_0" localSheetId="68">'313'!$T$43</definedName>
    <definedName name="OSRRefT22_2x_0" localSheetId="54">'314'!$T$67</definedName>
    <definedName name="OSRRefT22_2x_0" localSheetId="59">'315'!$T$67</definedName>
    <definedName name="OSRRefT22_2x_0" localSheetId="62">'316'!$T$46</definedName>
    <definedName name="OSRRefT22_2x_0" localSheetId="65">'317'!$T$68</definedName>
    <definedName name="OSRRefT22_2x_0" localSheetId="63">'320'!$T$41</definedName>
    <definedName name="OSRRefT22_2x_0" localSheetId="69">'321'!$T$38</definedName>
    <definedName name="OSRRefT22_2x_0" localSheetId="70">'322'!$T$38</definedName>
    <definedName name="OSRRefT22_2x_0" localSheetId="71">'325'!$T$39</definedName>
    <definedName name="OSRRefT22_2x_0" localSheetId="60">'326'!$T$70</definedName>
    <definedName name="OSRRefT22_2x_0" localSheetId="52">'330'!$T$89</definedName>
    <definedName name="OSRRefT22_2x_0" localSheetId="58">'331'!$T$83</definedName>
    <definedName name="OSRRefT22_2x_0" localSheetId="61">'332'!$T$55</definedName>
    <definedName name="OSRRefT22_2x_0" localSheetId="76">'405'!$T$38</definedName>
    <definedName name="OSRRefT22_2x_0" localSheetId="77">'406'!$T$39</definedName>
    <definedName name="OSRRefT22_2x_0" localSheetId="78">'411'!$T$37</definedName>
    <definedName name="OSRRefT22_2x_0" localSheetId="79">'412'!$T$39</definedName>
    <definedName name="OSRRefT22_2x_0" localSheetId="80">'413'!$T$39</definedName>
    <definedName name="OSRRefT22_2x_0" localSheetId="81">'414'!$T$39</definedName>
    <definedName name="OSRRefT22_2x_0" localSheetId="82">'415'!$T$39</definedName>
    <definedName name="OSRRefT22_2x_0" localSheetId="83">'418'!$T$40</definedName>
    <definedName name="OSRRefT22_2x_0" localSheetId="85">'423'!$T$32</definedName>
    <definedName name="OSRRefT22_2x_0" localSheetId="86">'424'!$T$33</definedName>
    <definedName name="OSRRefT22_2x_0" localSheetId="87">'425'!$T$40</definedName>
    <definedName name="OSRRefT22_2x_0" localSheetId="90">'430'!$T$31</definedName>
    <definedName name="OSRRefT22_2x_0" localSheetId="91">'433'!$T$43</definedName>
    <definedName name="OSRRefT22_2x_0" localSheetId="92">'435'!$T$31</definedName>
    <definedName name="OSRRefT22_2x_0" localSheetId="93">'444'!$T$42</definedName>
    <definedName name="OSRRefT22_2x_0" localSheetId="95">'450'!$T$42</definedName>
    <definedName name="OSRRefT22_2x_0" localSheetId="75">'491'!$T$50</definedName>
    <definedName name="OSRRefT22_2x_0" localSheetId="89">'492'!$T$46</definedName>
    <definedName name="OSRRefT22_2x_0" localSheetId="97">'501'!$T$37</definedName>
    <definedName name="OSRRefT22_2x_0" localSheetId="39">'Div 2'!$T$40</definedName>
    <definedName name="OSRRefT22_2x_0" localSheetId="47">'Div 3'!$T$176</definedName>
    <definedName name="OSRRefT22_2x_0" localSheetId="73">'Div 4'!$T$52</definedName>
    <definedName name="OSRRefT22_2x_0" localSheetId="96">'Div 5'!$T$37</definedName>
    <definedName name="OSRRefT22_2x_0" localSheetId="64">'Div 6'!$T$68</definedName>
    <definedName name="OSRRefT22_2x_0" localSheetId="2">Summary!$T$207</definedName>
    <definedName name="OSRRefT22_3x_0" localSheetId="40">'200'!$T$26</definedName>
    <definedName name="OSRRefT22_3x_0" localSheetId="41">'201'!$T$36</definedName>
    <definedName name="OSRRefT22_3x_0" localSheetId="42">'202'!$T$36</definedName>
    <definedName name="OSRRefT22_3x_0" localSheetId="43">'203'!$T$37</definedName>
    <definedName name="OSRRefT22_3x_0" localSheetId="44">'204'!$T$38:$T$39</definedName>
    <definedName name="OSRRefT22_3x_0" localSheetId="45">'205'!$T$33</definedName>
    <definedName name="OSRRefT22_3x_0" localSheetId="46">'206'!$T$38</definedName>
    <definedName name="OSRRefT22_3x_0" localSheetId="48">'300'!$T$172</definedName>
    <definedName name="OSRRefT22_3x_0" localSheetId="49">'300 &amp; 317'!$T$194</definedName>
    <definedName name="OSRRefT22_3x_0" localSheetId="50">'301'!$T$38</definedName>
    <definedName name="OSRRefT22_3x_0" localSheetId="51">'306'!$T$38</definedName>
    <definedName name="OSRRefT22_3x_0" localSheetId="53">'307'!$T$79</definedName>
    <definedName name="OSRRefT22_3x_0" localSheetId="55">'308'!$T$77:$T$78</definedName>
    <definedName name="OSRRefT22_3x_0" localSheetId="67">'309'!$T$41</definedName>
    <definedName name="OSRRefT22_3x_0" localSheetId="66">'310'!$T$49</definedName>
    <definedName name="OSRRefT22_3x_0" localSheetId="74">'310 &amp; 491'!$T$59</definedName>
    <definedName name="OSRRefT22_3x_0" localSheetId="56">'311'!$T$76:$T$77</definedName>
    <definedName name="OSRRefT22_3x_0" localSheetId="68">'313'!$T$45</definedName>
    <definedName name="OSRRefT22_3x_0" localSheetId="54">'314'!$T$69:$T$70</definedName>
    <definedName name="OSRRefT22_3x_0" localSheetId="59">'315'!$T$69</definedName>
    <definedName name="OSRRefT22_3x_0" localSheetId="62">'316'!$T$48</definedName>
    <definedName name="OSRRefT22_3x_0" localSheetId="65">'317'!$T$70</definedName>
    <definedName name="OSRRefT22_3x_0" localSheetId="63">'320'!$T$43:$T$44</definedName>
    <definedName name="OSRRefT22_3x_0" localSheetId="69">'321'!$T$40</definedName>
    <definedName name="OSRRefT22_3x_0" localSheetId="70">'322'!$T$40</definedName>
    <definedName name="OSRRefT22_3x_0" localSheetId="71">'325'!$T$41</definedName>
    <definedName name="OSRRefT22_3x_0" localSheetId="60">'326'!$T$72</definedName>
    <definedName name="OSRRefT22_3x_0" localSheetId="52">'330'!$T$91</definedName>
    <definedName name="OSRRefT22_3x_0" localSheetId="58">'331'!$T$85</definedName>
    <definedName name="OSRRefT22_3x_0" localSheetId="61">'332'!$T$57</definedName>
    <definedName name="OSRRefT22_3x_0" localSheetId="76">'405'!$T$40</definedName>
    <definedName name="OSRRefT22_3x_0" localSheetId="77">'406'!$T$41</definedName>
    <definedName name="OSRRefT22_3x_0" localSheetId="78">'411'!$T$39:$T$41</definedName>
    <definedName name="OSRRefT22_3x_0" localSheetId="79">'412'!$T$41</definedName>
    <definedName name="OSRRefT22_3x_0" localSheetId="80">'413'!$T$41</definedName>
    <definedName name="OSRRefT22_3x_0" localSheetId="81">'414'!$T$41</definedName>
    <definedName name="OSRRefT22_3x_0" localSheetId="82">'415'!$T$41</definedName>
    <definedName name="OSRRefT22_3x_0" localSheetId="83">'418'!$T$42</definedName>
    <definedName name="OSRRefT22_3x_0" localSheetId="85">'423'!$T$34</definedName>
    <definedName name="OSRRefT22_3x_0" localSheetId="86">'424'!$T$35</definedName>
    <definedName name="OSRRefT22_3x_0" localSheetId="87">'425'!$T$42</definedName>
    <definedName name="OSRRefT22_3x_0" localSheetId="90">'430'!$T$33</definedName>
    <definedName name="OSRRefT22_3x_0" localSheetId="91">'433'!$T$45</definedName>
    <definedName name="OSRRefT22_3x_0" localSheetId="92">'435'!$T$33</definedName>
    <definedName name="OSRRefT22_3x_0" localSheetId="93">'444'!$T$44</definedName>
    <definedName name="OSRRefT22_3x_0" localSheetId="95">'450'!$T$44</definedName>
    <definedName name="OSRRefT22_3x_0" localSheetId="75">'491'!$T$52</definedName>
    <definedName name="OSRRefT22_3x_0" localSheetId="89">'492'!$T$48</definedName>
    <definedName name="OSRRefT22_3x_0" localSheetId="97">'501'!$T$39</definedName>
    <definedName name="OSRRefT22_3x_0" localSheetId="39">'Div 2'!$T$42</definedName>
    <definedName name="OSRRefT22_3x_0" localSheetId="47">'Div 3'!$T$178</definedName>
    <definedName name="OSRRefT22_3x_0" localSheetId="73">'Div 4'!$T$54</definedName>
    <definedName name="OSRRefT22_3x_0" localSheetId="96">'Div 5'!$T$39</definedName>
    <definedName name="OSRRefT22_3x_0" localSheetId="64">'Div 6'!$T$70</definedName>
    <definedName name="OSRRefT22_3x_0" localSheetId="2">Summary!$T$209</definedName>
    <definedName name="OSRRefT22_4x_0" localSheetId="41">'201'!$T$38</definedName>
    <definedName name="OSRRefT22_4x_0" localSheetId="42">'202'!$T$38</definedName>
    <definedName name="OSRRefT22_4x_0" localSheetId="43">'203'!$T$39</definedName>
    <definedName name="OSRRefT22_4x_0" localSheetId="44">'204'!$T$41</definedName>
    <definedName name="OSRRefT22_4x_0" localSheetId="45">'205'!$T$35:$T$36</definedName>
    <definedName name="OSRRefT22_4x_0" localSheetId="46">'206'!$T$40:$T$41</definedName>
    <definedName name="OSRRefT22_4x_0" localSheetId="48">'300'!$T$174</definedName>
    <definedName name="OSRRefT22_4x_0" localSheetId="49">'300 &amp; 317'!$T$196</definedName>
    <definedName name="OSRRefT22_4x_0" localSheetId="50">'301'!$T$40</definedName>
    <definedName name="OSRRefT22_4x_0" localSheetId="51">'306'!$T$40</definedName>
    <definedName name="OSRRefT22_4x_0" localSheetId="53">'307'!$T$81:$T$82</definedName>
    <definedName name="OSRRefT22_4x_0" localSheetId="55">'308'!$T$80</definedName>
    <definedName name="OSRRefT22_4x_0" localSheetId="67">'309'!$T$43</definedName>
    <definedName name="OSRRefT22_4x_0" localSheetId="66">'310'!$T$51</definedName>
    <definedName name="OSRRefT22_4x_0" localSheetId="74">'310 &amp; 491'!$T$61</definedName>
    <definedName name="OSRRefT22_4x_0" localSheetId="56">'311'!$T$79</definedName>
    <definedName name="OSRRefT22_4x_0" localSheetId="68">'313'!$T$47</definedName>
    <definedName name="OSRRefT22_4x_0" localSheetId="54">'314'!$T$72</definedName>
    <definedName name="OSRRefT22_4x_0" localSheetId="59">'315'!$T$71</definedName>
    <definedName name="OSRRefT22_4x_0" localSheetId="62">'316'!$T$50</definedName>
    <definedName name="OSRRefT22_4x_0" localSheetId="65">'317'!$T$72</definedName>
    <definedName name="OSRRefT22_4x_0" localSheetId="63">'320'!$T$46</definedName>
    <definedName name="OSRRefT22_4x_0" localSheetId="69">'321'!$T$42</definedName>
    <definedName name="OSRRefT22_4x_0" localSheetId="70">'322'!$T$42</definedName>
    <definedName name="OSRRefT22_4x_0" localSheetId="71">'325'!$T$43</definedName>
    <definedName name="OSRRefT22_4x_0" localSheetId="60">'326'!$T$74</definedName>
    <definedName name="OSRRefT22_4x_0" localSheetId="52">'330'!$T$93:$T$94</definedName>
    <definedName name="OSRRefT22_4x_0" localSheetId="58">'331'!$T$87</definedName>
    <definedName name="OSRRefT22_4x_0" localSheetId="61">'332'!$T$59</definedName>
    <definedName name="OSRRefT22_4x_0" localSheetId="76">'405'!$T$42</definedName>
    <definedName name="OSRRefT22_4x_0" localSheetId="77">'406'!$T$43</definedName>
    <definedName name="OSRRefT22_4x_0" localSheetId="78">'411'!$T$43</definedName>
    <definedName name="OSRRefT22_4x_0" localSheetId="79">'412'!$T$43</definedName>
    <definedName name="OSRRefT22_4x_0" localSheetId="80">'413'!$T$43</definedName>
    <definedName name="OSRRefT22_4x_0" localSheetId="81">'414'!$T$43</definedName>
    <definedName name="OSRRefT22_4x_0" localSheetId="82">'415'!$T$43</definedName>
    <definedName name="OSRRefT22_4x_0" localSheetId="83">'418'!$T$44</definedName>
    <definedName name="OSRRefT22_4x_0" localSheetId="85">'423'!$T$36</definedName>
    <definedName name="OSRRefT22_4x_0" localSheetId="86">'424'!$T$37</definedName>
    <definedName name="OSRRefT22_4x_0" localSheetId="87">'425'!$T$44</definedName>
    <definedName name="OSRRefT22_4x_0" localSheetId="90">'430'!$T$35:$T$36</definedName>
    <definedName name="OSRRefT22_4x_0" localSheetId="91">'433'!$T$47</definedName>
    <definedName name="OSRRefT22_4x_0" localSheetId="92">'435'!$T$35</definedName>
    <definedName name="OSRRefT22_4x_0" localSheetId="93">'444'!$T$46</definedName>
    <definedName name="OSRRefT22_4x_0" localSheetId="95">'450'!$T$46</definedName>
    <definedName name="OSRRefT22_4x_0" localSheetId="75">'491'!$T$54</definedName>
    <definedName name="OSRRefT22_4x_0" localSheetId="89">'492'!$T$50</definedName>
    <definedName name="OSRRefT22_4x_0" localSheetId="97">'501'!$T$41</definedName>
    <definedName name="OSRRefT22_4x_0" localSheetId="39">'Div 2'!$T$44</definedName>
    <definedName name="OSRRefT22_4x_0" localSheetId="47">'Div 3'!$T$180</definedName>
    <definedName name="OSRRefT22_4x_0" localSheetId="73">'Div 4'!$T$56</definedName>
    <definedName name="OSRRefT22_4x_0" localSheetId="96">'Div 5'!$T$41</definedName>
    <definedName name="OSRRefT22_4x_0" localSheetId="64">'Div 6'!$T$72</definedName>
    <definedName name="OSRRefT22_4x_0" localSheetId="2">Summary!$T$211</definedName>
    <definedName name="OSRRefT22_5x_0" localSheetId="41">'201'!$T$40</definedName>
    <definedName name="OSRRefT22_5x_0" localSheetId="42">'202'!$T$40</definedName>
    <definedName name="OSRRefT22_5x_0" localSheetId="43">'203'!$T$41</definedName>
    <definedName name="OSRRefT22_5x_0" localSheetId="44">'204'!$T$43</definedName>
    <definedName name="OSRRefT22_5x_0" localSheetId="45">'205'!$T$38</definedName>
    <definedName name="OSRRefT22_5x_0" localSheetId="46">'206'!$T$43</definedName>
    <definedName name="OSRRefT22_5x_0" localSheetId="48">'300'!$T$176:$T$177</definedName>
    <definedName name="OSRRefT22_5x_0" localSheetId="49">'300 &amp; 317'!$T$198:$T$199</definedName>
    <definedName name="OSRRefT22_5x_0" localSheetId="50">'301'!$T$42:$T$43</definedName>
    <definedName name="OSRRefT22_5x_0" localSheetId="51">'306'!$T$42:$T$44</definedName>
    <definedName name="OSRRefT22_5x_0" localSheetId="53">'307'!$T$84</definedName>
    <definedName name="OSRRefT22_5x_0" localSheetId="55">'308'!$T$82</definedName>
    <definedName name="OSRRefT22_5x_0" localSheetId="67">'309'!$T$45</definedName>
    <definedName name="OSRRefT22_5x_0" localSheetId="66">'310'!$T$53:$T$54</definedName>
    <definedName name="OSRRefT22_5x_0" localSheetId="74">'310 &amp; 491'!$T$63:$T$65</definedName>
    <definedName name="OSRRefT22_5x_0" localSheetId="56">'311'!$T$81</definedName>
    <definedName name="OSRRefT22_5x_0" localSheetId="68">'313'!$T$49</definedName>
    <definedName name="OSRRefT22_5x_0" localSheetId="54">'314'!$T$74:$T$75</definedName>
    <definedName name="OSRRefT22_5x_0" localSheetId="59">'315'!$T$73</definedName>
    <definedName name="OSRRefT22_5x_0" localSheetId="62">'316'!$T$52</definedName>
    <definedName name="OSRRefT22_5x_0" localSheetId="65">'317'!$T$74</definedName>
    <definedName name="OSRRefT22_5x_0" localSheetId="63">'320'!$T$48:$T$49</definedName>
    <definedName name="OSRRefT22_5x_0" localSheetId="69">'321'!$T$44</definedName>
    <definedName name="OSRRefT22_5x_0" localSheetId="70">'322'!$T$44</definedName>
    <definedName name="OSRRefT22_5x_0" localSheetId="71">'325'!$T$45:$T$46</definedName>
    <definedName name="OSRRefT22_5x_0" localSheetId="60">'326'!$T$76</definedName>
    <definedName name="OSRRefT22_5x_0" localSheetId="52">'330'!$T$96</definedName>
    <definedName name="OSRRefT22_5x_0" localSheetId="58">'331'!$T$89</definedName>
    <definedName name="OSRRefT22_5x_0" localSheetId="61">'332'!$T$61:$T$62</definedName>
    <definedName name="OSRRefT22_5x_0" localSheetId="76">'405'!$T$44:$T$45</definedName>
    <definedName name="OSRRefT22_5x_0" localSheetId="77">'406'!$T$45</definedName>
    <definedName name="OSRRefT22_5x_0" localSheetId="78">'411'!$T$45</definedName>
    <definedName name="OSRRefT22_5x_0" localSheetId="79">'412'!$T$45</definedName>
    <definedName name="OSRRefT22_5x_0" localSheetId="80">'413'!$T$45</definedName>
    <definedName name="OSRRefT22_5x_0" localSheetId="81">'414'!$T$45</definedName>
    <definedName name="OSRRefT22_5x_0" localSheetId="82">'415'!$T$45:$T$46</definedName>
    <definedName name="OSRRefT22_5x_0" localSheetId="83">'418'!$T$46:$T$47</definedName>
    <definedName name="OSRRefT22_5x_0" localSheetId="85">'423'!$T$38</definedName>
    <definedName name="OSRRefT22_5x_0" localSheetId="86">'424'!$T$39</definedName>
    <definedName name="OSRRefT22_5x_0" localSheetId="87">'425'!$T$46</definedName>
    <definedName name="OSRRefT22_5x_0" localSheetId="90">'430'!$T$38</definedName>
    <definedName name="OSRRefT22_5x_0" localSheetId="91">'433'!$T$49</definedName>
    <definedName name="OSRRefT22_5x_0" localSheetId="92">'435'!$T$37</definedName>
    <definedName name="OSRRefT22_5x_0" localSheetId="93">'444'!$T$48</definedName>
    <definedName name="OSRRefT22_5x_0" localSheetId="95">'450'!$T$48</definedName>
    <definedName name="OSRRefT22_5x_0" localSheetId="75">'491'!$T$56:$T$58</definedName>
    <definedName name="OSRRefT22_5x_0" localSheetId="89">'492'!$T$52</definedName>
    <definedName name="OSRRefT22_5x_0" localSheetId="97">'501'!$T$43</definedName>
    <definedName name="OSRRefT22_5x_0" localSheetId="39">'Div 2'!$T$46:$T$47</definedName>
    <definedName name="OSRRefT22_5x_0" localSheetId="47">'Div 3'!$T$182:$T$183</definedName>
    <definedName name="OSRRefT22_5x_0" localSheetId="73">'Div 4'!$T$58:$T$60</definedName>
    <definedName name="OSRRefT22_5x_0" localSheetId="96">'Div 5'!$T$43</definedName>
    <definedName name="OSRRefT22_5x_0" localSheetId="64">'Div 6'!$T$74</definedName>
    <definedName name="OSRRefT22_5x_0" localSheetId="2">Summary!$T$213:$T$215</definedName>
    <definedName name="OSRRefT22_6x_0" localSheetId="41">'201'!$T$42</definedName>
    <definedName name="OSRRefT22_6x_0" localSheetId="42">'202'!$T$42</definedName>
    <definedName name="OSRRefT22_6x_0" localSheetId="43">'203'!$T$43</definedName>
    <definedName name="OSRRefT22_6x_0" localSheetId="44">'204'!$T$45:$T$47</definedName>
    <definedName name="OSRRefT22_6x_0" localSheetId="45">'205'!$T$40:$T$41</definedName>
    <definedName name="OSRRefT22_6x_0" localSheetId="46">'206'!$T$45</definedName>
    <definedName name="OSRRefT22_6x_0" localSheetId="48">'300'!$T$179:$T$180</definedName>
    <definedName name="OSRRefT22_6x_0" localSheetId="49">'300 &amp; 317'!$T$201:$T$202</definedName>
    <definedName name="OSRRefT22_6x_0" localSheetId="50">'301'!$T$45:$T$46</definedName>
    <definedName name="OSRRefT22_6x_0" localSheetId="51">'306'!$T$46</definedName>
    <definedName name="OSRRefT22_6x_0" localSheetId="53">'307'!$T$86</definedName>
    <definedName name="OSRRefT22_6x_0" localSheetId="55">'308'!$T$84:$T$85</definedName>
    <definedName name="OSRRefT22_6x_0" localSheetId="67">'309'!$T$47</definedName>
    <definedName name="OSRRefT22_6x_0" localSheetId="66">'310'!$T$56</definedName>
    <definedName name="OSRRefT22_6x_0" localSheetId="74">'310 &amp; 491'!$T$67</definedName>
    <definedName name="OSRRefT22_6x_0" localSheetId="56">'311'!$T$83:$T$84</definedName>
    <definedName name="OSRRefT22_6x_0" localSheetId="68">'313'!$T$51</definedName>
    <definedName name="OSRRefT22_6x_0" localSheetId="54">'314'!$T$77</definedName>
    <definedName name="OSRRefT22_6x_0" localSheetId="59">'315'!$T$75</definedName>
    <definedName name="OSRRefT22_6x_0" localSheetId="62">'316'!$T$54</definedName>
    <definedName name="OSRRefT22_6x_0" localSheetId="65">'317'!$T$76</definedName>
    <definedName name="OSRRefT22_6x_0" localSheetId="63">'320'!$T$51</definedName>
    <definedName name="OSRRefT22_6x_0" localSheetId="69">'321'!$T$46</definedName>
    <definedName name="OSRRefT22_6x_0" localSheetId="70">'322'!$T$46</definedName>
    <definedName name="OSRRefT22_6x_0" localSheetId="71">'325'!$T$48</definedName>
    <definedName name="OSRRefT22_6x_0" localSheetId="60">'326'!$T$78</definedName>
    <definedName name="OSRRefT22_6x_0" localSheetId="52">'330'!$T$98</definedName>
    <definedName name="OSRRefT22_6x_0" localSheetId="58">'331'!$T$91</definedName>
    <definedName name="OSRRefT22_6x_0" localSheetId="61">'332'!$T$64</definedName>
    <definedName name="OSRRefT22_6x_0" localSheetId="76">'405'!$T$47</definedName>
    <definedName name="OSRRefT22_6x_0" localSheetId="77">'406'!$T$47</definedName>
    <definedName name="OSRRefT22_6x_0" localSheetId="78">'411'!$T$47</definedName>
    <definedName name="OSRRefT22_6x_0" localSheetId="79">'412'!$T$47</definedName>
    <definedName name="OSRRefT22_6x_0" localSheetId="80">'413'!$T$47</definedName>
    <definedName name="OSRRefT22_6x_0" localSheetId="81">'414'!$T$47</definedName>
    <definedName name="OSRRefT22_6x_0" localSheetId="82">'415'!$T$48</definedName>
    <definedName name="OSRRefT22_6x_0" localSheetId="83">'418'!$T$49</definedName>
    <definedName name="OSRRefT22_6x_0" localSheetId="86">'424'!$T$41</definedName>
    <definedName name="OSRRefT22_6x_0" localSheetId="87">'425'!$T$48</definedName>
    <definedName name="OSRRefT22_6x_0" localSheetId="90">'430'!$T$40</definedName>
    <definedName name="OSRRefT22_6x_0" localSheetId="91">'433'!$T$51</definedName>
    <definedName name="OSRRefT22_6x_0" localSheetId="92">'435'!$T$39:$T$40</definedName>
    <definedName name="OSRRefT22_6x_0" localSheetId="93">'444'!$T$50</definedName>
    <definedName name="OSRRefT22_6x_0" localSheetId="95">'450'!$T$50</definedName>
    <definedName name="OSRRefT22_6x_0" localSheetId="75">'491'!$T$60</definedName>
    <definedName name="OSRRefT22_6x_0" localSheetId="89">'492'!$T$54</definedName>
    <definedName name="OSRRefT22_6x_0" localSheetId="97">'501'!$T$45</definedName>
    <definedName name="OSRRefT22_6x_0" localSheetId="39">'Div 2'!$T$49</definedName>
    <definedName name="OSRRefT22_6x_0" localSheetId="47">'Div 3'!$T$185:$T$186</definedName>
    <definedName name="OSRRefT22_6x_0" localSheetId="73">'Div 4'!$T$62</definedName>
    <definedName name="OSRRefT22_6x_0" localSheetId="96">'Div 5'!$T$45</definedName>
    <definedName name="OSRRefT22_6x_0" localSheetId="64">'Div 6'!$T$76</definedName>
    <definedName name="OSRRefT22_6x_0" localSheetId="2">Summary!$T$217:$T$218</definedName>
    <definedName name="OSRRefT22_7x_0" localSheetId="41">'201'!$T$44</definedName>
    <definedName name="OSRRefT22_7x_0" localSheetId="42">'202'!$T$44</definedName>
    <definedName name="OSRRefT22_7x_0" localSheetId="43">'203'!$T$45</definedName>
    <definedName name="OSRRefT22_7x_0" localSheetId="44">'204'!$T$49:$T$50</definedName>
    <definedName name="OSRRefT22_7x_0" localSheetId="45">'205'!$T$43</definedName>
    <definedName name="OSRRefT22_7x_0" localSheetId="48">'300'!$T$182</definedName>
    <definedName name="OSRRefT22_7x_0" localSheetId="49">'300 &amp; 317'!$T$204</definedName>
    <definedName name="OSRRefT22_7x_0" localSheetId="50">'301'!$T$48</definedName>
    <definedName name="OSRRefT22_7x_0" localSheetId="51">'306'!$T$48</definedName>
    <definedName name="OSRRefT22_7x_0" localSheetId="53">'307'!$T$88</definedName>
    <definedName name="OSRRefT22_7x_0" localSheetId="55">'308'!$T$87</definedName>
    <definedName name="OSRRefT22_7x_0" localSheetId="67">'309'!$T$49</definedName>
    <definedName name="OSRRefT22_7x_0" localSheetId="66">'310'!$T$58</definedName>
    <definedName name="OSRRefT22_7x_0" localSheetId="74">'310 &amp; 491'!$T$69</definedName>
    <definedName name="OSRRefT22_7x_0" localSheetId="56">'311'!$T$86</definedName>
    <definedName name="OSRRefT22_7x_0" localSheetId="68">'313'!$T$53</definedName>
    <definedName name="OSRRefT22_7x_0" localSheetId="59">'315'!$T$77</definedName>
    <definedName name="OSRRefT22_7x_0" localSheetId="62">'316'!$T$56:$T$59</definedName>
    <definedName name="OSRRefT22_7x_0" localSheetId="65">'317'!$T$78</definedName>
    <definedName name="OSRRefT22_7x_0" localSheetId="69">'321'!$T$48</definedName>
    <definedName name="OSRRefT22_7x_0" localSheetId="70">'322'!$T$48</definedName>
    <definedName name="OSRRefT22_7x_0" localSheetId="71">'325'!$T$50</definedName>
    <definedName name="OSRRefT22_7x_0" localSheetId="60">'326'!$T$80</definedName>
    <definedName name="OSRRefT22_7x_0" localSheetId="52">'330'!$T$100</definedName>
    <definedName name="OSRRefT22_7x_0" localSheetId="58">'331'!$T$93</definedName>
    <definedName name="OSRRefT22_7x_0" localSheetId="61">'332'!$T$66</definedName>
    <definedName name="OSRRefT22_7x_0" localSheetId="76">'405'!$T$49</definedName>
    <definedName name="OSRRefT22_7x_0" localSheetId="77">'406'!$T$49</definedName>
    <definedName name="OSRRefT22_7x_0" localSheetId="78">'411'!$T$49</definedName>
    <definedName name="OSRRefT22_7x_0" localSheetId="79">'412'!$T$49</definedName>
    <definedName name="OSRRefT22_7x_0" localSheetId="80">'413'!$T$49</definedName>
    <definedName name="OSRRefT22_7x_0" localSheetId="81">'414'!$T$49</definedName>
    <definedName name="OSRRefT22_7x_0" localSheetId="82">'415'!$T$50</definedName>
    <definedName name="OSRRefT22_7x_0" localSheetId="83">'418'!$T$51</definedName>
    <definedName name="OSRRefT22_7x_0" localSheetId="86">'424'!$T$43:$T$44</definedName>
    <definedName name="OSRRefT22_7x_0" localSheetId="87">'425'!$T$50</definedName>
    <definedName name="OSRRefT22_7x_0" localSheetId="90">'430'!$T$42</definedName>
    <definedName name="OSRRefT22_7x_0" localSheetId="91">'433'!$T$53</definedName>
    <definedName name="OSRRefT22_7x_0" localSheetId="92">'435'!$T$42</definedName>
    <definedName name="OSRRefT22_7x_0" localSheetId="93">'444'!$T$52</definedName>
    <definedName name="OSRRefT22_7x_0" localSheetId="95">'450'!$T$52</definedName>
    <definedName name="OSRRefT22_7x_0" localSheetId="75">'491'!$T$62</definedName>
    <definedName name="OSRRefT22_7x_0" localSheetId="89">'492'!$T$56</definedName>
    <definedName name="OSRRefT22_7x_0" localSheetId="97">'501'!$T$47</definedName>
    <definedName name="OSRRefT22_7x_0" localSheetId="39">'Div 2'!$T$51</definedName>
    <definedName name="OSRRefT22_7x_0" localSheetId="47">'Div 3'!$T$188</definedName>
    <definedName name="OSRRefT22_7x_0" localSheetId="73">'Div 4'!$T$64</definedName>
    <definedName name="OSRRefT22_7x_0" localSheetId="96">'Div 5'!$T$47</definedName>
    <definedName name="OSRRefT22_7x_0" localSheetId="64">'Div 6'!$T$78</definedName>
    <definedName name="OSRRefT22_7x_0" localSheetId="2">Summary!$T$220</definedName>
    <definedName name="OSRRefT22_8x_0" localSheetId="41">'201'!$T$46</definedName>
    <definedName name="OSRRefT22_8x_0" localSheetId="42">'202'!$T$46</definedName>
    <definedName name="OSRRefT22_8x_0" localSheetId="43">'203'!$T$47:$T$48</definedName>
    <definedName name="OSRRefT22_8x_0" localSheetId="44">'204'!$T$52:$T$53</definedName>
    <definedName name="OSRRefT22_8x_0" localSheetId="48">'300'!$T$184</definedName>
    <definedName name="OSRRefT22_8x_0" localSheetId="49">'300 &amp; 317'!$T$206</definedName>
    <definedName name="OSRRefT22_8x_0" localSheetId="50">'301'!$T$50</definedName>
    <definedName name="OSRRefT22_8x_0" localSheetId="53">'307'!$T$90:$T$91</definedName>
    <definedName name="OSRRefT22_8x_0" localSheetId="55">'308'!$T$89</definedName>
    <definedName name="OSRRefT22_8x_0" localSheetId="67">'309'!$T$51:$T$52</definedName>
    <definedName name="OSRRefT22_8x_0" localSheetId="66">'310'!$T$60</definedName>
    <definedName name="OSRRefT22_8x_0" localSheetId="74">'310 &amp; 491'!$T$71</definedName>
    <definedName name="OSRRefT22_8x_0" localSheetId="56">'311'!$T$88</definedName>
    <definedName name="OSRRefT22_8x_0" localSheetId="68">'313'!$T$55</definedName>
    <definedName name="OSRRefT22_8x_0" localSheetId="59">'315'!$T$79</definedName>
    <definedName name="OSRRefT22_8x_0" localSheetId="62">'316'!$T$61</definedName>
    <definedName name="OSRRefT22_8x_0" localSheetId="65">'317'!$T$80</definedName>
    <definedName name="OSRRefT22_8x_0" localSheetId="69">'321'!$T$50:$T$51</definedName>
    <definedName name="OSRRefT22_8x_0" localSheetId="70">'322'!$T$50</definedName>
    <definedName name="OSRRefT22_8x_0" localSheetId="71">'325'!$T$52</definedName>
    <definedName name="OSRRefT22_8x_0" localSheetId="60">'326'!$T$82</definedName>
    <definedName name="OSRRefT22_8x_0" localSheetId="52">'330'!$T$102:$T$103</definedName>
    <definedName name="OSRRefT22_8x_0" localSheetId="58">'331'!$T$95</definedName>
    <definedName name="OSRRefT22_8x_0" localSheetId="61">'332'!$T$68</definedName>
    <definedName name="OSRRefT22_8x_0" localSheetId="76">'405'!$T$51</definedName>
    <definedName name="OSRRefT22_8x_0" localSheetId="77">'406'!$T$51</definedName>
    <definedName name="OSRRefT22_8x_0" localSheetId="78">'411'!$T$51:$T$53</definedName>
    <definedName name="OSRRefT22_8x_0" localSheetId="79">'412'!$T$51:$T$52</definedName>
    <definedName name="OSRRefT22_8x_0" localSheetId="80">'413'!$T$51</definedName>
    <definedName name="OSRRefT22_8x_0" localSheetId="81">'414'!$T$51</definedName>
    <definedName name="OSRRefT22_8x_0" localSheetId="82">'415'!$T$52</definedName>
    <definedName name="OSRRefT22_8x_0" localSheetId="83">'418'!$T$53:$T$54</definedName>
    <definedName name="OSRRefT22_8x_0" localSheetId="86">'424'!$T$46</definedName>
    <definedName name="OSRRefT22_8x_0" localSheetId="87">'425'!$T$52</definedName>
    <definedName name="OSRRefT22_8x_0" localSheetId="91">'433'!$T$55</definedName>
    <definedName name="OSRRefT22_8x_0" localSheetId="93">'444'!$T$54</definedName>
    <definedName name="OSRRefT22_8x_0" localSheetId="95">'450'!$T$54</definedName>
    <definedName name="OSRRefT22_8x_0" localSheetId="75">'491'!$T$64:$T$65</definedName>
    <definedName name="OSRRefT22_8x_0" localSheetId="89">'492'!$T$58</definedName>
    <definedName name="OSRRefT22_8x_0" localSheetId="97">'501'!$T$49</definedName>
    <definedName name="OSRRefT22_8x_0" localSheetId="39">'Div 2'!$T$53</definedName>
    <definedName name="OSRRefT22_8x_0" localSheetId="47">'Div 3'!$T$190</definedName>
    <definedName name="OSRRefT22_8x_0" localSheetId="73">'Div 4'!$T$66</definedName>
    <definedName name="OSRRefT22_8x_0" localSheetId="96">'Div 5'!$T$49</definedName>
    <definedName name="OSRRefT22_8x_0" localSheetId="64">'Div 6'!$T$80</definedName>
    <definedName name="OSRRefT22_8x_0" localSheetId="2">Summary!$T$222</definedName>
    <definedName name="OSRRefT22_9x_0" localSheetId="41">'201'!$T$48:$T$49</definedName>
    <definedName name="OSRRefT22_9x_0" localSheetId="42">'202'!$T$48:$T$49</definedName>
    <definedName name="OSRRefT22_9x_0" localSheetId="43">'203'!$T$50:$T$51</definedName>
    <definedName name="OSRRefT22_9x_0" localSheetId="44">'204'!$T$55</definedName>
    <definedName name="OSRRefT22_9x_0" localSheetId="48">'300'!$T$186</definedName>
    <definedName name="OSRRefT22_9x_0" localSheetId="49">'300 &amp; 317'!$T$208</definedName>
    <definedName name="OSRRefT22_9x_0" localSheetId="50">'301'!$T$52</definedName>
    <definedName name="OSRRefT22_9x_0" localSheetId="53">'307'!$T$93</definedName>
    <definedName name="OSRRefT22_9x_0" localSheetId="55">'308'!$T$91:$T$92</definedName>
    <definedName name="OSRRefT22_9x_0" localSheetId="67">'309'!$T$54</definedName>
    <definedName name="OSRRefT22_9x_0" localSheetId="66">'310'!$T$62</definedName>
    <definedName name="OSRRefT22_9x_0" localSheetId="74">'310 &amp; 491'!$T$73</definedName>
    <definedName name="OSRRefT22_9x_0" localSheetId="56">'311'!$T$90:$T$91</definedName>
    <definedName name="OSRRefT22_9x_0" localSheetId="68">'313'!$T$57</definedName>
    <definedName name="OSRRefT22_9x_0" localSheetId="59">'315'!$T$81:$T$82</definedName>
    <definedName name="OSRRefT22_9x_0" localSheetId="65">'317'!$T$82:$T$83</definedName>
    <definedName name="OSRRefT22_9x_0" localSheetId="69">'321'!$T$53:$T$57</definedName>
    <definedName name="OSRRefT22_9x_0" localSheetId="70">'322'!$T$52</definedName>
    <definedName name="OSRRefT22_9x_0" localSheetId="71">'325'!$T$54</definedName>
    <definedName name="OSRRefT22_9x_0" localSheetId="60">'326'!$T$84</definedName>
    <definedName name="OSRRefT22_9x_0" localSheetId="52">'330'!$T$105</definedName>
    <definedName name="OSRRefT22_9x_0" localSheetId="58">'331'!$T$97</definedName>
    <definedName name="OSRRefT22_9x_0" localSheetId="61">'332'!$T$70:$T$74</definedName>
    <definedName name="OSRRefT22_9x_0" localSheetId="76">'405'!$T$53:$T$54</definedName>
    <definedName name="OSRRefT22_9x_0" localSheetId="77">'406'!$T$53</definedName>
    <definedName name="OSRRefT22_9x_0" localSheetId="78">'411'!$T$55:$T$59</definedName>
    <definedName name="OSRRefT22_9x_0" localSheetId="79">'412'!$T$54</definedName>
    <definedName name="OSRRefT22_9x_0" localSheetId="80">'413'!$T$53:$T$56</definedName>
    <definedName name="OSRRefT22_9x_0" localSheetId="81">'414'!$T$53</definedName>
    <definedName name="OSRRefT22_9x_0" localSheetId="82">'415'!$T$54</definedName>
    <definedName name="OSRRefT22_9x_0" localSheetId="83">'418'!$T$56</definedName>
    <definedName name="OSRRefT22_9x_0" localSheetId="86">'424'!$T$48:$T$50</definedName>
    <definedName name="OSRRefT22_9x_0" localSheetId="87">'425'!$T$54</definedName>
    <definedName name="OSRRefT22_9x_0" localSheetId="91">'433'!$T$57:$T$59</definedName>
    <definedName name="OSRRefT22_9x_0" localSheetId="93">'444'!$T$56</definedName>
    <definedName name="OSRRefT22_9x_0" localSheetId="95">'450'!$T$56</definedName>
    <definedName name="OSRRefT22_9x_0" localSheetId="75">'491'!$T$67</definedName>
    <definedName name="OSRRefT22_9x_0" localSheetId="89">'492'!$T$60</definedName>
    <definedName name="OSRRefT22_9x_0" localSheetId="97">'501'!$T$51:$T$54</definedName>
    <definedName name="OSRRefT22_9x_0" localSheetId="39">'Div 2'!$T$55</definedName>
    <definedName name="OSRRefT22_9x_0" localSheetId="47">'Div 3'!$T$192</definedName>
    <definedName name="OSRRefT22_9x_0" localSheetId="73">'Div 4'!$T$68:$T$69</definedName>
    <definedName name="OSRRefT22_9x_0" localSheetId="96">'Div 5'!$T$51:$T$54</definedName>
    <definedName name="OSRRefT22_9x_0" localSheetId="64">'Div 6'!$T$82:$T$83</definedName>
    <definedName name="OSRRefT22_9x_0" localSheetId="2">Summary!$T$224</definedName>
    <definedName name="OSRRefT22x_0" localSheetId="40">'200'!$T$20,'200'!$T$22,'200'!$T$24,'200'!$T$26</definedName>
    <definedName name="OSRRefT22x_0" localSheetId="41">'201'!$T$20:$T$28,'201'!$T$30:$T$32,'201'!$T$34,'201'!$T$36,'201'!$T$38,'201'!$T$40,'201'!$T$42,'201'!$T$44,'201'!$T$46,'201'!$T$48:$T$49,'201'!$T$51:$T$52,'201'!$T$54,'201'!$T$56:$T$58,'201'!$T$60,'201'!$T$62,'201'!$T$64:$T$65</definedName>
    <definedName name="OSRRefT22x_0" localSheetId="42">'202'!$T$20:$T$27,'202'!$T$29:$T$32,'202'!$T$34,'202'!$T$36,'202'!$T$38,'202'!$T$40,'202'!$T$42,'202'!$T$44,'202'!$T$46,'202'!$T$48:$T$49,'202'!$T$51,'202'!$T$53</definedName>
    <definedName name="OSRRefT22x_0" localSheetId="43">'203'!$T$20:$T$28,'203'!$T$30:$T$33,'203'!$T$35,'203'!$T$37,'203'!$T$39,'203'!$T$41,'203'!$T$43,'203'!$T$45,'203'!$T$47:$T$48,'203'!$T$50:$T$51,'203'!$T$53,'203'!$T$55:$T$57,'203'!$T$59,'203'!$T$61,'203'!$T$63</definedName>
    <definedName name="OSRRefT22x_0" localSheetId="44">'204'!$T$20:$T$28,'204'!$T$30:$T$34,'204'!$T$36,'204'!$T$38:$T$39,'204'!$T$41,'204'!$T$43,'204'!$T$45:$T$47,'204'!$T$49:$T$50,'204'!$T$52:$T$53,'204'!$T$55,'204'!$T$57:$T$58</definedName>
    <definedName name="OSRRefT22x_0" localSheetId="45">'205'!$T$20:$T$27,'205'!$T$29,'205'!$T$31,'205'!$T$33,'205'!$T$35:$T$36,'205'!$T$38,'205'!$T$40:$T$41,'205'!$T$43</definedName>
    <definedName name="OSRRefT22x_0" localSheetId="46">'206'!$T$20:$T$27,'206'!$T$29:$T$34,'206'!$T$36,'206'!$T$38,'206'!$T$40:$T$41,'206'!$T$43,'206'!$T$45</definedName>
    <definedName name="OSRRefT22x_0" localSheetId="48">'300'!$T$152:$T$160,'300'!$T$162:$T$168,'300'!$T$170,'300'!$T$172,'300'!$T$174,'300'!$T$176:$T$177,'300'!$T$179:$T$180,'300'!$T$182,'300'!$T$184,'300'!$T$186,'300'!$T$188:$T$189,'300'!$T$191,'300'!$T$193,'300'!$T$195,'300'!$T$197,'300'!$T$199,'300'!$T$201:$T$203,'300'!$T$205:$T$207,'300'!$T$209:$T$212,'300'!$T$214:$T$215,'300'!$T$217:$T$222,'300'!$T$224:$T$225,'300'!$T$227,'300'!$T$229:$T$231,'300'!$T$233</definedName>
    <definedName name="OSRRefT22x_0" localSheetId="49">'300 &amp; 317'!$T$174:$T$182,'300 &amp; 317'!$T$184:$T$190,'300 &amp; 317'!$T$192,'300 &amp; 317'!$T$194,'300 &amp; 317'!$T$196,'300 &amp; 317'!$T$198:$T$199,'300 &amp; 317'!$T$201:$T$202,'300 &amp; 317'!$T$204,'300 &amp; 317'!$T$206,'300 &amp; 317'!$T$208,'300 &amp; 317'!$T$210:$T$211,'300 &amp; 317'!$T$213,'300 &amp; 317'!$T$215,'300 &amp; 317'!$T$217,'300 &amp; 317'!$T$219,'300 &amp; 317'!$T$221,'300 &amp; 317'!$T$223:$T$225,'300 &amp; 317'!$T$227:$T$229,'300 &amp; 317'!$T$231:$T$234,'300 &amp; 317'!$T$236:$T$237,'300 &amp; 317'!$T$239:$T$244,'300 &amp; 317'!$T$246:$T$247,'300 &amp; 317'!$T$249,'300 &amp; 317'!$T$251:$T$253,'300 &amp; 317'!$T$255</definedName>
    <definedName name="OSRRefT22x_0" localSheetId="50">'301'!$T$20:$T$27,'301'!$T$29:$T$34,'301'!$T$36,'301'!$T$38,'301'!$T$40,'301'!$T$42:$T$43,'301'!$T$45:$T$46,'301'!$T$48,'301'!$T$50,'301'!$T$52,'301'!$T$54,'301'!$T$56,'301'!$T$58,'301'!$T$60,'301'!$T$62:$T$64,'301'!$T$66:$T$68,'301'!$T$70,'301'!$T$72:$T$76,'301'!$T$78,'301'!$T$80,'301'!$T$82:$T$83,'301'!$T$85</definedName>
    <definedName name="OSRRefT22x_0" localSheetId="51">'306'!$T$20:$T$28,'306'!$T$30:$T$34,'306'!$T$36,'306'!$T$38,'306'!$T$40,'306'!$T$42:$T$44,'306'!$T$46,'306'!$T$48</definedName>
    <definedName name="OSRRefT22x_0" localSheetId="53">'307'!$T$64:$T$71,'307'!$T$73:$T$75,'307'!$T$77,'307'!$T$79,'307'!$T$81:$T$82,'307'!$T$84,'307'!$T$86,'307'!$T$88,'307'!$T$90:$T$91,'307'!$T$93,'307'!$T$95</definedName>
    <definedName name="OSRRefT22x_0" localSheetId="55">'308'!$T$59:$T$67,'308'!$T$69:$T$73,'308'!$T$75,'308'!$T$77:$T$78,'308'!$T$80,'308'!$T$82,'308'!$T$84:$T$85,'308'!$T$87,'308'!$T$89,'308'!$T$91:$T$92,'308'!$T$94,'308'!$T$96:$T$98,'308'!$T$100:$T$101,'308'!$T$103,'308'!$T$105</definedName>
    <definedName name="OSRRefT22x_0" localSheetId="67">'309'!$T$24:$T$31,'309'!$T$33:$T$37,'309'!$T$39,'309'!$T$41,'309'!$T$43,'309'!$T$45,'309'!$T$47,'309'!$T$49,'309'!$T$51:$T$52,'309'!$T$54,'309'!$T$56:$T$61,'309'!$T$63</definedName>
    <definedName name="OSRRefT22x_0" localSheetId="66">'310'!$T$31:$T$38,'310'!$T$40:$T$45,'310'!$T$47,'310'!$T$49,'310'!$T$51,'310'!$T$53:$T$54,'310'!$T$56,'310'!$T$58,'310'!$T$60,'310'!$T$62,'310'!$T$64,'310'!$T$66,'310'!$T$68,'310'!$T$70,'310'!$T$72,'310'!$T$74,'310'!$T$76:$T$79,'310'!$T$81:$T$82,'310'!$T$84:$T$90,'310'!$T$92,'310'!$T$94,'310'!$T$96</definedName>
    <definedName name="OSRRefT22x_0" localSheetId="74">'310 &amp; 491'!$T$39:$T$47,'310 &amp; 491'!$T$49:$T$55,'310 &amp; 491'!$T$57,'310 &amp; 491'!$T$59,'310 &amp; 491'!$T$61,'310 &amp; 491'!$T$63:$T$65,'310 &amp; 491'!$T$67,'310 &amp; 491'!$T$69,'310 &amp; 491'!$T$71,'310 &amp; 491'!$T$73,'310 &amp; 491'!$T$75:$T$76,'310 &amp; 491'!$T$78,'310 &amp; 491'!$T$80,'310 &amp; 491'!$T$82,'310 &amp; 491'!$T$84,'310 &amp; 491'!$T$86:$T$88,'310 &amp; 491'!$T$90:$T$91,'310 &amp; 491'!$T$93:$T$97,'310 &amp; 491'!$T$99:$T$100,'310 &amp; 491'!$T$102:$T$109,'310 &amp; 491'!$T$111,'310 &amp; 491'!$T$113,'310 &amp; 491'!$T$115:$T$117,'310 &amp; 491'!$T$119</definedName>
    <definedName name="OSRRefT22x_0" localSheetId="56">'311'!$T$58:$T$66,'311'!$T$68:$T$72,'311'!$T$74,'311'!$T$76:$T$77,'311'!$T$79,'311'!$T$81,'311'!$T$83:$T$84,'311'!$T$86,'311'!$T$88,'311'!$T$90:$T$91,'311'!$T$93,'311'!$T$95:$T$97,'311'!$T$99:$T$100,'311'!$T$102,'311'!$T$104</definedName>
    <definedName name="OSRRefT22x_0" localSheetId="68">'313'!$T$28:$T$35,'313'!$T$37:$T$41,'313'!$T$43,'313'!$T$45,'313'!$T$47,'313'!$T$49,'313'!$T$51,'313'!$T$53,'313'!$T$55,'313'!$T$57,'313'!$T$59:$T$63,'313'!$T$65,'313'!$T$67</definedName>
    <definedName name="OSRRefT22x_0" localSheetId="54">'314'!$T$55:$T$61,'314'!$T$63:$T$65,'314'!$T$67,'314'!$T$69:$T$70,'314'!$T$72,'314'!$T$74:$T$75,'314'!$T$77</definedName>
    <definedName name="OSRRefT22x_0" localSheetId="59">'315'!$T$52:$T$59,'315'!$T$61:$T$65,'315'!$T$67,'315'!$T$69,'315'!$T$71,'315'!$T$73,'315'!$T$75,'315'!$T$77,'315'!$T$79,'315'!$T$81:$T$82,'315'!$T$84,'315'!$T$86:$T$89,'315'!$T$91,'315'!$T$93,'315'!$T$95</definedName>
    <definedName name="OSRRefT22x_0" localSheetId="62">'316'!$T$32:$T$39,'316'!$T$41:$T$44,'316'!$T$46,'316'!$T$48,'316'!$T$50,'316'!$T$52,'316'!$T$54,'316'!$T$56:$T$59,'316'!$T$61</definedName>
    <definedName name="OSRRefT22x_0" localSheetId="65">'317'!$T$53:$T$61,'317'!$T$63:$T$66,'317'!$T$68,'317'!$T$70,'317'!$T$72,'317'!$T$74,'317'!$T$76,'317'!$T$78,'317'!$T$80,'317'!$T$82:$T$83,'317'!$T$85</definedName>
    <definedName name="OSRRefT22x_0" localSheetId="63">'320'!$T$29:$T$35,'320'!$T$37:$T$39,'320'!$T$41,'320'!$T$43:$T$44,'320'!$T$46,'320'!$T$48:$T$49,'320'!$T$51</definedName>
    <definedName name="OSRRefT22x_0" localSheetId="69">'321'!$T$24:$T$30,'321'!$T$32:$T$36,'321'!$T$38,'321'!$T$40,'321'!$T$42,'321'!$T$44,'321'!$T$46,'321'!$T$48,'321'!$T$50:$T$51,'321'!$T$53:$T$57,'321'!$T$59,'321'!$T$61</definedName>
    <definedName name="OSRRefT22x_0" localSheetId="70">'322'!$T$24:$T$31,'322'!$T$33:$T$36,'322'!$T$38,'322'!$T$40,'322'!$T$42,'322'!$T$44,'322'!$T$46,'322'!$T$48,'322'!$T$50,'322'!$T$52,'322'!$T$54:$T$56,'322'!$T$58:$T$63,'322'!$T$65,'322'!$T$67</definedName>
    <definedName name="OSRRefT22x_0" localSheetId="57">'324'!$T$25</definedName>
    <definedName name="OSRRefT22x_0" localSheetId="71">'325'!$T$24:$T$31,'325'!$T$33:$T$37,'325'!$T$39,'325'!$T$41,'325'!$T$43,'325'!$T$45:$T$46,'325'!$T$48,'325'!$T$50,'325'!$T$52,'325'!$T$54,'325'!$T$56,'325'!$T$58:$T$60,'325'!$T$62,'325'!$T$64:$T$69,'325'!$T$71,'325'!$T$73</definedName>
    <definedName name="OSRRefT22x_0" localSheetId="60">'326'!$T$56:$T$63,'326'!$T$65:$T$68,'326'!$T$70,'326'!$T$72,'326'!$T$74,'326'!$T$76,'326'!$T$78,'326'!$T$80,'326'!$T$82,'326'!$T$84,'326'!$T$86,'326'!$T$88,'326'!$T$90,'326'!$T$92:$T$94,'326'!$T$96,'326'!$T$98:$T$101,'326'!$T$103,'326'!$T$105,'326'!$T$107</definedName>
    <definedName name="OSRRefT22x_0" localSheetId="72">'327'!$T$22,'327'!$T$24</definedName>
    <definedName name="OSRRefT22x_0" localSheetId="52">'330'!$T$76:$T$83,'330'!$T$85:$T$87,'330'!$T$89,'330'!$T$91,'330'!$T$93:$T$94,'330'!$T$96,'330'!$T$98,'330'!$T$100,'330'!$T$102:$T$103,'330'!$T$105,'330'!$T$107:$T$108,'330'!$T$110</definedName>
    <definedName name="OSRRefT22x_0" localSheetId="58">'331'!$T$68:$T$75,'331'!$T$77:$T$81,'331'!$T$83,'331'!$T$85,'331'!$T$87,'331'!$T$89,'331'!$T$91,'331'!$T$93,'331'!$T$95,'331'!$T$97,'331'!$T$99,'331'!$T$101,'331'!$T$103,'331'!$T$105,'331'!$T$107:$T$108,'331'!$T$110:$T$111,'331'!$T$113:$T$115,'331'!$T$117,'331'!$T$119:$T$123,'331'!$T$125,'331'!$T$127,'331'!$T$129,'331'!$T$131</definedName>
    <definedName name="OSRRefT22x_0" localSheetId="61">'332'!$T$41:$T$48,'332'!$T$50:$T$53,'332'!$T$55,'332'!$T$57,'332'!$T$59,'332'!$T$61:$T$62,'332'!$T$64,'332'!$T$66,'332'!$T$68,'332'!$T$70:$T$74,'332'!$T$76</definedName>
    <definedName name="OSRRefT22x_0" localSheetId="76">'405'!$T$24:$T$31,'405'!$T$33:$T$36,'405'!$T$38,'405'!$T$40,'405'!$T$42,'405'!$T$44:$T$45,'405'!$T$47,'405'!$T$49,'405'!$T$51,'405'!$T$53:$T$54,'405'!$T$56,'405'!$T$58:$T$60,'405'!$T$62,'405'!$T$64:$T$70,'405'!$T$72,'405'!$T$74,'405'!$T$76</definedName>
    <definedName name="OSRRefT22x_0" localSheetId="77">'406'!$T$24:$T$31,'406'!$T$33:$T$37,'406'!$T$39,'406'!$T$41,'406'!$T$43,'406'!$T$45,'406'!$T$47,'406'!$T$49,'406'!$T$51,'406'!$T$53,'406'!$T$55:$T$60,'406'!$T$62,'406'!$T$64</definedName>
    <definedName name="OSRRefT22x_0" localSheetId="78">'411'!$T$20:$T$28,'411'!$T$30:$T$35,'411'!$T$37,'411'!$T$39:$T$41,'411'!$T$43,'411'!$T$45,'411'!$T$47,'411'!$T$49,'411'!$T$51:$T$53,'411'!$T$55:$T$59,'411'!$T$61:$T$66,'411'!$T$68,'411'!$T$70,'411'!$T$72:$T$74,'411'!$T$76</definedName>
    <definedName name="OSRRefT22x_0" localSheetId="79">'412'!$T$23:$T$30,'412'!$T$32:$T$37,'412'!$T$39,'412'!$T$41,'412'!$T$43,'412'!$T$45,'412'!$T$47,'412'!$T$49,'412'!$T$51:$T$52,'412'!$T$54,'412'!$T$56:$T$57,'412'!$T$59:$T$65,'412'!$T$67,'412'!$T$69</definedName>
    <definedName name="OSRRefT22x_0" localSheetId="80">'413'!$T$24:$T$31,'413'!$T$33:$T$37,'413'!$T$39,'413'!$T$41,'413'!$T$43,'413'!$T$45,'413'!$T$47,'413'!$T$49,'413'!$T$51,'413'!$T$53:$T$56,'413'!$T$58</definedName>
    <definedName name="OSRRefT22x_0" localSheetId="81">'414'!$T$24:$T$31,'414'!$T$33:$T$37,'414'!$T$39,'414'!$T$41,'414'!$T$43,'414'!$T$45,'414'!$T$47,'414'!$T$49,'414'!$T$51,'414'!$T$53,'414'!$T$55,'414'!$T$57,'414'!$T$59:$T$65,'414'!$T$67,'414'!$T$69</definedName>
    <definedName name="OSRRefT22x_0" localSheetId="82">'415'!$T$24:$T$31,'415'!$T$33:$T$37,'415'!$T$39,'415'!$T$41,'415'!$T$43,'415'!$T$45:$T$46,'415'!$T$48,'415'!$T$50,'415'!$T$52,'415'!$T$54,'415'!$T$56,'415'!$T$58,'415'!$T$60:$T$64,'415'!$T$66,'415'!$T$68:$T$74,'415'!$T$76,'415'!$T$78,'415'!$T$80</definedName>
    <definedName name="OSRRefT22x_0" localSheetId="83">'418'!$T$24:$T$31,'418'!$T$33:$T$38,'418'!$T$40,'418'!$T$42,'418'!$T$44,'418'!$T$46:$T$47,'418'!$T$49,'418'!$T$51,'418'!$T$53:$T$54,'418'!$T$56,'418'!$T$58:$T$60,'418'!$T$62,'418'!$T$64:$T$68,'418'!$T$70,'418'!$T$72</definedName>
    <definedName name="OSRRefT22x_0" localSheetId="85">'423'!$T$21:$T$28,'423'!$T$30,'423'!$T$32,'423'!$T$34,'423'!$T$36,'423'!$T$38</definedName>
    <definedName name="OSRRefT22x_0" localSheetId="86">'424'!$T$24:$T$26,'424'!$T$28:$T$31,'424'!$T$33,'424'!$T$35,'424'!$T$37,'424'!$T$39,'424'!$T$41,'424'!$T$43:$T$44,'424'!$T$46,'424'!$T$48:$T$50,'424'!$T$52</definedName>
    <definedName name="OSRRefT22x_0" localSheetId="87">'425'!$T$25:$T$32,'425'!$T$34:$T$38,'425'!$T$40,'425'!$T$42,'425'!$T$44,'425'!$T$46,'425'!$T$48,'425'!$T$50,'425'!$T$52,'425'!$T$54,'425'!$T$56,'425'!$T$58:$T$59,'425'!$T$61:$T$66,'425'!$T$68,'425'!$T$70,'425'!$T$72</definedName>
    <definedName name="OSRRefT22x_0" localSheetId="90">'430'!$T$20:$T$27,'430'!$T$29,'430'!$T$31,'430'!$T$33,'430'!$T$35:$T$36,'430'!$T$38,'430'!$T$40,'430'!$T$42</definedName>
    <definedName name="OSRRefT22x_0" localSheetId="91">'433'!$T$26:$T$34,'433'!$T$36:$T$41,'433'!$T$43,'433'!$T$45,'433'!$T$47,'433'!$T$49,'433'!$T$51,'433'!$T$53,'433'!$T$55,'433'!$T$57:$T$59,'433'!$T$61:$T$66,'433'!$T$68,'433'!$T$70,'433'!$T$72:$T$73</definedName>
    <definedName name="OSRRefT22x_0" localSheetId="92">'435'!$T$24:$T$26,'435'!$T$28:$T$29,'435'!$T$31,'435'!$T$33,'435'!$T$35,'435'!$T$37,'435'!$T$39:$T$40,'435'!$T$42</definedName>
    <definedName name="OSRRefT22x_0" localSheetId="93">'444'!$T$25:$T$33,'444'!$T$35:$T$40,'444'!$T$42,'444'!$T$44,'444'!$T$46,'444'!$T$48,'444'!$T$50,'444'!$T$52,'444'!$T$54,'444'!$T$56,'444'!$T$58:$T$59,'444'!$T$61:$T$63,'444'!$T$65:$T$71,'444'!$T$73,'444'!$T$75,'444'!$T$77</definedName>
    <definedName name="OSRRefT22x_0" localSheetId="94">'445'!$T$20</definedName>
    <definedName name="OSRRefT22x_0" localSheetId="95">'450'!$T$25:$T$33,'450'!$T$35:$T$40,'450'!$T$42,'450'!$T$44,'450'!$T$46,'450'!$T$48,'450'!$T$50,'450'!$T$52,'450'!$T$54,'450'!$T$56,'450'!$T$58,'450'!$T$60:$T$62,'450'!$T$64:$T$69,'450'!$T$71,'450'!$T$73,'450'!$T$75:$T$76</definedName>
    <definedName name="OSRRefT22x_0" localSheetId="88">'455'!$T$20:$T$26,'455'!$T$28:$T$29</definedName>
    <definedName name="OSRRefT22x_0" localSheetId="75">'491'!$T$32:$T$40,'491'!$T$42:$T$48,'491'!$T$50,'491'!$T$52,'491'!$T$54,'491'!$T$56:$T$58,'491'!$T$60,'491'!$T$62,'491'!$T$64:$T$65,'491'!$T$67,'491'!$T$69,'491'!$T$71,'491'!$T$73,'491'!$T$75:$T$77,'491'!$T$79:$T$80,'491'!$T$82:$T$86,'491'!$T$88,'491'!$T$90:$T$97,'491'!$T$99,'491'!$T$101,'491'!$T$103:$T$105,'491'!$T$107</definedName>
    <definedName name="OSRRefT22x_0" localSheetId="89">'492'!$T$28:$T$36,'492'!$T$38:$T$44,'492'!$T$46,'492'!$T$48,'492'!$T$50,'492'!$T$52,'492'!$T$54,'492'!$T$56,'492'!$T$58,'492'!$T$60,'492'!$T$62,'492'!$T$64:$T$65,'492'!$T$67:$T$69,'492'!$T$71:$T$77,'492'!$T$79,'492'!$T$81,'492'!$T$83:$T$84</definedName>
    <definedName name="OSRRefT22x_0" localSheetId="97">'501'!$T$21:$T$28,'501'!$T$30:$T$35,'501'!$T$37,'501'!$T$39,'501'!$T$41,'501'!$T$43,'501'!$T$45,'501'!$T$47,'501'!$T$49,'501'!$T$51:$T$54,'501'!$T$56</definedName>
    <definedName name="OSRRefT22x_0" localSheetId="39">'Div 2'!$T$20:$T$30,'Div 2'!$T$32:$T$38,'Div 2'!$T$40,'Div 2'!$T$42,'Div 2'!$T$44,'Div 2'!$T$46:$T$47,'Div 2'!$T$49,'Div 2'!$T$51,'Div 2'!$T$53,'Div 2'!$T$55,'Div 2'!$T$57,'Div 2'!$T$59,'Div 2'!$T$61:$T$64,'Div 2'!$T$66:$T$68,'Div 2'!$T$70:$T$71,'Div 2'!$T$73,'Div 2'!$T$75:$T$78,'Div 2'!$T$80:$T$81,'Div 2'!$T$83,'Div 2'!$T$85:$T$86</definedName>
    <definedName name="OSRRefT22x_0" localSheetId="47">'Div 3'!$T$158:$T$166,'Div 3'!$T$168:$T$174,'Div 3'!$T$176,'Div 3'!$T$178,'Div 3'!$T$180,'Div 3'!$T$182:$T$183,'Div 3'!$T$185:$T$186,'Div 3'!$T$188,'Div 3'!$T$190,'Div 3'!$T$192,'Div 3'!$T$194:$T$195,'Div 3'!$T$197,'Div 3'!$T$199,'Div 3'!$T$201,'Div 3'!$T$203,'Div 3'!$T$205,'Div 3'!$T$207,'Div 3'!$T$209:$T$211,'Div 3'!$T$213:$T$215,'Div 3'!$T$217:$T$221,'Div 3'!$T$223:$T$224,'Div 3'!$T$226:$T$232,'Div 3'!$T$234:$T$235,'Div 3'!$T$237,'Div 3'!$T$239:$T$241,'Div 3'!$T$243</definedName>
    <definedName name="OSRRefT22x_0" localSheetId="73">'Div 4'!$T$34:$T$42,'Div 4'!$T$44:$T$50,'Div 4'!$T$52,'Div 4'!$T$54,'Div 4'!$T$56,'Div 4'!$T$58:$T$60,'Div 4'!$T$62,'Div 4'!$T$64,'Div 4'!$T$66,'Div 4'!$T$68:$T$69,'Div 4'!$T$71,'Div 4'!$T$73,'Div 4'!$T$75,'Div 4'!$T$77,'Div 4'!$T$79,'Div 4'!$T$81:$T$83,'Div 4'!$T$85:$T$86,'Div 4'!$T$88:$T$92,'Div 4'!$T$94,'Div 4'!$T$96:$T$103,'Div 4'!$T$105,'Div 4'!$T$107,'Div 4'!$T$109:$T$111,'Div 4'!$T$113</definedName>
    <definedName name="OSRRefT22x_0" localSheetId="96">'Div 5'!$T$21:$T$28,'Div 5'!$T$30:$T$35,'Div 5'!$T$37,'Div 5'!$T$39,'Div 5'!$T$41,'Div 5'!$T$43,'Div 5'!$T$45,'Div 5'!$T$47,'Div 5'!$T$49,'Div 5'!$T$51:$T$54,'Div 5'!$T$56</definedName>
    <definedName name="OSRRefT22x_0" localSheetId="64">'Div 6'!$T$53:$T$61,'Div 6'!$T$63:$T$66,'Div 6'!$T$68,'Div 6'!$T$70,'Div 6'!$T$72,'Div 6'!$T$74,'Div 6'!$T$76,'Div 6'!$T$78,'Div 6'!$T$80,'Div 6'!$T$82:$T$83,'Div 6'!$T$85</definedName>
    <definedName name="OSRRefT22x_0" localSheetId="2">Summary!$T$189:$T$197,Summary!$T$199:$T$205,Summary!$T$207,Summary!$T$209,Summary!$T$211,Summary!$T$213:$T$215,Summary!$T$217:$T$218,Summary!$T$220,Summary!$T$222,Summary!$T$224,Summary!$T$226:$T$227,Summary!$T$229:$T$230,Summary!$T$232,Summary!$T$234,Summary!$T$236,Summary!$T$238,Summary!$T$240,Summary!$T$242,Summary!$T$244:$T$246,Summary!$T$248:$T$250,Summary!$T$252:$T$256,Summary!$T$258:$T$259,Summary!$T$261:$T$268,Summary!$T$270:$T$271,Summary!$T$273,Summary!$T$275:$T$277,Summary!$T$279</definedName>
    <definedName name="OSRRefT25x_0" localSheetId="48">'300'!$T$236:$T$242</definedName>
    <definedName name="OSRRefT25x_0" localSheetId="49">'300 &amp; 317'!$T$258:$T$266</definedName>
    <definedName name="OSRRefT25x_0" localSheetId="50">'301'!$T$88:$T$89</definedName>
    <definedName name="OSRRefT25x_0" localSheetId="55">'308'!$T$108:$T$109</definedName>
    <definedName name="OSRRefT25x_0" localSheetId="74">'310 &amp; 491'!$T$122:$T$124</definedName>
    <definedName name="OSRRefT25x_0" localSheetId="56">'311'!$T$107:$T$108</definedName>
    <definedName name="OSRRefT25x_0" localSheetId="59">'315'!$T$98</definedName>
    <definedName name="OSRRefT25x_0" localSheetId="62">'316'!$T$64</definedName>
    <definedName name="OSRRefT25x_0" localSheetId="65">'317'!$T$88:$T$90</definedName>
    <definedName name="OSRRefT25x_0" localSheetId="63">'320'!$T$54:$T$57</definedName>
    <definedName name="OSRRefT25x_0" localSheetId="58">'331'!$T$134</definedName>
    <definedName name="OSRRefT25x_0" localSheetId="61">'332'!$T$79:$T$83</definedName>
    <definedName name="OSRRefT25x_0" localSheetId="78">'411'!$T$79:$T$80</definedName>
    <definedName name="OSRRefT25x_0" localSheetId="80">'413'!$T$61</definedName>
    <definedName name="OSRRefT25x_0" localSheetId="85">'423'!$T$41</definedName>
    <definedName name="OSRRefT25x_0" localSheetId="86">'424'!$T$55</definedName>
    <definedName name="OSRRefT25x_0" localSheetId="87">'425'!$T$75</definedName>
    <definedName name="OSRRefT25x_0" localSheetId="88">'455'!$T$32:$T$33</definedName>
    <definedName name="OSRRefT25x_0" localSheetId="75">'491'!$T$110:$T$112</definedName>
    <definedName name="OSRRefT25x_0" localSheetId="97">'501'!$T$59</definedName>
    <definedName name="OSRRefT25x_0" localSheetId="47">'Div 3'!$T$246:$T$252</definedName>
    <definedName name="OSRRefT25x_0" localSheetId="73">'Div 4'!$T$116:$T$118</definedName>
    <definedName name="OSRRefT25x_0" localSheetId="96">'Div 5'!$T$59</definedName>
    <definedName name="OSRRefT25x_0" localSheetId="64">'Div 6'!$T$88:$T$90</definedName>
    <definedName name="OSRRefT25x_0" localSheetId="2">Summary!$T$282:$T$291</definedName>
    <definedName name="_xlnm.Print_Area" localSheetId="38">'100'!$A$1:$Z$34</definedName>
    <definedName name="_xlnm.Print_Area" localSheetId="40">'200'!$A$1:$Z$40</definedName>
    <definedName name="_xlnm.Print_Area" localSheetId="41">'201'!$A$1:$Z$79</definedName>
    <definedName name="_xlnm.Print_Area" localSheetId="42">'202'!$A$1:$Z$67</definedName>
    <definedName name="_xlnm.Print_Area" localSheetId="43">'203'!$A$1:$Z$77</definedName>
    <definedName name="_xlnm.Print_Area" localSheetId="44">'204'!$A$1:$Z$72</definedName>
    <definedName name="_xlnm.Print_Area" localSheetId="45">'205'!$A$1:$Z$57</definedName>
    <definedName name="_xlnm.Print_Area" localSheetId="46">'206'!$A$1:$Z$59</definedName>
    <definedName name="_xlnm.Print_Area" localSheetId="48">'300'!$A$1:$Z$254</definedName>
    <definedName name="_xlnm.Print_Area" localSheetId="49">'300 &amp; 317'!$A$1:$Z$278</definedName>
    <definedName name="_xlnm.Print_Area" localSheetId="50">'301'!$A$1:$Z$101</definedName>
    <definedName name="_xlnm.Print_Area" localSheetId="51">'306'!$A$1:$Z$62</definedName>
    <definedName name="_xlnm.Print_Area" localSheetId="53">'307'!$A$1:$Z$109</definedName>
    <definedName name="_xlnm.Print_Area" localSheetId="55">'308'!$A$1:$Z$121</definedName>
    <definedName name="_xlnm.Print_Area" localSheetId="67">'309'!$A$1:$Z$77</definedName>
    <definedName name="_xlnm.Print_Area" localSheetId="66">'310'!$A$1:$Z$110</definedName>
    <definedName name="_xlnm.Print_Area" localSheetId="74">'310 &amp; 491'!$A$1:$Z$136</definedName>
    <definedName name="_xlnm.Print_Area" localSheetId="56">'311'!$A$1:$Z$120</definedName>
    <definedName name="_xlnm.Print_Area" localSheetId="68">'313'!$A$1:$Z$81</definedName>
    <definedName name="_xlnm.Print_Area" localSheetId="54">'314'!$A$1:$Z$91</definedName>
    <definedName name="_xlnm.Print_Area" localSheetId="59">'315'!$A$1:$Z$110</definedName>
    <definedName name="_xlnm.Print_Area" localSheetId="62">'316'!$A$1:$Z$76</definedName>
    <definedName name="_xlnm.Print_Area" localSheetId="65">'317'!$A$1:$Z$102</definedName>
    <definedName name="_xlnm.Print_Area" localSheetId="63">'320'!$A$1:$Z$69</definedName>
    <definedName name="_xlnm.Print_Area" localSheetId="69">'321'!$A$1:$Z$75</definedName>
    <definedName name="_xlnm.Print_Area" localSheetId="70">'322'!$A$1:$Z$81</definedName>
    <definedName name="_xlnm.Print_Area" localSheetId="57">'324'!$A$1:$Z$39</definedName>
    <definedName name="_xlnm.Print_Area" localSheetId="71">'325'!$A$1:$Z$87</definedName>
    <definedName name="_xlnm.Print_Area" localSheetId="60">'326'!$A$1:$Z$121</definedName>
    <definedName name="_xlnm.Print_Area" localSheetId="72">'327'!$A$1:$Z$38</definedName>
    <definedName name="_xlnm.Print_Area" localSheetId="52">'330'!$A$1:$Z$124</definedName>
    <definedName name="_xlnm.Print_Area" localSheetId="58">'331'!$A$1:$Z$146</definedName>
    <definedName name="_xlnm.Print_Area" localSheetId="61">'332'!$A$1:$Z$95</definedName>
    <definedName name="_xlnm.Print_Area" localSheetId="76">'405'!$A$1:$Z$90</definedName>
    <definedName name="_xlnm.Print_Area" localSheetId="77">'406'!$A$1:$Z$78</definedName>
    <definedName name="_xlnm.Print_Area" localSheetId="78">'411'!$A$1:$Z$92</definedName>
    <definedName name="_xlnm.Print_Area" localSheetId="79">'412'!$A$1:$Z$83</definedName>
    <definedName name="_xlnm.Print_Area" localSheetId="80">'413'!$A$1:$Z$73</definedName>
    <definedName name="_xlnm.Print_Area" localSheetId="81">'414'!$A$1:$Z$83</definedName>
    <definedName name="_xlnm.Print_Area" localSheetId="82">'415'!$A$1:$Z$94</definedName>
    <definedName name="_xlnm.Print_Area" localSheetId="83">'418'!$A$1:$Z$86</definedName>
    <definedName name="_xlnm.Print_Area" localSheetId="84">'420'!$A$1:$Z$32</definedName>
    <definedName name="_xlnm.Print_Area" localSheetId="85">'423'!$A$1:$Z$53</definedName>
    <definedName name="_xlnm.Print_Area" localSheetId="86">'424'!$A$1:$Z$67</definedName>
    <definedName name="_xlnm.Print_Area" localSheetId="87">'425'!$A$1:$Z$87</definedName>
    <definedName name="_xlnm.Print_Area" localSheetId="90">'430'!$A$1:$Z$56</definedName>
    <definedName name="_xlnm.Print_Area" localSheetId="91">'433'!$A$1:$Z$87</definedName>
    <definedName name="_xlnm.Print_Area" localSheetId="92">'435'!$A$1:$Z$56</definedName>
    <definedName name="_xlnm.Print_Area" localSheetId="93">'444'!$A$1:$Z$91</definedName>
    <definedName name="_xlnm.Print_Area" localSheetId="94">'445'!$A$1:$Z$34</definedName>
    <definedName name="_xlnm.Print_Area" localSheetId="95">'450'!$A$1:$Z$90</definedName>
    <definedName name="_xlnm.Print_Area" localSheetId="88">'455'!$A$1:$Z$45</definedName>
    <definedName name="_xlnm.Print_Area" localSheetId="75">'491'!$A$1:$Z$124</definedName>
    <definedName name="_xlnm.Print_Area" localSheetId="89">'492'!$A$1:$Z$98</definedName>
    <definedName name="_xlnm.Print_Area" localSheetId="97">'501'!$A$1:$Z$71</definedName>
    <definedName name="_xlnm.Print_Area" localSheetId="98">Dept!$A$1:$Z$39</definedName>
    <definedName name="_xlnm.Print_Area" localSheetId="37">'Div 1'!$A$1:$Z$34</definedName>
    <definedName name="_xlnm.Print_Area" localSheetId="39">'Div 2'!$A$1:$Z$100</definedName>
    <definedName name="_xlnm.Print_Area" localSheetId="47">'Div 3'!$A$1:$Z$264</definedName>
    <definedName name="_xlnm.Print_Area" localSheetId="73">'Div 4'!$A$1:$Z$130</definedName>
    <definedName name="_xlnm.Print_Area" localSheetId="96">'Div 5'!$A$1:$Z$71</definedName>
    <definedName name="_xlnm.Print_Area" localSheetId="64">'Div 6'!$A$1:$Z$102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Summary!$A$1:$Z$305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'445'!$A:$C,'445'!$1:$10</definedName>
    <definedName name="_xlnm.Print_Titles" localSheetId="95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6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63" i="110" l="1"/>
  <c r="X63" i="110"/>
  <c r="N63" i="110"/>
  <c r="L63" i="110"/>
  <c r="T59" i="110"/>
  <c r="P59" i="110"/>
  <c r="X59" i="110" s="1"/>
  <c r="Z59" i="110" s="1"/>
  <c r="L59" i="110"/>
  <c r="J59" i="110"/>
  <c r="H59" i="110"/>
  <c r="N59" i="110" s="1"/>
  <c r="D59" i="110"/>
  <c r="B59" i="110"/>
  <c r="T58" i="110"/>
  <c r="P58" i="110"/>
  <c r="L58" i="110"/>
  <c r="N58" i="110" s="1"/>
  <c r="H58" i="110"/>
  <c r="D58" i="110"/>
  <c r="X56" i="110"/>
  <c r="Z56" i="110" s="1"/>
  <c r="L56" i="110"/>
  <c r="N56" i="110" s="1"/>
  <c r="J56" i="110"/>
  <c r="F56" i="110"/>
  <c r="B56" i="110"/>
  <c r="T55" i="110"/>
  <c r="Z55" i="110" s="1"/>
  <c r="P55" i="110"/>
  <c r="X55" i="110" s="1"/>
  <c r="H55" i="110"/>
  <c r="F55" i="110"/>
  <c r="D55" i="110"/>
  <c r="B55" i="110"/>
  <c r="X54" i="110"/>
  <c r="Z54" i="110" s="1"/>
  <c r="N54" i="110"/>
  <c r="L54" i="110"/>
  <c r="B54" i="110"/>
  <c r="Z53" i="110"/>
  <c r="X53" i="110"/>
  <c r="N53" i="110"/>
  <c r="L53" i="110"/>
  <c r="B53" i="110"/>
  <c r="X52" i="110"/>
  <c r="Z52" i="110" s="1"/>
  <c r="R52" i="110"/>
  <c r="N52" i="110"/>
  <c r="L52" i="110"/>
  <c r="B52" i="110"/>
  <c r="Z51" i="110"/>
  <c r="X51" i="110"/>
  <c r="N51" i="110"/>
  <c r="L51" i="110"/>
  <c r="J51" i="110"/>
  <c r="B51" i="110"/>
  <c r="T50" i="110"/>
  <c r="P50" i="110"/>
  <c r="X50" i="110" s="1"/>
  <c r="H50" i="110"/>
  <c r="D50" i="110"/>
  <c r="L50" i="110" s="1"/>
  <c r="B50" i="110"/>
  <c r="Z49" i="110"/>
  <c r="X49" i="110"/>
  <c r="N49" i="110"/>
  <c r="L49" i="110"/>
  <c r="F49" i="110"/>
  <c r="B49" i="110"/>
  <c r="T48" i="110"/>
  <c r="X48" i="110" s="1"/>
  <c r="P48" i="110"/>
  <c r="H48" i="110"/>
  <c r="N48" i="110" s="1"/>
  <c r="F48" i="110"/>
  <c r="D48" i="110"/>
  <c r="L48" i="110" s="1"/>
  <c r="B48" i="110"/>
  <c r="Z47" i="110"/>
  <c r="X47" i="110"/>
  <c r="N47" i="110"/>
  <c r="L47" i="110"/>
  <c r="J47" i="110"/>
  <c r="B47" i="110"/>
  <c r="Z46" i="110"/>
  <c r="X46" i="110"/>
  <c r="T46" i="110"/>
  <c r="P46" i="110"/>
  <c r="H46" i="110"/>
  <c r="N46" i="110" s="1"/>
  <c r="D46" i="110"/>
  <c r="B46" i="110"/>
  <c r="Z45" i="110"/>
  <c r="X45" i="110"/>
  <c r="N45" i="110"/>
  <c r="L45" i="110"/>
  <c r="B45" i="110"/>
  <c r="T44" i="110"/>
  <c r="P44" i="110"/>
  <c r="X44" i="110" s="1"/>
  <c r="H44" i="110"/>
  <c r="D44" i="110"/>
  <c r="L44" i="110" s="1"/>
  <c r="N44" i="110" s="1"/>
  <c r="B44" i="110"/>
  <c r="X43" i="110"/>
  <c r="Z43" i="110" s="1"/>
  <c r="N43" i="110"/>
  <c r="L43" i="110"/>
  <c r="B43" i="110"/>
  <c r="T42" i="110"/>
  <c r="P42" i="110"/>
  <c r="X42" i="110" s="1"/>
  <c r="H42" i="110"/>
  <c r="L42" i="110" s="1"/>
  <c r="D42" i="110"/>
  <c r="B42" i="110"/>
  <c r="Z41" i="110"/>
  <c r="X41" i="110"/>
  <c r="N41" i="110"/>
  <c r="L41" i="110"/>
  <c r="B41" i="110"/>
  <c r="T40" i="110"/>
  <c r="P40" i="110"/>
  <c r="N40" i="110"/>
  <c r="L40" i="110"/>
  <c r="H40" i="110"/>
  <c r="D40" i="110"/>
  <c r="B40" i="110"/>
  <c r="Z39" i="110"/>
  <c r="X39" i="110"/>
  <c r="L39" i="110"/>
  <c r="N39" i="110" s="1"/>
  <c r="J39" i="110"/>
  <c r="B39" i="110"/>
  <c r="T38" i="110"/>
  <c r="P38" i="110"/>
  <c r="X38" i="110" s="1"/>
  <c r="H38" i="110"/>
  <c r="D38" i="110"/>
  <c r="B38" i="110"/>
  <c r="Z37" i="110"/>
  <c r="X37" i="110"/>
  <c r="N37" i="110"/>
  <c r="L37" i="110"/>
  <c r="F37" i="110"/>
  <c r="B37" i="110"/>
  <c r="T36" i="110"/>
  <c r="X36" i="110" s="1"/>
  <c r="P36" i="110"/>
  <c r="H36" i="110"/>
  <c r="D36" i="110"/>
  <c r="B36" i="110"/>
  <c r="Z35" i="110"/>
  <c r="X35" i="110"/>
  <c r="N35" i="110"/>
  <c r="L35" i="110"/>
  <c r="J35" i="110"/>
  <c r="B35" i="110"/>
  <c r="X34" i="110"/>
  <c r="Z34" i="110" s="1"/>
  <c r="L34" i="110"/>
  <c r="N34" i="110" s="1"/>
  <c r="B34" i="110"/>
  <c r="Z33" i="110"/>
  <c r="X33" i="110"/>
  <c r="N33" i="110"/>
  <c r="L33" i="110"/>
  <c r="B33" i="110"/>
  <c r="X32" i="110"/>
  <c r="Z32" i="110" s="1"/>
  <c r="L32" i="110"/>
  <c r="N32" i="110" s="1"/>
  <c r="J32" i="110"/>
  <c r="F32" i="110"/>
  <c r="B32" i="110"/>
  <c r="Z31" i="110"/>
  <c r="X31" i="110"/>
  <c r="N31" i="110"/>
  <c r="L31" i="110"/>
  <c r="J31" i="110"/>
  <c r="B31" i="110"/>
  <c r="Z30" i="110"/>
  <c r="X30" i="110"/>
  <c r="L30" i="110"/>
  <c r="N30" i="110" s="1"/>
  <c r="B30" i="110"/>
  <c r="Z29" i="110"/>
  <c r="T29" i="110"/>
  <c r="R29" i="110"/>
  <c r="P29" i="110"/>
  <c r="X29" i="110" s="1"/>
  <c r="H29" i="110"/>
  <c r="D29" i="110"/>
  <c r="L29" i="110" s="1"/>
  <c r="N29" i="110" s="1"/>
  <c r="B29" i="110"/>
  <c r="X28" i="110"/>
  <c r="Z28" i="110" s="1"/>
  <c r="L28" i="110"/>
  <c r="N28" i="110" s="1"/>
  <c r="B28" i="110"/>
  <c r="Z27" i="110"/>
  <c r="X27" i="110"/>
  <c r="L27" i="110"/>
  <c r="N27" i="110" s="1"/>
  <c r="J27" i="110"/>
  <c r="B27" i="110"/>
  <c r="X26" i="110"/>
  <c r="Z26" i="110" s="1"/>
  <c r="L26" i="110"/>
  <c r="N26" i="110" s="1"/>
  <c r="B26" i="110"/>
  <c r="Z25" i="110"/>
  <c r="X25" i="110"/>
  <c r="N25" i="110"/>
  <c r="L25" i="110"/>
  <c r="B25" i="110"/>
  <c r="X24" i="110"/>
  <c r="Z24" i="110" s="1"/>
  <c r="L24" i="110"/>
  <c r="N24" i="110" s="1"/>
  <c r="B24" i="110"/>
  <c r="Z23" i="110"/>
  <c r="X23" i="110"/>
  <c r="L23" i="110"/>
  <c r="N23" i="110" s="1"/>
  <c r="J23" i="110"/>
  <c r="B23" i="110"/>
  <c r="X22" i="110"/>
  <c r="Z22" i="110" s="1"/>
  <c r="L22" i="110"/>
  <c r="N22" i="110" s="1"/>
  <c r="B22" i="110"/>
  <c r="Z21" i="110"/>
  <c r="X21" i="110"/>
  <c r="N21" i="110"/>
  <c r="L21" i="110"/>
  <c r="B21" i="110"/>
  <c r="T20" i="110"/>
  <c r="P20" i="110"/>
  <c r="X20" i="110" s="1"/>
  <c r="H20" i="110"/>
  <c r="D20" i="110"/>
  <c r="L20" i="110" s="1"/>
  <c r="B20" i="110"/>
  <c r="X19" i="110"/>
  <c r="T19" i="110"/>
  <c r="Z19" i="110" s="1"/>
  <c r="P19" i="110"/>
  <c r="H19" i="110"/>
  <c r="F19" i="110"/>
  <c r="D19" i="110"/>
  <c r="L19" i="110" s="1"/>
  <c r="H17" i="110"/>
  <c r="X15" i="110"/>
  <c r="T15" i="110"/>
  <c r="Z15" i="110" s="1"/>
  <c r="P15" i="110"/>
  <c r="H15" i="110"/>
  <c r="N15" i="110" s="1"/>
  <c r="F15" i="110"/>
  <c r="D15" i="110"/>
  <c r="T13" i="110"/>
  <c r="P13" i="110"/>
  <c r="P12" i="110" s="1"/>
  <c r="L13" i="110"/>
  <c r="H13" i="110"/>
  <c r="N13" i="110" s="1"/>
  <c r="D13" i="110"/>
  <c r="B13" i="110"/>
  <c r="L12" i="110"/>
  <c r="N12" i="110" s="1"/>
  <c r="H12" i="110"/>
  <c r="J63" i="110" s="1"/>
  <c r="D12" i="110"/>
  <c r="D6" i="110"/>
  <c r="D4" i="110"/>
  <c r="F42" i="109"/>
  <c r="Z37" i="109"/>
  <c r="X37" i="109"/>
  <c r="V37" i="109"/>
  <c r="R37" i="109"/>
  <c r="N37" i="109"/>
  <c r="L37" i="109"/>
  <c r="V35" i="109"/>
  <c r="V33" i="109"/>
  <c r="T33" i="109"/>
  <c r="P33" i="109"/>
  <c r="N33" i="109"/>
  <c r="L33" i="109"/>
  <c r="H33" i="109"/>
  <c r="F33" i="109"/>
  <c r="D33" i="109"/>
  <c r="B33" i="109"/>
  <c r="V32" i="109"/>
  <c r="T32" i="109"/>
  <c r="P32" i="109"/>
  <c r="H32" i="109"/>
  <c r="F32" i="109"/>
  <c r="D32" i="109"/>
  <c r="D31" i="109" s="1"/>
  <c r="B32" i="109"/>
  <c r="R31" i="109"/>
  <c r="H31" i="109"/>
  <c r="Z29" i="109"/>
  <c r="X29" i="109"/>
  <c r="N29" i="109"/>
  <c r="L29" i="109"/>
  <c r="B29" i="109"/>
  <c r="Z28" i="109"/>
  <c r="X28" i="109"/>
  <c r="R28" i="109"/>
  <c r="N28" i="109"/>
  <c r="L28" i="109"/>
  <c r="B28" i="109"/>
  <c r="V27" i="109"/>
  <c r="T27" i="109"/>
  <c r="P27" i="109"/>
  <c r="N27" i="109"/>
  <c r="L27" i="109"/>
  <c r="H27" i="109"/>
  <c r="F27" i="109"/>
  <c r="D27" i="109"/>
  <c r="B27" i="109"/>
  <c r="X26" i="109"/>
  <c r="Z26" i="109" s="1"/>
  <c r="V26" i="109"/>
  <c r="L26" i="109"/>
  <c r="N26" i="109" s="1"/>
  <c r="J26" i="109"/>
  <c r="B26" i="109"/>
  <c r="X25" i="109"/>
  <c r="Z25" i="109" s="1"/>
  <c r="N25" i="109"/>
  <c r="L25" i="109"/>
  <c r="B25" i="109"/>
  <c r="Z24" i="109"/>
  <c r="X24" i="109"/>
  <c r="R24" i="109"/>
  <c r="N24" i="109"/>
  <c r="L24" i="109"/>
  <c r="F24" i="109"/>
  <c r="B24" i="109"/>
  <c r="Z23" i="109"/>
  <c r="X23" i="109"/>
  <c r="V23" i="109"/>
  <c r="R23" i="109"/>
  <c r="L23" i="109"/>
  <c r="N23" i="109" s="1"/>
  <c r="B23" i="109"/>
  <c r="X22" i="109"/>
  <c r="Z22" i="109" s="1"/>
  <c r="V22" i="109"/>
  <c r="L22" i="109"/>
  <c r="N22" i="109" s="1"/>
  <c r="B22" i="109"/>
  <c r="Z21" i="109"/>
  <c r="X21" i="109"/>
  <c r="N21" i="109"/>
  <c r="L21" i="109"/>
  <c r="B21" i="109"/>
  <c r="Z20" i="109"/>
  <c r="X20" i="109"/>
  <c r="R20" i="109"/>
  <c r="N20" i="109"/>
  <c r="L20" i="109"/>
  <c r="B20" i="109"/>
  <c r="V19" i="109"/>
  <c r="T19" i="109"/>
  <c r="P19" i="109"/>
  <c r="J19" i="109"/>
  <c r="H19" i="109"/>
  <c r="D19" i="109"/>
  <c r="L19" i="109" s="1"/>
  <c r="N19" i="109" s="1"/>
  <c r="B19" i="109"/>
  <c r="V18" i="109"/>
  <c r="T18" i="109"/>
  <c r="P18" i="109"/>
  <c r="X18" i="109" s="1"/>
  <c r="H18" i="109"/>
  <c r="F18" i="109"/>
  <c r="D18" i="109"/>
  <c r="L18" i="109" s="1"/>
  <c r="N18" i="109" s="1"/>
  <c r="V16" i="109"/>
  <c r="P16" i="109"/>
  <c r="F16" i="109"/>
  <c r="X14" i="109"/>
  <c r="V14" i="109"/>
  <c r="T14" i="109"/>
  <c r="Z14" i="109" s="1"/>
  <c r="P14" i="109"/>
  <c r="N14" i="109"/>
  <c r="H14" i="109"/>
  <c r="L14" i="109" s="1"/>
  <c r="D14" i="109"/>
  <c r="X12" i="109"/>
  <c r="T12" i="109"/>
  <c r="V42" i="109" s="1"/>
  <c r="P12" i="109"/>
  <c r="R35" i="109" s="1"/>
  <c r="L12" i="109"/>
  <c r="H12" i="109"/>
  <c r="J22" i="109" s="1"/>
  <c r="D12" i="109"/>
  <c r="D6" i="109"/>
  <c r="D4" i="109"/>
  <c r="Z82" i="108"/>
  <c r="X82" i="108"/>
  <c r="N82" i="108"/>
  <c r="L82" i="108"/>
  <c r="Z78" i="108"/>
  <c r="T78" i="108"/>
  <c r="P78" i="108"/>
  <c r="X78" i="108" s="1"/>
  <c r="L78" i="108"/>
  <c r="H78" i="108"/>
  <c r="N78" i="108" s="1"/>
  <c r="D78" i="108"/>
  <c r="X76" i="108"/>
  <c r="Z76" i="108" s="1"/>
  <c r="N76" i="108"/>
  <c r="L76" i="108"/>
  <c r="B76" i="108"/>
  <c r="Z75" i="108"/>
  <c r="X75" i="108"/>
  <c r="N75" i="108"/>
  <c r="L75" i="108"/>
  <c r="F75" i="108"/>
  <c r="B75" i="108"/>
  <c r="X74" i="108"/>
  <c r="T74" i="108"/>
  <c r="Z74" i="108" s="1"/>
  <c r="P74" i="108"/>
  <c r="H74" i="108"/>
  <c r="F74" i="108"/>
  <c r="D74" i="108"/>
  <c r="L74" i="108" s="1"/>
  <c r="N74" i="108" s="1"/>
  <c r="B74" i="108"/>
  <c r="Z73" i="108"/>
  <c r="X73" i="108"/>
  <c r="L73" i="108"/>
  <c r="N73" i="108" s="1"/>
  <c r="B73" i="108"/>
  <c r="Z72" i="108"/>
  <c r="T72" i="108"/>
  <c r="X72" i="108" s="1"/>
  <c r="P72" i="108"/>
  <c r="H72" i="108"/>
  <c r="D72" i="108"/>
  <c r="L72" i="108" s="1"/>
  <c r="N72" i="108" s="1"/>
  <c r="B72" i="108"/>
  <c r="Z71" i="108"/>
  <c r="X71" i="108"/>
  <c r="L71" i="108"/>
  <c r="N71" i="108" s="1"/>
  <c r="B71" i="108"/>
  <c r="V70" i="108"/>
  <c r="T70" i="108"/>
  <c r="P70" i="108"/>
  <c r="X70" i="108" s="1"/>
  <c r="H70" i="108"/>
  <c r="D70" i="108"/>
  <c r="L70" i="108" s="1"/>
  <c r="N70" i="108" s="1"/>
  <c r="B70" i="108"/>
  <c r="X69" i="108"/>
  <c r="Z69" i="108" s="1"/>
  <c r="N69" i="108"/>
  <c r="L69" i="108"/>
  <c r="B69" i="108"/>
  <c r="Z68" i="108"/>
  <c r="X68" i="108"/>
  <c r="N68" i="108"/>
  <c r="L68" i="108"/>
  <c r="B68" i="108"/>
  <c r="X67" i="108"/>
  <c r="Z67" i="108" s="1"/>
  <c r="N67" i="108"/>
  <c r="L67" i="108"/>
  <c r="F67" i="108"/>
  <c r="B67" i="108"/>
  <c r="X66" i="108"/>
  <c r="Z66" i="108" s="1"/>
  <c r="N66" i="108"/>
  <c r="L66" i="108"/>
  <c r="B66" i="108"/>
  <c r="X65" i="108"/>
  <c r="Z65" i="108" s="1"/>
  <c r="N65" i="108"/>
  <c r="L65" i="108"/>
  <c r="B65" i="108"/>
  <c r="X64" i="108"/>
  <c r="Z64" i="108" s="1"/>
  <c r="N64" i="108"/>
  <c r="L64" i="108"/>
  <c r="B64" i="108"/>
  <c r="X63" i="108"/>
  <c r="T63" i="108"/>
  <c r="Z63" i="108" s="1"/>
  <c r="P63" i="108"/>
  <c r="L63" i="108"/>
  <c r="N63" i="108" s="1"/>
  <c r="H63" i="108"/>
  <c r="D63" i="108"/>
  <c r="B63" i="108"/>
  <c r="Z62" i="108"/>
  <c r="X62" i="108"/>
  <c r="N62" i="108"/>
  <c r="L62" i="108"/>
  <c r="J62" i="108"/>
  <c r="B62" i="108"/>
  <c r="Z61" i="108"/>
  <c r="X61" i="108"/>
  <c r="L61" i="108"/>
  <c r="N61" i="108" s="1"/>
  <c r="B61" i="108"/>
  <c r="Z60" i="108"/>
  <c r="X60" i="108"/>
  <c r="N60" i="108"/>
  <c r="L60" i="108"/>
  <c r="B60" i="108"/>
  <c r="T59" i="108"/>
  <c r="P59" i="108"/>
  <c r="H59" i="108"/>
  <c r="D59" i="108"/>
  <c r="L59" i="108" s="1"/>
  <c r="B59" i="108"/>
  <c r="Z58" i="108"/>
  <c r="X58" i="108"/>
  <c r="V58" i="108"/>
  <c r="L58" i="108"/>
  <c r="N58" i="108" s="1"/>
  <c r="B58" i="108"/>
  <c r="T57" i="108"/>
  <c r="P57" i="108"/>
  <c r="X57" i="108" s="1"/>
  <c r="H57" i="108"/>
  <c r="D57" i="108"/>
  <c r="L57" i="108" s="1"/>
  <c r="N57" i="108" s="1"/>
  <c r="B57" i="108"/>
  <c r="X56" i="108"/>
  <c r="Z56" i="108" s="1"/>
  <c r="N56" i="108"/>
  <c r="L56" i="108"/>
  <c r="B56" i="108"/>
  <c r="X55" i="108"/>
  <c r="T55" i="108"/>
  <c r="Z55" i="108" s="1"/>
  <c r="P55" i="108"/>
  <c r="L55" i="108"/>
  <c r="N55" i="108" s="1"/>
  <c r="H55" i="108"/>
  <c r="D55" i="108"/>
  <c r="B55" i="108"/>
  <c r="Z54" i="108"/>
  <c r="X54" i="108"/>
  <c r="N54" i="108"/>
  <c r="L54" i="108"/>
  <c r="J54" i="108"/>
  <c r="B54" i="108"/>
  <c r="T53" i="108"/>
  <c r="P53" i="108"/>
  <c r="H53" i="108"/>
  <c r="D53" i="108"/>
  <c r="B53" i="108"/>
  <c r="Z52" i="108"/>
  <c r="X52" i="108"/>
  <c r="N52" i="108"/>
  <c r="L52" i="108"/>
  <c r="B52" i="108"/>
  <c r="Z51" i="108"/>
  <c r="T51" i="108"/>
  <c r="P51" i="108"/>
  <c r="X51" i="108" s="1"/>
  <c r="H51" i="108"/>
  <c r="N51" i="108" s="1"/>
  <c r="D51" i="108"/>
  <c r="L51" i="108" s="1"/>
  <c r="B51" i="108"/>
  <c r="X50" i="108"/>
  <c r="Z50" i="108" s="1"/>
  <c r="N50" i="108"/>
  <c r="L50" i="108"/>
  <c r="B50" i="108"/>
  <c r="X49" i="108"/>
  <c r="Z49" i="108" s="1"/>
  <c r="T49" i="108"/>
  <c r="P49" i="108"/>
  <c r="L49" i="108"/>
  <c r="H49" i="108"/>
  <c r="N49" i="108" s="1"/>
  <c r="D49" i="108"/>
  <c r="B49" i="108"/>
  <c r="Z48" i="108"/>
  <c r="X48" i="108"/>
  <c r="N48" i="108"/>
  <c r="L48" i="108"/>
  <c r="B48" i="108"/>
  <c r="T47" i="108"/>
  <c r="P47" i="108"/>
  <c r="H47" i="108"/>
  <c r="D47" i="108"/>
  <c r="B47" i="108"/>
  <c r="Z46" i="108"/>
  <c r="X46" i="108"/>
  <c r="V46" i="108"/>
  <c r="L46" i="108"/>
  <c r="N46" i="108" s="1"/>
  <c r="B46" i="108"/>
  <c r="T45" i="108"/>
  <c r="P45" i="108"/>
  <c r="X45" i="108" s="1"/>
  <c r="H45" i="108"/>
  <c r="D45" i="108"/>
  <c r="L45" i="108" s="1"/>
  <c r="N45" i="108" s="1"/>
  <c r="B45" i="108"/>
  <c r="X44" i="108"/>
  <c r="Z44" i="108" s="1"/>
  <c r="N44" i="108"/>
  <c r="L44" i="108"/>
  <c r="B44" i="108"/>
  <c r="X43" i="108"/>
  <c r="T43" i="108"/>
  <c r="Z43" i="108" s="1"/>
  <c r="P43" i="108"/>
  <c r="L43" i="108"/>
  <c r="N43" i="108" s="1"/>
  <c r="H43" i="108"/>
  <c r="D43" i="108"/>
  <c r="B43" i="108"/>
  <c r="Z42" i="108"/>
  <c r="X42" i="108"/>
  <c r="N42" i="108"/>
  <c r="L42" i="108"/>
  <c r="B42" i="108"/>
  <c r="T41" i="108"/>
  <c r="P41" i="108"/>
  <c r="H41" i="108"/>
  <c r="D41" i="108"/>
  <c r="B41" i="108"/>
  <c r="Z40" i="108"/>
  <c r="X40" i="108"/>
  <c r="V40" i="108"/>
  <c r="L40" i="108"/>
  <c r="N40" i="108" s="1"/>
  <c r="B40" i="108"/>
  <c r="Z39" i="108"/>
  <c r="X39" i="108"/>
  <c r="L39" i="108"/>
  <c r="N39" i="108" s="1"/>
  <c r="B39" i="108"/>
  <c r="Z38" i="108"/>
  <c r="X38" i="108"/>
  <c r="V38" i="108"/>
  <c r="N38" i="108"/>
  <c r="L38" i="108"/>
  <c r="B38" i="108"/>
  <c r="X37" i="108"/>
  <c r="Z37" i="108" s="1"/>
  <c r="L37" i="108"/>
  <c r="N37" i="108" s="1"/>
  <c r="B37" i="108"/>
  <c r="Z36" i="108"/>
  <c r="X36" i="108"/>
  <c r="V36" i="108"/>
  <c r="L36" i="108"/>
  <c r="N36" i="108" s="1"/>
  <c r="B36" i="108"/>
  <c r="Z35" i="108"/>
  <c r="X35" i="108"/>
  <c r="L35" i="108"/>
  <c r="N35" i="108" s="1"/>
  <c r="B35" i="108"/>
  <c r="V34" i="108"/>
  <c r="T34" i="108"/>
  <c r="Z34" i="108" s="1"/>
  <c r="P34" i="108"/>
  <c r="X34" i="108" s="1"/>
  <c r="H34" i="108"/>
  <c r="D34" i="108"/>
  <c r="L34" i="108" s="1"/>
  <c r="N34" i="108" s="1"/>
  <c r="B34" i="108"/>
  <c r="X33" i="108"/>
  <c r="Z33" i="108" s="1"/>
  <c r="N33" i="108"/>
  <c r="L33" i="108"/>
  <c r="F33" i="108"/>
  <c r="B33" i="108"/>
  <c r="X32" i="108"/>
  <c r="Z32" i="108" s="1"/>
  <c r="N32" i="108"/>
  <c r="L32" i="108"/>
  <c r="B32" i="108"/>
  <c r="X31" i="108"/>
  <c r="Z31" i="108" s="1"/>
  <c r="N31" i="108"/>
  <c r="L31" i="108"/>
  <c r="F31" i="108"/>
  <c r="B31" i="108"/>
  <c r="X30" i="108"/>
  <c r="Z30" i="108" s="1"/>
  <c r="N30" i="108"/>
  <c r="L30" i="108"/>
  <c r="F30" i="108"/>
  <c r="B30" i="108"/>
  <c r="X29" i="108"/>
  <c r="Z29" i="108" s="1"/>
  <c r="N29" i="108"/>
  <c r="L29" i="108"/>
  <c r="F29" i="108"/>
  <c r="B29" i="108"/>
  <c r="X28" i="108"/>
  <c r="Z28" i="108" s="1"/>
  <c r="N28" i="108"/>
  <c r="L28" i="108"/>
  <c r="B28" i="108"/>
  <c r="X27" i="108"/>
  <c r="Z27" i="108" s="1"/>
  <c r="N27" i="108"/>
  <c r="L27" i="108"/>
  <c r="F27" i="108"/>
  <c r="B27" i="108"/>
  <c r="X26" i="108"/>
  <c r="Z26" i="108" s="1"/>
  <c r="N26" i="108"/>
  <c r="L26" i="108"/>
  <c r="F26" i="108"/>
  <c r="B26" i="108"/>
  <c r="X25" i="108"/>
  <c r="Z25" i="108" s="1"/>
  <c r="N25" i="108"/>
  <c r="L25" i="108"/>
  <c r="F25" i="108"/>
  <c r="B25" i="108"/>
  <c r="X24" i="108"/>
  <c r="Z24" i="108" s="1"/>
  <c r="T24" i="108"/>
  <c r="P24" i="108"/>
  <c r="L24" i="108"/>
  <c r="H24" i="108"/>
  <c r="N24" i="108" s="1"/>
  <c r="F24" i="108"/>
  <c r="D24" i="108"/>
  <c r="B24" i="108"/>
  <c r="T23" i="108"/>
  <c r="X23" i="108" s="1"/>
  <c r="P23" i="108"/>
  <c r="H23" i="108"/>
  <c r="D23" i="108"/>
  <c r="T21" i="108"/>
  <c r="H21" i="108"/>
  <c r="Z19" i="108"/>
  <c r="X19" i="108"/>
  <c r="N19" i="108"/>
  <c r="L19" i="108"/>
  <c r="B19" i="108"/>
  <c r="Z18" i="108"/>
  <c r="X18" i="108"/>
  <c r="N18" i="108"/>
  <c r="L18" i="108"/>
  <c r="J18" i="108"/>
  <c r="B18" i="108"/>
  <c r="T17" i="108"/>
  <c r="P17" i="108"/>
  <c r="X17" i="108" s="1"/>
  <c r="N17" i="108"/>
  <c r="H17" i="108"/>
  <c r="L17" i="108" s="1"/>
  <c r="D17" i="108"/>
  <c r="T15" i="108"/>
  <c r="P15" i="108"/>
  <c r="X15" i="108" s="1"/>
  <c r="Z15" i="108" s="1"/>
  <c r="H15" i="108"/>
  <c r="D15" i="108"/>
  <c r="B15" i="108"/>
  <c r="Z14" i="108"/>
  <c r="T14" i="108"/>
  <c r="P14" i="108"/>
  <c r="X14" i="108" s="1"/>
  <c r="H14" i="108"/>
  <c r="D14" i="108"/>
  <c r="L14" i="108" s="1"/>
  <c r="B14" i="108"/>
  <c r="Z13" i="108"/>
  <c r="T13" i="108"/>
  <c r="P13" i="108"/>
  <c r="X13" i="108" s="1"/>
  <c r="H13" i="108"/>
  <c r="D13" i="108"/>
  <c r="L13" i="108" s="1"/>
  <c r="B13" i="108"/>
  <c r="T12" i="108"/>
  <c r="V57" i="108" s="1"/>
  <c r="H12" i="108"/>
  <c r="J42" i="108" s="1"/>
  <c r="D12" i="108"/>
  <c r="F37" i="108" s="1"/>
  <c r="D6" i="108"/>
  <c r="D4" i="108"/>
  <c r="J31" i="107"/>
  <c r="F31" i="107"/>
  <c r="R28" i="107"/>
  <c r="J28" i="107"/>
  <c r="F28" i="107"/>
  <c r="Z26" i="107"/>
  <c r="X26" i="107"/>
  <c r="N26" i="107"/>
  <c r="L26" i="107"/>
  <c r="J24" i="107"/>
  <c r="F24" i="107"/>
  <c r="T22" i="107"/>
  <c r="X22" i="107" s="1"/>
  <c r="P22" i="107"/>
  <c r="J22" i="107"/>
  <c r="H22" i="107"/>
  <c r="N22" i="107" s="1"/>
  <c r="F22" i="107"/>
  <c r="D22" i="107"/>
  <c r="Z20" i="107"/>
  <c r="X20" i="107"/>
  <c r="R20" i="107"/>
  <c r="N20" i="107"/>
  <c r="L20" i="107"/>
  <c r="J20" i="107"/>
  <c r="B20" i="107"/>
  <c r="Z19" i="107"/>
  <c r="T19" i="107"/>
  <c r="X19" i="107" s="1"/>
  <c r="P19" i="107"/>
  <c r="H19" i="107"/>
  <c r="N19" i="107" s="1"/>
  <c r="D19" i="107"/>
  <c r="L19" i="107" s="1"/>
  <c r="B19" i="107"/>
  <c r="T18" i="107"/>
  <c r="P18" i="107"/>
  <c r="N18" i="107"/>
  <c r="J18" i="107"/>
  <c r="H18" i="107"/>
  <c r="F18" i="107"/>
  <c r="D18" i="107"/>
  <c r="L18" i="107" s="1"/>
  <c r="P16" i="107"/>
  <c r="J16" i="107"/>
  <c r="F16" i="107"/>
  <c r="D16" i="107"/>
  <c r="T14" i="107"/>
  <c r="Z14" i="107" s="1"/>
  <c r="P14" i="107"/>
  <c r="N14" i="107"/>
  <c r="J14" i="107"/>
  <c r="H14" i="107"/>
  <c r="F14" i="107"/>
  <c r="D14" i="107"/>
  <c r="L14" i="107" s="1"/>
  <c r="T12" i="107"/>
  <c r="V18" i="107" s="1"/>
  <c r="P12" i="107"/>
  <c r="L12" i="107"/>
  <c r="H12" i="107"/>
  <c r="N12" i="107" s="1"/>
  <c r="D12" i="107"/>
  <c r="F20" i="107" s="1"/>
  <c r="D6" i="107"/>
  <c r="D4" i="107"/>
  <c r="Z83" i="106"/>
  <c r="X83" i="106"/>
  <c r="N83" i="106"/>
  <c r="L83" i="106"/>
  <c r="Z79" i="106"/>
  <c r="T79" i="106"/>
  <c r="P79" i="106"/>
  <c r="X79" i="106" s="1"/>
  <c r="H79" i="106"/>
  <c r="N79" i="106" s="1"/>
  <c r="D79" i="106"/>
  <c r="L79" i="106" s="1"/>
  <c r="Z77" i="106"/>
  <c r="X77" i="106"/>
  <c r="N77" i="106"/>
  <c r="L77" i="106"/>
  <c r="B77" i="106"/>
  <c r="Z76" i="106"/>
  <c r="T76" i="106"/>
  <c r="P76" i="106"/>
  <c r="X76" i="106" s="1"/>
  <c r="H76" i="106"/>
  <c r="N76" i="106" s="1"/>
  <c r="D76" i="106"/>
  <c r="L76" i="106" s="1"/>
  <c r="B76" i="106"/>
  <c r="X75" i="106"/>
  <c r="Z75" i="106" s="1"/>
  <c r="N75" i="106"/>
  <c r="L75" i="106"/>
  <c r="B75" i="106"/>
  <c r="T74" i="106"/>
  <c r="P74" i="106"/>
  <c r="X74" i="106" s="1"/>
  <c r="H74" i="106"/>
  <c r="D74" i="106"/>
  <c r="L74" i="106" s="1"/>
  <c r="B74" i="106"/>
  <c r="X73" i="106"/>
  <c r="Z73" i="106" s="1"/>
  <c r="N73" i="106"/>
  <c r="L73" i="106"/>
  <c r="B73" i="106"/>
  <c r="X72" i="106"/>
  <c r="T72" i="106"/>
  <c r="Z72" i="106" s="1"/>
  <c r="P72" i="106"/>
  <c r="L72" i="106"/>
  <c r="N72" i="106" s="1"/>
  <c r="H72" i="106"/>
  <c r="D72" i="106"/>
  <c r="B72" i="106"/>
  <c r="Z71" i="106"/>
  <c r="X71" i="106"/>
  <c r="N71" i="106"/>
  <c r="L71" i="106"/>
  <c r="B71" i="106"/>
  <c r="Z70" i="106"/>
  <c r="X70" i="106"/>
  <c r="N70" i="106"/>
  <c r="L70" i="106"/>
  <c r="B70" i="106"/>
  <c r="Z69" i="106"/>
  <c r="X69" i="106"/>
  <c r="N69" i="106"/>
  <c r="L69" i="106"/>
  <c r="B69" i="106"/>
  <c r="Z68" i="106"/>
  <c r="X68" i="106"/>
  <c r="L68" i="106"/>
  <c r="N68" i="106" s="1"/>
  <c r="B68" i="106"/>
  <c r="Z67" i="106"/>
  <c r="X67" i="106"/>
  <c r="N67" i="106"/>
  <c r="L67" i="106"/>
  <c r="B67" i="106"/>
  <c r="Z66" i="106"/>
  <c r="X66" i="106"/>
  <c r="L66" i="106"/>
  <c r="N66" i="106" s="1"/>
  <c r="B66" i="106"/>
  <c r="Z65" i="106"/>
  <c r="X65" i="106"/>
  <c r="N65" i="106"/>
  <c r="L65" i="106"/>
  <c r="B65" i="106"/>
  <c r="T64" i="106"/>
  <c r="P64" i="106"/>
  <c r="X64" i="106" s="1"/>
  <c r="H64" i="106"/>
  <c r="D64" i="106"/>
  <c r="B64" i="106"/>
  <c r="Z63" i="106"/>
  <c r="X63" i="106"/>
  <c r="N63" i="106"/>
  <c r="L63" i="106"/>
  <c r="B63" i="106"/>
  <c r="X62" i="106"/>
  <c r="Z62" i="106" s="1"/>
  <c r="N62" i="106"/>
  <c r="L62" i="106"/>
  <c r="B62" i="106"/>
  <c r="Z61" i="106"/>
  <c r="X61" i="106"/>
  <c r="L61" i="106"/>
  <c r="N61" i="106" s="1"/>
  <c r="B61" i="106"/>
  <c r="X60" i="106"/>
  <c r="T60" i="106"/>
  <c r="P60" i="106"/>
  <c r="L60" i="106"/>
  <c r="H60" i="106"/>
  <c r="D60" i="106"/>
  <c r="B60" i="106"/>
  <c r="X59" i="106"/>
  <c r="Z59" i="106" s="1"/>
  <c r="L59" i="106"/>
  <c r="N59" i="106" s="1"/>
  <c r="B59" i="106"/>
  <c r="Z58" i="106"/>
  <c r="X58" i="106"/>
  <c r="L58" i="106"/>
  <c r="N58" i="106" s="1"/>
  <c r="B58" i="106"/>
  <c r="T57" i="106"/>
  <c r="P57" i="106"/>
  <c r="X57" i="106" s="1"/>
  <c r="H57" i="106"/>
  <c r="D57" i="106"/>
  <c r="L57" i="106" s="1"/>
  <c r="N57" i="106" s="1"/>
  <c r="B57" i="106"/>
  <c r="Z56" i="106"/>
  <c r="X56" i="106"/>
  <c r="N56" i="106"/>
  <c r="L56" i="106"/>
  <c r="B56" i="106"/>
  <c r="T55" i="106"/>
  <c r="P55" i="106"/>
  <c r="L55" i="106"/>
  <c r="H55" i="106"/>
  <c r="N55" i="106" s="1"/>
  <c r="D55" i="106"/>
  <c r="B55" i="106"/>
  <c r="Z54" i="106"/>
  <c r="X54" i="106"/>
  <c r="N54" i="106"/>
  <c r="L54" i="106"/>
  <c r="J54" i="106"/>
  <c r="B54" i="106"/>
  <c r="T53" i="106"/>
  <c r="P53" i="106"/>
  <c r="X53" i="106" s="1"/>
  <c r="H53" i="106"/>
  <c r="D53" i="106"/>
  <c r="L53" i="106" s="1"/>
  <c r="B53" i="106"/>
  <c r="X52" i="106"/>
  <c r="Z52" i="106" s="1"/>
  <c r="N52" i="106"/>
  <c r="L52" i="106"/>
  <c r="B52" i="106"/>
  <c r="X51" i="106"/>
  <c r="Z51" i="106" s="1"/>
  <c r="T51" i="106"/>
  <c r="P51" i="106"/>
  <c r="H51" i="106"/>
  <c r="D51" i="106"/>
  <c r="L51" i="106" s="1"/>
  <c r="B51" i="106"/>
  <c r="Z50" i="106"/>
  <c r="X50" i="106"/>
  <c r="N50" i="106"/>
  <c r="L50" i="106"/>
  <c r="B50" i="106"/>
  <c r="X49" i="106"/>
  <c r="T49" i="106"/>
  <c r="Z49" i="106" s="1"/>
  <c r="P49" i="106"/>
  <c r="H49" i="106"/>
  <c r="D49" i="106"/>
  <c r="B49" i="106"/>
  <c r="Z48" i="106"/>
  <c r="X48" i="106"/>
  <c r="N48" i="106"/>
  <c r="L48" i="106"/>
  <c r="B48" i="106"/>
  <c r="T47" i="106"/>
  <c r="P47" i="106"/>
  <c r="H47" i="106"/>
  <c r="N47" i="106" s="1"/>
  <c r="D47" i="106"/>
  <c r="L47" i="106" s="1"/>
  <c r="B47" i="106"/>
  <c r="Z46" i="106"/>
  <c r="X46" i="106"/>
  <c r="N46" i="106"/>
  <c r="L46" i="106"/>
  <c r="B46" i="106"/>
  <c r="T45" i="106"/>
  <c r="P45" i="106"/>
  <c r="X45" i="106" s="1"/>
  <c r="H45" i="106"/>
  <c r="D45" i="106"/>
  <c r="L45" i="106" s="1"/>
  <c r="N45" i="106" s="1"/>
  <c r="B45" i="106"/>
  <c r="Z44" i="106"/>
  <c r="X44" i="106"/>
  <c r="N44" i="106"/>
  <c r="L44" i="106"/>
  <c r="B44" i="106"/>
  <c r="T43" i="106"/>
  <c r="P43" i="106"/>
  <c r="L43" i="106"/>
  <c r="H43" i="106"/>
  <c r="N43" i="106" s="1"/>
  <c r="D43" i="106"/>
  <c r="B43" i="106"/>
  <c r="Z42" i="106"/>
  <c r="X42" i="106"/>
  <c r="N42" i="106"/>
  <c r="L42" i="106"/>
  <c r="B42" i="106"/>
  <c r="T41" i="106"/>
  <c r="P41" i="106"/>
  <c r="X41" i="106" s="1"/>
  <c r="H41" i="106"/>
  <c r="D41" i="106"/>
  <c r="L41" i="106" s="1"/>
  <c r="B41" i="106"/>
  <c r="Z40" i="106"/>
  <c r="X40" i="106"/>
  <c r="N40" i="106"/>
  <c r="L40" i="106"/>
  <c r="B40" i="106"/>
  <c r="X39" i="106"/>
  <c r="Z39" i="106" s="1"/>
  <c r="L39" i="106"/>
  <c r="N39" i="106" s="1"/>
  <c r="B39" i="106"/>
  <c r="Z38" i="106"/>
  <c r="X38" i="106"/>
  <c r="N38" i="106"/>
  <c r="L38" i="106"/>
  <c r="B38" i="106"/>
  <c r="X37" i="106"/>
  <c r="Z37" i="106" s="1"/>
  <c r="L37" i="106"/>
  <c r="N37" i="106" s="1"/>
  <c r="B37" i="106"/>
  <c r="Z36" i="106"/>
  <c r="X36" i="106"/>
  <c r="N36" i="106"/>
  <c r="L36" i="106"/>
  <c r="B36" i="106"/>
  <c r="X35" i="106"/>
  <c r="Z35" i="106" s="1"/>
  <c r="L35" i="106"/>
  <c r="N35" i="106" s="1"/>
  <c r="B35" i="106"/>
  <c r="T34" i="106"/>
  <c r="P34" i="106"/>
  <c r="X34" i="106" s="1"/>
  <c r="Z34" i="106" s="1"/>
  <c r="H34" i="106"/>
  <c r="N34" i="106" s="1"/>
  <c r="D34" i="106"/>
  <c r="L34" i="106" s="1"/>
  <c r="B34" i="106"/>
  <c r="X33" i="106"/>
  <c r="Z33" i="106" s="1"/>
  <c r="N33" i="106"/>
  <c r="L33" i="106"/>
  <c r="B33" i="106"/>
  <c r="Z32" i="106"/>
  <c r="X32" i="106"/>
  <c r="N32" i="106"/>
  <c r="L32" i="106"/>
  <c r="B32" i="106"/>
  <c r="X31" i="106"/>
  <c r="Z31" i="106" s="1"/>
  <c r="L31" i="106"/>
  <c r="N31" i="106" s="1"/>
  <c r="B31" i="106"/>
  <c r="Z30" i="106"/>
  <c r="X30" i="106"/>
  <c r="N30" i="106"/>
  <c r="L30" i="106"/>
  <c r="B30" i="106"/>
  <c r="X29" i="106"/>
  <c r="Z29" i="106" s="1"/>
  <c r="N29" i="106"/>
  <c r="L29" i="106"/>
  <c r="B29" i="106"/>
  <c r="Z28" i="106"/>
  <c r="X28" i="106"/>
  <c r="N28" i="106"/>
  <c r="L28" i="106"/>
  <c r="B28" i="106"/>
  <c r="X27" i="106"/>
  <c r="Z27" i="106" s="1"/>
  <c r="L27" i="106"/>
  <c r="N27" i="106" s="1"/>
  <c r="B27" i="106"/>
  <c r="Z26" i="106"/>
  <c r="X26" i="106"/>
  <c r="N26" i="106"/>
  <c r="L26" i="106"/>
  <c r="B26" i="106"/>
  <c r="X25" i="106"/>
  <c r="Z25" i="106" s="1"/>
  <c r="N25" i="106"/>
  <c r="L25" i="106"/>
  <c r="B25" i="106"/>
  <c r="T24" i="106"/>
  <c r="P24" i="106"/>
  <c r="X24" i="106" s="1"/>
  <c r="Z24" i="106" s="1"/>
  <c r="N24" i="106"/>
  <c r="L24" i="106"/>
  <c r="H24" i="106"/>
  <c r="D24" i="106"/>
  <c r="B24" i="106"/>
  <c r="T23" i="106"/>
  <c r="P23" i="106"/>
  <c r="X23" i="106" s="1"/>
  <c r="H23" i="106"/>
  <c r="D23" i="106"/>
  <c r="L23" i="106" s="1"/>
  <c r="X19" i="106"/>
  <c r="Z19" i="106" s="1"/>
  <c r="L19" i="106"/>
  <c r="N19" i="106" s="1"/>
  <c r="B19" i="106"/>
  <c r="Z18" i="106"/>
  <c r="X18" i="106"/>
  <c r="N18" i="106"/>
  <c r="L18" i="106"/>
  <c r="J18" i="106"/>
  <c r="B18" i="106"/>
  <c r="T17" i="106"/>
  <c r="Z17" i="106" s="1"/>
  <c r="P17" i="106"/>
  <c r="X17" i="106" s="1"/>
  <c r="H17" i="106"/>
  <c r="D17" i="106"/>
  <c r="L17" i="106" s="1"/>
  <c r="T15" i="106"/>
  <c r="P15" i="106"/>
  <c r="X15" i="106" s="1"/>
  <c r="Z15" i="106" s="1"/>
  <c r="L15" i="106"/>
  <c r="N15" i="106" s="1"/>
  <c r="H15" i="106"/>
  <c r="D15" i="106"/>
  <c r="B15" i="106"/>
  <c r="Z14" i="106"/>
  <c r="T14" i="106"/>
  <c r="P14" i="106"/>
  <c r="X14" i="106" s="1"/>
  <c r="H14" i="106"/>
  <c r="D14" i="106"/>
  <c r="L14" i="106" s="1"/>
  <c r="B14" i="106"/>
  <c r="T13" i="106"/>
  <c r="P13" i="106"/>
  <c r="L13" i="106"/>
  <c r="H13" i="106"/>
  <c r="N13" i="106" s="1"/>
  <c r="D13" i="106"/>
  <c r="B13" i="106"/>
  <c r="T12" i="106"/>
  <c r="V38" i="106" s="1"/>
  <c r="H12" i="106"/>
  <c r="D6" i="106"/>
  <c r="D4" i="106"/>
  <c r="Z48" i="105"/>
  <c r="X48" i="105"/>
  <c r="N48" i="105"/>
  <c r="L48" i="105"/>
  <c r="Z44" i="105"/>
  <c r="T44" i="105"/>
  <c r="X44" i="105" s="1"/>
  <c r="P44" i="105"/>
  <c r="N44" i="105"/>
  <c r="L44" i="105"/>
  <c r="J44" i="105"/>
  <c r="H44" i="105"/>
  <c r="D44" i="105"/>
  <c r="Z42" i="105"/>
  <c r="X42" i="105"/>
  <c r="N42" i="105"/>
  <c r="L42" i="105"/>
  <c r="J42" i="105"/>
  <c r="B42" i="105"/>
  <c r="T41" i="105"/>
  <c r="P41" i="105"/>
  <c r="H41" i="105"/>
  <c r="D41" i="105"/>
  <c r="L41" i="105" s="1"/>
  <c r="B41" i="105"/>
  <c r="Z40" i="105"/>
  <c r="X40" i="105"/>
  <c r="N40" i="105"/>
  <c r="L40" i="105"/>
  <c r="B40" i="105"/>
  <c r="X39" i="105"/>
  <c r="Z39" i="105" s="1"/>
  <c r="L39" i="105"/>
  <c r="N39" i="105" s="1"/>
  <c r="B39" i="105"/>
  <c r="T38" i="105"/>
  <c r="P38" i="105"/>
  <c r="X38" i="105" s="1"/>
  <c r="J38" i="105"/>
  <c r="H38" i="105"/>
  <c r="D38" i="105"/>
  <c r="L38" i="105" s="1"/>
  <c r="N38" i="105" s="1"/>
  <c r="B38" i="105"/>
  <c r="X37" i="105"/>
  <c r="Z37" i="105" s="1"/>
  <c r="L37" i="105"/>
  <c r="N37" i="105" s="1"/>
  <c r="B37" i="105"/>
  <c r="Z36" i="105"/>
  <c r="X36" i="105"/>
  <c r="T36" i="105"/>
  <c r="R36" i="105"/>
  <c r="P36" i="105"/>
  <c r="N36" i="105"/>
  <c r="H36" i="105"/>
  <c r="D36" i="105"/>
  <c r="L36" i="105" s="1"/>
  <c r="B36" i="105"/>
  <c r="Z35" i="105"/>
  <c r="X35" i="105"/>
  <c r="N35" i="105"/>
  <c r="L35" i="105"/>
  <c r="B35" i="105"/>
  <c r="V34" i="105"/>
  <c r="T34" i="105"/>
  <c r="X34" i="105" s="1"/>
  <c r="Z34" i="105" s="1"/>
  <c r="P34" i="105"/>
  <c r="N34" i="105"/>
  <c r="L34" i="105"/>
  <c r="H34" i="105"/>
  <c r="D34" i="105"/>
  <c r="B34" i="105"/>
  <c r="X33" i="105"/>
  <c r="Z33" i="105" s="1"/>
  <c r="L33" i="105"/>
  <c r="N33" i="105" s="1"/>
  <c r="B33" i="105"/>
  <c r="T32" i="105"/>
  <c r="P32" i="105"/>
  <c r="X32" i="105" s="1"/>
  <c r="Z32" i="105" s="1"/>
  <c r="H32" i="105"/>
  <c r="D32" i="105"/>
  <c r="L32" i="105" s="1"/>
  <c r="B32" i="105"/>
  <c r="X31" i="105"/>
  <c r="Z31" i="105" s="1"/>
  <c r="N31" i="105"/>
  <c r="L31" i="105"/>
  <c r="B31" i="105"/>
  <c r="Z30" i="105"/>
  <c r="T30" i="105"/>
  <c r="P30" i="105"/>
  <c r="X30" i="105" s="1"/>
  <c r="N30" i="105"/>
  <c r="L30" i="105"/>
  <c r="H30" i="105"/>
  <c r="D30" i="105"/>
  <c r="B30" i="105"/>
  <c r="Z29" i="105"/>
  <c r="X29" i="105"/>
  <c r="N29" i="105"/>
  <c r="L29" i="105"/>
  <c r="B29" i="105"/>
  <c r="Z28" i="105"/>
  <c r="X28" i="105"/>
  <c r="V28" i="105"/>
  <c r="N28" i="105"/>
  <c r="L28" i="105"/>
  <c r="J28" i="105"/>
  <c r="B28" i="105"/>
  <c r="T27" i="105"/>
  <c r="P27" i="105"/>
  <c r="X27" i="105" s="1"/>
  <c r="H27" i="105"/>
  <c r="D27" i="105"/>
  <c r="L27" i="105" s="1"/>
  <c r="B27" i="105"/>
  <c r="Z26" i="105"/>
  <c r="X26" i="105"/>
  <c r="V26" i="105"/>
  <c r="N26" i="105"/>
  <c r="L26" i="105"/>
  <c r="B26" i="105"/>
  <c r="X25" i="105"/>
  <c r="Z25" i="105" s="1"/>
  <c r="L25" i="105"/>
  <c r="N25" i="105" s="1"/>
  <c r="B25" i="105"/>
  <c r="Z24" i="105"/>
  <c r="X24" i="105"/>
  <c r="N24" i="105"/>
  <c r="L24" i="105"/>
  <c r="B24" i="105"/>
  <c r="X23" i="105"/>
  <c r="T23" i="105"/>
  <c r="P23" i="105"/>
  <c r="L23" i="105"/>
  <c r="N23" i="105" s="1"/>
  <c r="H23" i="105"/>
  <c r="D23" i="105"/>
  <c r="B23" i="105"/>
  <c r="T22" i="105"/>
  <c r="P22" i="105"/>
  <c r="X22" i="105" s="1"/>
  <c r="Z22" i="105" s="1"/>
  <c r="L22" i="105"/>
  <c r="N22" i="105" s="1"/>
  <c r="H22" i="105"/>
  <c r="D22" i="105"/>
  <c r="Z18" i="105"/>
  <c r="X18" i="105"/>
  <c r="N18" i="105"/>
  <c r="L18" i="105"/>
  <c r="J18" i="105"/>
  <c r="B18" i="105"/>
  <c r="X17" i="105"/>
  <c r="Z17" i="105" s="1"/>
  <c r="L17" i="105"/>
  <c r="N17" i="105" s="1"/>
  <c r="B17" i="105"/>
  <c r="X16" i="105"/>
  <c r="Z16" i="105" s="1"/>
  <c r="T16" i="105"/>
  <c r="R16" i="105"/>
  <c r="P16" i="105"/>
  <c r="N16" i="105"/>
  <c r="H16" i="105"/>
  <c r="D16" i="105"/>
  <c r="L16" i="105" s="1"/>
  <c r="X14" i="105"/>
  <c r="Z14" i="105" s="1"/>
  <c r="T14" i="105"/>
  <c r="P14" i="105"/>
  <c r="N14" i="105"/>
  <c r="H14" i="105"/>
  <c r="L14" i="105" s="1"/>
  <c r="D14" i="105"/>
  <c r="B14" i="105"/>
  <c r="T13" i="105"/>
  <c r="T12" i="105" s="1"/>
  <c r="V38" i="105" s="1"/>
  <c r="P13" i="105"/>
  <c r="P12" i="105" s="1"/>
  <c r="H13" i="105"/>
  <c r="D13" i="105"/>
  <c r="L13" i="105" s="1"/>
  <c r="N13" i="105" s="1"/>
  <c r="B13" i="105"/>
  <c r="H12" i="105"/>
  <c r="D12" i="105"/>
  <c r="D6" i="105"/>
  <c r="D4" i="105"/>
  <c r="Z79" i="104"/>
  <c r="X79" i="104"/>
  <c r="N79" i="104"/>
  <c r="L79" i="104"/>
  <c r="Z75" i="104"/>
  <c r="X75" i="104"/>
  <c r="T75" i="104"/>
  <c r="P75" i="104"/>
  <c r="N75" i="104"/>
  <c r="H75" i="104"/>
  <c r="D75" i="104"/>
  <c r="L75" i="104" s="1"/>
  <c r="X73" i="104"/>
  <c r="Z73" i="104" s="1"/>
  <c r="N73" i="104"/>
  <c r="L73" i="104"/>
  <c r="B73" i="104"/>
  <c r="Z72" i="104"/>
  <c r="X72" i="104"/>
  <c r="N72" i="104"/>
  <c r="L72" i="104"/>
  <c r="B72" i="104"/>
  <c r="Z71" i="104"/>
  <c r="T71" i="104"/>
  <c r="P71" i="104"/>
  <c r="X71" i="104" s="1"/>
  <c r="L71" i="104"/>
  <c r="N71" i="104" s="1"/>
  <c r="H71" i="104"/>
  <c r="D71" i="104"/>
  <c r="B71" i="104"/>
  <c r="X70" i="104"/>
  <c r="Z70" i="104" s="1"/>
  <c r="L70" i="104"/>
  <c r="N70" i="104" s="1"/>
  <c r="B70" i="104"/>
  <c r="Z69" i="104"/>
  <c r="X69" i="104"/>
  <c r="T69" i="104"/>
  <c r="P69" i="104"/>
  <c r="H69" i="104"/>
  <c r="N69" i="104" s="1"/>
  <c r="D69" i="104"/>
  <c r="L69" i="104" s="1"/>
  <c r="B69" i="104"/>
  <c r="X68" i="104"/>
  <c r="Z68" i="104" s="1"/>
  <c r="L68" i="104"/>
  <c r="N68" i="104" s="1"/>
  <c r="B68" i="104"/>
  <c r="T67" i="104"/>
  <c r="P67" i="104"/>
  <c r="H67" i="104"/>
  <c r="D67" i="104"/>
  <c r="L67" i="104" s="1"/>
  <c r="B67" i="104"/>
  <c r="X66" i="104"/>
  <c r="Z66" i="104" s="1"/>
  <c r="N66" i="104"/>
  <c r="L66" i="104"/>
  <c r="B66" i="104"/>
  <c r="Z65" i="104"/>
  <c r="X65" i="104"/>
  <c r="N65" i="104"/>
  <c r="L65" i="104"/>
  <c r="J65" i="104"/>
  <c r="B65" i="104"/>
  <c r="X64" i="104"/>
  <c r="Z64" i="104" s="1"/>
  <c r="N64" i="104"/>
  <c r="L64" i="104"/>
  <c r="B64" i="104"/>
  <c r="Z63" i="104"/>
  <c r="X63" i="104"/>
  <c r="N63" i="104"/>
  <c r="L63" i="104"/>
  <c r="B63" i="104"/>
  <c r="X62" i="104"/>
  <c r="Z62" i="104" s="1"/>
  <c r="L62" i="104"/>
  <c r="N62" i="104" s="1"/>
  <c r="B62" i="104"/>
  <c r="X61" i="104"/>
  <c r="Z61" i="104" s="1"/>
  <c r="N61" i="104"/>
  <c r="L61" i="104"/>
  <c r="B61" i="104"/>
  <c r="X60" i="104"/>
  <c r="T60" i="104"/>
  <c r="P60" i="104"/>
  <c r="L60" i="104"/>
  <c r="H60" i="104"/>
  <c r="D60" i="104"/>
  <c r="B60" i="104"/>
  <c r="Z59" i="104"/>
  <c r="X59" i="104"/>
  <c r="N59" i="104"/>
  <c r="L59" i="104"/>
  <c r="B59" i="104"/>
  <c r="X58" i="104"/>
  <c r="Z58" i="104" s="1"/>
  <c r="L58" i="104"/>
  <c r="N58" i="104" s="1"/>
  <c r="B58" i="104"/>
  <c r="Z57" i="104"/>
  <c r="X57" i="104"/>
  <c r="N57" i="104"/>
  <c r="L57" i="104"/>
  <c r="B57" i="104"/>
  <c r="T56" i="104"/>
  <c r="P56" i="104"/>
  <c r="H56" i="104"/>
  <c r="D56" i="104"/>
  <c r="L56" i="104" s="1"/>
  <c r="B56" i="104"/>
  <c r="X55" i="104"/>
  <c r="Z55" i="104" s="1"/>
  <c r="N55" i="104"/>
  <c r="L55" i="104"/>
  <c r="B55" i="104"/>
  <c r="X54" i="104"/>
  <c r="T54" i="104"/>
  <c r="P54" i="104"/>
  <c r="H54" i="104"/>
  <c r="D54" i="104"/>
  <c r="L54" i="104" s="1"/>
  <c r="N54" i="104" s="1"/>
  <c r="B54" i="104"/>
  <c r="X53" i="104"/>
  <c r="Z53" i="104" s="1"/>
  <c r="L53" i="104"/>
  <c r="N53" i="104" s="1"/>
  <c r="B53" i="104"/>
  <c r="T52" i="104"/>
  <c r="P52" i="104"/>
  <c r="X52" i="104" s="1"/>
  <c r="L52" i="104"/>
  <c r="H52" i="104"/>
  <c r="N52" i="104" s="1"/>
  <c r="D52" i="104"/>
  <c r="B52" i="104"/>
  <c r="X51" i="104"/>
  <c r="Z51" i="104" s="1"/>
  <c r="L51" i="104"/>
  <c r="N51" i="104" s="1"/>
  <c r="B51" i="104"/>
  <c r="T50" i="104"/>
  <c r="P50" i="104"/>
  <c r="X50" i="104" s="1"/>
  <c r="H50" i="104"/>
  <c r="D50" i="104"/>
  <c r="L50" i="104" s="1"/>
  <c r="B50" i="104"/>
  <c r="Z49" i="104"/>
  <c r="X49" i="104"/>
  <c r="N49" i="104"/>
  <c r="L49" i="104"/>
  <c r="B49" i="104"/>
  <c r="T48" i="104"/>
  <c r="P48" i="104"/>
  <c r="X48" i="104" s="1"/>
  <c r="Z48" i="104" s="1"/>
  <c r="H48" i="104"/>
  <c r="L48" i="104" s="1"/>
  <c r="D48" i="104"/>
  <c r="B48" i="104"/>
  <c r="Z47" i="104"/>
  <c r="X47" i="104"/>
  <c r="V47" i="104"/>
  <c r="L47" i="104"/>
  <c r="N47" i="104" s="1"/>
  <c r="B47" i="104"/>
  <c r="T46" i="104"/>
  <c r="P46" i="104"/>
  <c r="X46" i="104" s="1"/>
  <c r="Z46" i="104" s="1"/>
  <c r="L46" i="104"/>
  <c r="H46" i="104"/>
  <c r="D46" i="104"/>
  <c r="B46" i="104"/>
  <c r="X45" i="104"/>
  <c r="Z45" i="104" s="1"/>
  <c r="N45" i="104"/>
  <c r="L45" i="104"/>
  <c r="B45" i="104"/>
  <c r="X44" i="104"/>
  <c r="T44" i="104"/>
  <c r="P44" i="104"/>
  <c r="H44" i="104"/>
  <c r="N44" i="104" s="1"/>
  <c r="D44" i="104"/>
  <c r="L44" i="104" s="1"/>
  <c r="B44" i="104"/>
  <c r="Z43" i="104"/>
  <c r="X43" i="104"/>
  <c r="V43" i="104"/>
  <c r="N43" i="104"/>
  <c r="L43" i="104"/>
  <c r="B43" i="104"/>
  <c r="T42" i="104"/>
  <c r="P42" i="104"/>
  <c r="N42" i="104"/>
  <c r="H42" i="104"/>
  <c r="D42" i="104"/>
  <c r="L42" i="104" s="1"/>
  <c r="B42" i="104"/>
  <c r="X41" i="104"/>
  <c r="Z41" i="104" s="1"/>
  <c r="N41" i="104"/>
  <c r="L41" i="104"/>
  <c r="B41" i="104"/>
  <c r="X40" i="104"/>
  <c r="Z40" i="104" s="1"/>
  <c r="L40" i="104"/>
  <c r="N40" i="104" s="1"/>
  <c r="B40" i="104"/>
  <c r="Z39" i="104"/>
  <c r="X39" i="104"/>
  <c r="N39" i="104"/>
  <c r="L39" i="104"/>
  <c r="B39" i="104"/>
  <c r="X38" i="104"/>
  <c r="Z38" i="104" s="1"/>
  <c r="L38" i="104"/>
  <c r="N38" i="104" s="1"/>
  <c r="B38" i="104"/>
  <c r="Z37" i="104"/>
  <c r="X37" i="104"/>
  <c r="L37" i="104"/>
  <c r="N37" i="104" s="1"/>
  <c r="B37" i="104"/>
  <c r="X36" i="104"/>
  <c r="Z36" i="104" s="1"/>
  <c r="N36" i="104"/>
  <c r="L36" i="104"/>
  <c r="B36" i="104"/>
  <c r="T35" i="104"/>
  <c r="P35" i="104"/>
  <c r="X35" i="104" s="1"/>
  <c r="Z35" i="104" s="1"/>
  <c r="H35" i="104"/>
  <c r="D35" i="104"/>
  <c r="L35" i="104" s="1"/>
  <c r="N35" i="104" s="1"/>
  <c r="B35" i="104"/>
  <c r="X34" i="104"/>
  <c r="Z34" i="104" s="1"/>
  <c r="N34" i="104"/>
  <c r="L34" i="104"/>
  <c r="B34" i="104"/>
  <c r="X33" i="104"/>
  <c r="Z33" i="104" s="1"/>
  <c r="V33" i="104"/>
  <c r="N33" i="104"/>
  <c r="L33" i="104"/>
  <c r="B33" i="104"/>
  <c r="Z32" i="104"/>
  <c r="X32" i="104"/>
  <c r="L32" i="104"/>
  <c r="N32" i="104" s="1"/>
  <c r="B32" i="104"/>
  <c r="X31" i="104"/>
  <c r="Z31" i="104" s="1"/>
  <c r="L31" i="104"/>
  <c r="N31" i="104" s="1"/>
  <c r="B31" i="104"/>
  <c r="X30" i="104"/>
  <c r="Z30" i="104" s="1"/>
  <c r="L30" i="104"/>
  <c r="N30" i="104" s="1"/>
  <c r="B30" i="104"/>
  <c r="X29" i="104"/>
  <c r="Z29" i="104" s="1"/>
  <c r="V29" i="104"/>
  <c r="N29" i="104"/>
  <c r="L29" i="104"/>
  <c r="B29" i="104"/>
  <c r="Z28" i="104"/>
  <c r="X28" i="104"/>
  <c r="L28" i="104"/>
  <c r="N28" i="104" s="1"/>
  <c r="B28" i="104"/>
  <c r="X27" i="104"/>
  <c r="Z27" i="104" s="1"/>
  <c r="L27" i="104"/>
  <c r="N27" i="104" s="1"/>
  <c r="B27" i="104"/>
  <c r="X26" i="104"/>
  <c r="Z26" i="104" s="1"/>
  <c r="L26" i="104"/>
  <c r="N26" i="104" s="1"/>
  <c r="B26" i="104"/>
  <c r="X25" i="104"/>
  <c r="Z25" i="104" s="1"/>
  <c r="T25" i="104"/>
  <c r="P25" i="104"/>
  <c r="L25" i="104"/>
  <c r="N25" i="104" s="1"/>
  <c r="H25" i="104"/>
  <c r="D25" i="104"/>
  <c r="B25" i="104"/>
  <c r="T24" i="104"/>
  <c r="P24" i="104"/>
  <c r="H24" i="104"/>
  <c r="D24" i="104"/>
  <c r="L24" i="104" s="1"/>
  <c r="N24" i="104" s="1"/>
  <c r="T22" i="104"/>
  <c r="X20" i="104"/>
  <c r="Z20" i="104" s="1"/>
  <c r="N20" i="104"/>
  <c r="L20" i="104"/>
  <c r="B20" i="104"/>
  <c r="X19" i="104"/>
  <c r="Z19" i="104" s="1"/>
  <c r="N19" i="104"/>
  <c r="L19" i="104"/>
  <c r="B19" i="104"/>
  <c r="T18" i="104"/>
  <c r="P18" i="104"/>
  <c r="X18" i="104" s="1"/>
  <c r="Z18" i="104" s="1"/>
  <c r="L18" i="104"/>
  <c r="H18" i="104"/>
  <c r="D18" i="104"/>
  <c r="X16" i="104"/>
  <c r="Z16" i="104" s="1"/>
  <c r="T16" i="104"/>
  <c r="P16" i="104"/>
  <c r="H16" i="104"/>
  <c r="N16" i="104" s="1"/>
  <c r="D16" i="104"/>
  <c r="L16" i="104" s="1"/>
  <c r="B16" i="104"/>
  <c r="T15" i="104"/>
  <c r="P15" i="104"/>
  <c r="X15" i="104" s="1"/>
  <c r="Z15" i="104" s="1"/>
  <c r="H15" i="104"/>
  <c r="D15" i="104"/>
  <c r="L15" i="104" s="1"/>
  <c r="N15" i="104" s="1"/>
  <c r="B15" i="104"/>
  <c r="T14" i="104"/>
  <c r="P14" i="104"/>
  <c r="X14" i="104" s="1"/>
  <c r="Z14" i="104" s="1"/>
  <c r="H14" i="104"/>
  <c r="N14" i="104" s="1"/>
  <c r="D14" i="104"/>
  <c r="L14" i="104" s="1"/>
  <c r="B14" i="104"/>
  <c r="T13" i="104"/>
  <c r="T12" i="104" s="1"/>
  <c r="P13" i="104"/>
  <c r="P12" i="104" s="1"/>
  <c r="H13" i="104"/>
  <c r="H12" i="104" s="1"/>
  <c r="J41" i="104" s="1"/>
  <c r="D13" i="104"/>
  <c r="B13" i="104"/>
  <c r="D6" i="104"/>
  <c r="D4" i="104"/>
  <c r="J53" i="103"/>
  <c r="J50" i="103"/>
  <c r="Z48" i="103"/>
  <c r="X48" i="103"/>
  <c r="N48" i="103"/>
  <c r="L48" i="103"/>
  <c r="J48" i="103"/>
  <c r="X44" i="103"/>
  <c r="T44" i="103"/>
  <c r="Z44" i="103" s="1"/>
  <c r="P44" i="103"/>
  <c r="N44" i="103"/>
  <c r="H44" i="103"/>
  <c r="D44" i="103"/>
  <c r="L44" i="103" s="1"/>
  <c r="X42" i="103"/>
  <c r="Z42" i="103" s="1"/>
  <c r="R42" i="103"/>
  <c r="L42" i="103"/>
  <c r="N42" i="103" s="1"/>
  <c r="J42" i="103"/>
  <c r="B42" i="103"/>
  <c r="V41" i="103"/>
  <c r="T41" i="103"/>
  <c r="R41" i="103"/>
  <c r="P41" i="103"/>
  <c r="N41" i="103"/>
  <c r="J41" i="103"/>
  <c r="H41" i="103"/>
  <c r="L41" i="103" s="1"/>
  <c r="D41" i="103"/>
  <c r="B41" i="103"/>
  <c r="X40" i="103"/>
  <c r="Z40" i="103" s="1"/>
  <c r="R40" i="103"/>
  <c r="L40" i="103"/>
  <c r="N40" i="103" s="1"/>
  <c r="J40" i="103"/>
  <c r="B40" i="103"/>
  <c r="T39" i="103"/>
  <c r="P39" i="103"/>
  <c r="X39" i="103" s="1"/>
  <c r="Z39" i="103" s="1"/>
  <c r="N39" i="103"/>
  <c r="J39" i="103"/>
  <c r="H39" i="103"/>
  <c r="D39" i="103"/>
  <c r="L39" i="103" s="1"/>
  <c r="B39" i="103"/>
  <c r="X38" i="103"/>
  <c r="Z38" i="103" s="1"/>
  <c r="L38" i="103"/>
  <c r="N38" i="103" s="1"/>
  <c r="B38" i="103"/>
  <c r="X37" i="103"/>
  <c r="Z37" i="103" s="1"/>
  <c r="T37" i="103"/>
  <c r="P37" i="103"/>
  <c r="J37" i="103"/>
  <c r="H37" i="103"/>
  <c r="F37" i="103"/>
  <c r="D37" i="103"/>
  <c r="L37" i="103" s="1"/>
  <c r="N37" i="103" s="1"/>
  <c r="B37" i="103"/>
  <c r="X36" i="103"/>
  <c r="Z36" i="103" s="1"/>
  <c r="N36" i="103"/>
  <c r="L36" i="103"/>
  <c r="J36" i="103"/>
  <c r="B36" i="103"/>
  <c r="Z35" i="103"/>
  <c r="X35" i="103"/>
  <c r="N35" i="103"/>
  <c r="L35" i="103"/>
  <c r="B35" i="103"/>
  <c r="T34" i="103"/>
  <c r="P34" i="103"/>
  <c r="H34" i="103"/>
  <c r="D34" i="103"/>
  <c r="L34" i="103" s="1"/>
  <c r="N34" i="103" s="1"/>
  <c r="B34" i="103"/>
  <c r="Z33" i="103"/>
  <c r="X33" i="103"/>
  <c r="V33" i="103"/>
  <c r="L33" i="103"/>
  <c r="N33" i="103" s="1"/>
  <c r="J33" i="103"/>
  <c r="B33" i="103"/>
  <c r="T32" i="103"/>
  <c r="P32" i="103"/>
  <c r="X32" i="103" s="1"/>
  <c r="J32" i="103"/>
  <c r="H32" i="103"/>
  <c r="L32" i="103" s="1"/>
  <c r="D32" i="103"/>
  <c r="B32" i="103"/>
  <c r="Z31" i="103"/>
  <c r="X31" i="103"/>
  <c r="V31" i="103"/>
  <c r="N31" i="103"/>
  <c r="L31" i="103"/>
  <c r="J31" i="103"/>
  <c r="B31" i="103"/>
  <c r="T30" i="103"/>
  <c r="P30" i="103"/>
  <c r="X30" i="103" s="1"/>
  <c r="L30" i="103"/>
  <c r="J30" i="103"/>
  <c r="H30" i="103"/>
  <c r="N30" i="103" s="1"/>
  <c r="D30" i="103"/>
  <c r="B30" i="103"/>
  <c r="X29" i="103"/>
  <c r="Z29" i="103" s="1"/>
  <c r="V29" i="103"/>
  <c r="N29" i="103"/>
  <c r="L29" i="103"/>
  <c r="J29" i="103"/>
  <c r="B29" i="103"/>
  <c r="T28" i="103"/>
  <c r="P28" i="103"/>
  <c r="X28" i="103" s="1"/>
  <c r="Z28" i="103" s="1"/>
  <c r="L28" i="103"/>
  <c r="H28" i="103"/>
  <c r="D28" i="103"/>
  <c r="B28" i="103"/>
  <c r="Z27" i="103"/>
  <c r="X27" i="103"/>
  <c r="N27" i="103"/>
  <c r="L27" i="103"/>
  <c r="J27" i="103"/>
  <c r="B27" i="103"/>
  <c r="Z26" i="103"/>
  <c r="X26" i="103"/>
  <c r="V26" i="103"/>
  <c r="L26" i="103"/>
  <c r="N26" i="103" s="1"/>
  <c r="J26" i="103"/>
  <c r="B26" i="103"/>
  <c r="Z25" i="103"/>
  <c r="X25" i="103"/>
  <c r="V25" i="103"/>
  <c r="L25" i="103"/>
  <c r="N25" i="103" s="1"/>
  <c r="J25" i="103"/>
  <c r="B25" i="103"/>
  <c r="X24" i="103"/>
  <c r="Z24" i="103" s="1"/>
  <c r="V24" i="103"/>
  <c r="R24" i="103"/>
  <c r="L24" i="103"/>
  <c r="N24" i="103" s="1"/>
  <c r="J24" i="103"/>
  <c r="B24" i="103"/>
  <c r="Z23" i="103"/>
  <c r="X23" i="103"/>
  <c r="N23" i="103"/>
  <c r="L23" i="103"/>
  <c r="J23" i="103"/>
  <c r="B23" i="103"/>
  <c r="Z22" i="103"/>
  <c r="X22" i="103"/>
  <c r="V22" i="103"/>
  <c r="L22" i="103"/>
  <c r="N22" i="103" s="1"/>
  <c r="J22" i="103"/>
  <c r="B22" i="103"/>
  <c r="Z21" i="103"/>
  <c r="X21" i="103"/>
  <c r="V21" i="103"/>
  <c r="L21" i="103"/>
  <c r="N21" i="103" s="1"/>
  <c r="J21" i="103"/>
  <c r="B21" i="103"/>
  <c r="X20" i="103"/>
  <c r="Z20" i="103" s="1"/>
  <c r="V20" i="103"/>
  <c r="R20" i="103"/>
  <c r="L20" i="103"/>
  <c r="N20" i="103" s="1"/>
  <c r="J20" i="103"/>
  <c r="B20" i="103"/>
  <c r="T19" i="103"/>
  <c r="P19" i="103"/>
  <c r="X19" i="103" s="1"/>
  <c r="Z19" i="103" s="1"/>
  <c r="N19" i="103"/>
  <c r="J19" i="103"/>
  <c r="H19" i="103"/>
  <c r="D19" i="103"/>
  <c r="L19" i="103" s="1"/>
  <c r="B19" i="103"/>
  <c r="T18" i="103"/>
  <c r="P18" i="103"/>
  <c r="X18" i="103" s="1"/>
  <c r="L18" i="103"/>
  <c r="J18" i="103"/>
  <c r="H18" i="103"/>
  <c r="D18" i="103"/>
  <c r="J16" i="103"/>
  <c r="T14" i="103"/>
  <c r="Z14" i="103" s="1"/>
  <c r="P14" i="103"/>
  <c r="X14" i="103" s="1"/>
  <c r="L14" i="103"/>
  <c r="J14" i="103"/>
  <c r="H14" i="103"/>
  <c r="H16" i="103" s="1"/>
  <c r="D14" i="103"/>
  <c r="T12" i="103"/>
  <c r="V35" i="103" s="1"/>
  <c r="P12" i="103"/>
  <c r="R35" i="103" s="1"/>
  <c r="N12" i="103"/>
  <c r="H12" i="103"/>
  <c r="J46" i="103" s="1"/>
  <c r="D12" i="103"/>
  <c r="F38" i="103" s="1"/>
  <c r="D6" i="103"/>
  <c r="D4" i="103"/>
  <c r="X79" i="102"/>
  <c r="Z79" i="102" s="1"/>
  <c r="L79" i="102"/>
  <c r="N79" i="102" s="1"/>
  <c r="X75" i="102"/>
  <c r="T75" i="102"/>
  <c r="T74" i="102" s="1"/>
  <c r="P75" i="102"/>
  <c r="P74" i="102" s="1"/>
  <c r="X74" i="102" s="1"/>
  <c r="H75" i="102"/>
  <c r="D75" i="102"/>
  <c r="B75" i="102"/>
  <c r="Z74" i="102"/>
  <c r="Z72" i="102"/>
  <c r="X72" i="102"/>
  <c r="N72" i="102"/>
  <c r="L72" i="102"/>
  <c r="B72" i="102"/>
  <c r="T71" i="102"/>
  <c r="P71" i="102"/>
  <c r="N71" i="102"/>
  <c r="H71" i="102"/>
  <c r="D71" i="102"/>
  <c r="L71" i="102" s="1"/>
  <c r="B71" i="102"/>
  <c r="Z70" i="102"/>
  <c r="X70" i="102"/>
  <c r="N70" i="102"/>
  <c r="L70" i="102"/>
  <c r="B70" i="102"/>
  <c r="T69" i="102"/>
  <c r="P69" i="102"/>
  <c r="X69" i="102" s="1"/>
  <c r="H69" i="102"/>
  <c r="D69" i="102"/>
  <c r="B69" i="102"/>
  <c r="Z68" i="102"/>
  <c r="X68" i="102"/>
  <c r="N68" i="102"/>
  <c r="L68" i="102"/>
  <c r="B68" i="102"/>
  <c r="T67" i="102"/>
  <c r="P67" i="102"/>
  <c r="L67" i="102"/>
  <c r="H67" i="102"/>
  <c r="D67" i="102"/>
  <c r="B67" i="102"/>
  <c r="X66" i="102"/>
  <c r="Z66" i="102" s="1"/>
  <c r="N66" i="102"/>
  <c r="L66" i="102"/>
  <c r="B66" i="102"/>
  <c r="X65" i="102"/>
  <c r="Z65" i="102" s="1"/>
  <c r="L65" i="102"/>
  <c r="N65" i="102" s="1"/>
  <c r="B65" i="102"/>
  <c r="Z64" i="102"/>
  <c r="X64" i="102"/>
  <c r="N64" i="102"/>
  <c r="L64" i="102"/>
  <c r="B64" i="102"/>
  <c r="X63" i="102"/>
  <c r="Z63" i="102" s="1"/>
  <c r="L63" i="102"/>
  <c r="N63" i="102" s="1"/>
  <c r="B63" i="102"/>
  <c r="Z62" i="102"/>
  <c r="X62" i="102"/>
  <c r="N62" i="102"/>
  <c r="L62" i="102"/>
  <c r="B62" i="102"/>
  <c r="X61" i="102"/>
  <c r="Z61" i="102" s="1"/>
  <c r="L61" i="102"/>
  <c r="N61" i="102" s="1"/>
  <c r="B61" i="102"/>
  <c r="Z60" i="102"/>
  <c r="X60" i="102"/>
  <c r="T60" i="102"/>
  <c r="P60" i="102"/>
  <c r="H60" i="102"/>
  <c r="D60" i="102"/>
  <c r="B60" i="102"/>
  <c r="X59" i="102"/>
  <c r="Z59" i="102" s="1"/>
  <c r="R59" i="102"/>
  <c r="N59" i="102"/>
  <c r="L59" i="102"/>
  <c r="B59" i="102"/>
  <c r="Z58" i="102"/>
  <c r="X58" i="102"/>
  <c r="N58" i="102"/>
  <c r="L58" i="102"/>
  <c r="B58" i="102"/>
  <c r="T57" i="102"/>
  <c r="P57" i="102"/>
  <c r="X57" i="102" s="1"/>
  <c r="H57" i="102"/>
  <c r="D57" i="102"/>
  <c r="B57" i="102"/>
  <c r="Z56" i="102"/>
  <c r="X56" i="102"/>
  <c r="N56" i="102"/>
  <c r="L56" i="102"/>
  <c r="B56" i="102"/>
  <c r="T55" i="102"/>
  <c r="P55" i="102"/>
  <c r="X55" i="102" s="1"/>
  <c r="H55" i="102"/>
  <c r="D55" i="102"/>
  <c r="B55" i="102"/>
  <c r="X54" i="102"/>
  <c r="Z54" i="102" s="1"/>
  <c r="N54" i="102"/>
  <c r="L54" i="102"/>
  <c r="B54" i="102"/>
  <c r="T53" i="102"/>
  <c r="P53" i="102"/>
  <c r="X53" i="102" s="1"/>
  <c r="Z53" i="102" s="1"/>
  <c r="H53" i="102"/>
  <c r="D53" i="102"/>
  <c r="L53" i="102" s="1"/>
  <c r="B53" i="102"/>
  <c r="Z52" i="102"/>
  <c r="X52" i="102"/>
  <c r="N52" i="102"/>
  <c r="L52" i="102"/>
  <c r="B52" i="102"/>
  <c r="T51" i="102"/>
  <c r="X51" i="102" s="1"/>
  <c r="Z51" i="102" s="1"/>
  <c r="P51" i="102"/>
  <c r="H51" i="102"/>
  <c r="N51" i="102" s="1"/>
  <c r="D51" i="102"/>
  <c r="L51" i="102" s="1"/>
  <c r="B51" i="102"/>
  <c r="Z50" i="102"/>
  <c r="X50" i="102"/>
  <c r="N50" i="102"/>
  <c r="L50" i="102"/>
  <c r="B50" i="102"/>
  <c r="T49" i="102"/>
  <c r="Z49" i="102" s="1"/>
  <c r="P49" i="102"/>
  <c r="X49" i="102" s="1"/>
  <c r="H49" i="102"/>
  <c r="N49" i="102" s="1"/>
  <c r="D49" i="102"/>
  <c r="B49" i="102"/>
  <c r="Z48" i="102"/>
  <c r="X48" i="102"/>
  <c r="N48" i="102"/>
  <c r="L48" i="102"/>
  <c r="B48" i="102"/>
  <c r="Z47" i="102"/>
  <c r="T47" i="102"/>
  <c r="P47" i="102"/>
  <c r="X47" i="102" s="1"/>
  <c r="N47" i="102"/>
  <c r="L47" i="102"/>
  <c r="H47" i="102"/>
  <c r="D47" i="102"/>
  <c r="B47" i="102"/>
  <c r="Z46" i="102"/>
  <c r="X46" i="102"/>
  <c r="N46" i="102"/>
  <c r="L46" i="102"/>
  <c r="B46" i="102"/>
  <c r="X45" i="102"/>
  <c r="T45" i="102"/>
  <c r="Z45" i="102" s="1"/>
  <c r="P45" i="102"/>
  <c r="N45" i="102"/>
  <c r="H45" i="102"/>
  <c r="L45" i="102" s="1"/>
  <c r="D45" i="102"/>
  <c r="B45" i="102"/>
  <c r="Z44" i="102"/>
  <c r="X44" i="102"/>
  <c r="N44" i="102"/>
  <c r="L44" i="102"/>
  <c r="B44" i="102"/>
  <c r="T43" i="102"/>
  <c r="P43" i="102"/>
  <c r="H43" i="102"/>
  <c r="D43" i="102"/>
  <c r="L43" i="102" s="1"/>
  <c r="B43" i="102"/>
  <c r="X42" i="102"/>
  <c r="Z42" i="102" s="1"/>
  <c r="N42" i="102"/>
  <c r="L42" i="102"/>
  <c r="B42" i="102"/>
  <c r="X41" i="102"/>
  <c r="Z41" i="102" s="1"/>
  <c r="T41" i="102"/>
  <c r="P41" i="102"/>
  <c r="L41" i="102"/>
  <c r="H41" i="102"/>
  <c r="N41" i="102" s="1"/>
  <c r="D41" i="102"/>
  <c r="B41" i="102"/>
  <c r="Z40" i="102"/>
  <c r="X40" i="102"/>
  <c r="L40" i="102"/>
  <c r="N40" i="102" s="1"/>
  <c r="B40" i="102"/>
  <c r="T39" i="102"/>
  <c r="P39" i="102"/>
  <c r="H39" i="102"/>
  <c r="D39" i="102"/>
  <c r="B39" i="102"/>
  <c r="Z38" i="102"/>
  <c r="X38" i="102"/>
  <c r="N38" i="102"/>
  <c r="L38" i="102"/>
  <c r="B38" i="102"/>
  <c r="X37" i="102"/>
  <c r="Z37" i="102" s="1"/>
  <c r="N37" i="102"/>
  <c r="L37" i="102"/>
  <c r="B37" i="102"/>
  <c r="Z36" i="102"/>
  <c r="X36" i="102"/>
  <c r="N36" i="102"/>
  <c r="L36" i="102"/>
  <c r="B36" i="102"/>
  <c r="Z35" i="102"/>
  <c r="X35" i="102"/>
  <c r="L35" i="102"/>
  <c r="N35" i="102" s="1"/>
  <c r="B35" i="102"/>
  <c r="Z34" i="102"/>
  <c r="X34" i="102"/>
  <c r="L34" i="102"/>
  <c r="N34" i="102" s="1"/>
  <c r="B34" i="102"/>
  <c r="T33" i="102"/>
  <c r="P33" i="102"/>
  <c r="X33" i="102" s="1"/>
  <c r="H33" i="102"/>
  <c r="D33" i="102"/>
  <c r="L33" i="102" s="1"/>
  <c r="B33" i="102"/>
  <c r="Z32" i="102"/>
  <c r="X32" i="102"/>
  <c r="N32" i="102"/>
  <c r="L32" i="102"/>
  <c r="B32" i="102"/>
  <c r="Z31" i="102"/>
  <c r="X31" i="102"/>
  <c r="R31" i="102"/>
  <c r="L31" i="102"/>
  <c r="N31" i="102" s="1"/>
  <c r="B31" i="102"/>
  <c r="X30" i="102"/>
  <c r="Z30" i="102" s="1"/>
  <c r="N30" i="102"/>
  <c r="L30" i="102"/>
  <c r="B30" i="102"/>
  <c r="Z29" i="102"/>
  <c r="X29" i="102"/>
  <c r="L29" i="102"/>
  <c r="N29" i="102" s="1"/>
  <c r="B29" i="102"/>
  <c r="Z28" i="102"/>
  <c r="X28" i="102"/>
  <c r="R28" i="102"/>
  <c r="N28" i="102"/>
  <c r="L28" i="102"/>
  <c r="B28" i="102"/>
  <c r="X27" i="102"/>
  <c r="Z27" i="102" s="1"/>
  <c r="N27" i="102"/>
  <c r="L27" i="102"/>
  <c r="B27" i="102"/>
  <c r="X26" i="102"/>
  <c r="Z26" i="102" s="1"/>
  <c r="N26" i="102"/>
  <c r="L26" i="102"/>
  <c r="B26" i="102"/>
  <c r="Z25" i="102"/>
  <c r="X25" i="102"/>
  <c r="L25" i="102"/>
  <c r="N25" i="102" s="1"/>
  <c r="B25" i="102"/>
  <c r="T24" i="102"/>
  <c r="P24" i="102"/>
  <c r="H24" i="102"/>
  <c r="D24" i="102"/>
  <c r="B24" i="102"/>
  <c r="T23" i="102"/>
  <c r="P23" i="102"/>
  <c r="H23" i="102"/>
  <c r="D23" i="102"/>
  <c r="L23" i="102" s="1"/>
  <c r="X19" i="102"/>
  <c r="Z19" i="102" s="1"/>
  <c r="L19" i="102"/>
  <c r="N19" i="102" s="1"/>
  <c r="B19" i="102"/>
  <c r="Z18" i="102"/>
  <c r="X18" i="102"/>
  <c r="L18" i="102"/>
  <c r="N18" i="102" s="1"/>
  <c r="B18" i="102"/>
  <c r="T17" i="102"/>
  <c r="P17" i="102"/>
  <c r="X17" i="102" s="1"/>
  <c r="N17" i="102"/>
  <c r="L17" i="102"/>
  <c r="H17" i="102"/>
  <c r="D17" i="102"/>
  <c r="X15" i="102"/>
  <c r="T15" i="102"/>
  <c r="Z15" i="102" s="1"/>
  <c r="P15" i="102"/>
  <c r="H15" i="102"/>
  <c r="D15" i="102"/>
  <c r="L15" i="102" s="1"/>
  <c r="B15" i="102"/>
  <c r="Z14" i="102"/>
  <c r="T14" i="102"/>
  <c r="P14" i="102"/>
  <c r="X14" i="102" s="1"/>
  <c r="H14" i="102"/>
  <c r="L14" i="102" s="1"/>
  <c r="N14" i="102" s="1"/>
  <c r="D14" i="102"/>
  <c r="B14" i="102"/>
  <c r="T13" i="102"/>
  <c r="P13" i="102"/>
  <c r="P12" i="102" s="1"/>
  <c r="H13" i="102"/>
  <c r="D13" i="102"/>
  <c r="B13" i="102"/>
  <c r="D6" i="102"/>
  <c r="D4" i="102"/>
  <c r="Z59" i="101"/>
  <c r="X59" i="101"/>
  <c r="L59" i="101"/>
  <c r="N59" i="101" s="1"/>
  <c r="T55" i="101"/>
  <c r="Z55" i="101" s="1"/>
  <c r="P55" i="101"/>
  <c r="J55" i="101"/>
  <c r="H55" i="101"/>
  <c r="N55" i="101" s="1"/>
  <c r="D55" i="101"/>
  <c r="L55" i="101" s="1"/>
  <c r="B55" i="101"/>
  <c r="P54" i="101"/>
  <c r="H54" i="101"/>
  <c r="N54" i="101" s="1"/>
  <c r="D54" i="101"/>
  <c r="L54" i="101" s="1"/>
  <c r="X52" i="101"/>
  <c r="Z52" i="101" s="1"/>
  <c r="N52" i="101"/>
  <c r="L52" i="101"/>
  <c r="B52" i="101"/>
  <c r="T51" i="101"/>
  <c r="P51" i="101"/>
  <c r="X51" i="101" s="1"/>
  <c r="Z51" i="101" s="1"/>
  <c r="H51" i="101"/>
  <c r="D51" i="101"/>
  <c r="L51" i="101" s="1"/>
  <c r="N51" i="101" s="1"/>
  <c r="B51" i="101"/>
  <c r="X50" i="101"/>
  <c r="Z50" i="101" s="1"/>
  <c r="N50" i="101"/>
  <c r="L50" i="101"/>
  <c r="B50" i="101"/>
  <c r="Z49" i="101"/>
  <c r="X49" i="101"/>
  <c r="N49" i="101"/>
  <c r="L49" i="101"/>
  <c r="B49" i="101"/>
  <c r="X48" i="101"/>
  <c r="Z48" i="101" s="1"/>
  <c r="N48" i="101"/>
  <c r="L48" i="101"/>
  <c r="B48" i="101"/>
  <c r="X47" i="101"/>
  <c r="Z47" i="101" s="1"/>
  <c r="T47" i="101"/>
  <c r="P47" i="101"/>
  <c r="H47" i="101"/>
  <c r="D47" i="101"/>
  <c r="L47" i="101" s="1"/>
  <c r="N47" i="101" s="1"/>
  <c r="B47" i="101"/>
  <c r="X46" i="101"/>
  <c r="Z46" i="101" s="1"/>
  <c r="L46" i="101"/>
  <c r="N46" i="101" s="1"/>
  <c r="B46" i="101"/>
  <c r="T45" i="101"/>
  <c r="P45" i="101"/>
  <c r="X45" i="101" s="1"/>
  <c r="H45" i="101"/>
  <c r="N45" i="101" s="1"/>
  <c r="D45" i="101"/>
  <c r="L45" i="101" s="1"/>
  <c r="B45" i="101"/>
  <c r="Z44" i="101"/>
  <c r="X44" i="101"/>
  <c r="L44" i="101"/>
  <c r="N44" i="101" s="1"/>
  <c r="B44" i="101"/>
  <c r="Z43" i="101"/>
  <c r="X43" i="101"/>
  <c r="N43" i="101"/>
  <c r="L43" i="101"/>
  <c r="J43" i="101"/>
  <c r="B43" i="101"/>
  <c r="X42" i="101"/>
  <c r="T42" i="101"/>
  <c r="P42" i="101"/>
  <c r="L42" i="101"/>
  <c r="N42" i="101" s="1"/>
  <c r="H42" i="101"/>
  <c r="D42" i="101"/>
  <c r="B42" i="101"/>
  <c r="Z41" i="101"/>
  <c r="X41" i="101"/>
  <c r="N41" i="101"/>
  <c r="L41" i="101"/>
  <c r="B41" i="101"/>
  <c r="T40" i="101"/>
  <c r="X40" i="101" s="1"/>
  <c r="Z40" i="101" s="1"/>
  <c r="P40" i="101"/>
  <c r="H40" i="101"/>
  <c r="N40" i="101" s="1"/>
  <c r="D40" i="101"/>
  <c r="B40" i="101"/>
  <c r="Z39" i="101"/>
  <c r="X39" i="101"/>
  <c r="N39" i="101"/>
  <c r="L39" i="101"/>
  <c r="B39" i="101"/>
  <c r="T38" i="101"/>
  <c r="Z38" i="101" s="1"/>
  <c r="P38" i="101"/>
  <c r="X38" i="101" s="1"/>
  <c r="H38" i="101"/>
  <c r="N38" i="101" s="1"/>
  <c r="D38" i="101"/>
  <c r="L38" i="101" s="1"/>
  <c r="B38" i="101"/>
  <c r="X37" i="101"/>
  <c r="Z37" i="101" s="1"/>
  <c r="N37" i="101"/>
  <c r="L37" i="101"/>
  <c r="B37" i="101"/>
  <c r="X36" i="101"/>
  <c r="Z36" i="101" s="1"/>
  <c r="T36" i="101"/>
  <c r="P36" i="101"/>
  <c r="N36" i="101"/>
  <c r="L36" i="101"/>
  <c r="H36" i="101"/>
  <c r="D36" i="101"/>
  <c r="B36" i="101"/>
  <c r="Z35" i="101"/>
  <c r="X35" i="101"/>
  <c r="L35" i="101"/>
  <c r="N35" i="101" s="1"/>
  <c r="B35" i="101"/>
  <c r="T34" i="101"/>
  <c r="P34" i="101"/>
  <c r="H34" i="101"/>
  <c r="L34" i="101" s="1"/>
  <c r="N34" i="101" s="1"/>
  <c r="D34" i="101"/>
  <c r="B34" i="101"/>
  <c r="X33" i="101"/>
  <c r="Z33" i="101" s="1"/>
  <c r="N33" i="101"/>
  <c r="L33" i="101"/>
  <c r="B33" i="101"/>
  <c r="T32" i="101"/>
  <c r="P32" i="101"/>
  <c r="X32" i="101" s="1"/>
  <c r="H32" i="101"/>
  <c r="N32" i="101" s="1"/>
  <c r="D32" i="101"/>
  <c r="L32" i="101" s="1"/>
  <c r="B32" i="101"/>
  <c r="Z31" i="101"/>
  <c r="X31" i="101"/>
  <c r="N31" i="101"/>
  <c r="L31" i="101"/>
  <c r="B31" i="101"/>
  <c r="X30" i="101"/>
  <c r="Z30" i="101" s="1"/>
  <c r="N30" i="101"/>
  <c r="L30" i="101"/>
  <c r="J30" i="101"/>
  <c r="B30" i="101"/>
  <c r="Z29" i="101"/>
  <c r="X29" i="101"/>
  <c r="N29" i="101"/>
  <c r="L29" i="101"/>
  <c r="B29" i="101"/>
  <c r="Z28" i="101"/>
  <c r="X28" i="101"/>
  <c r="N28" i="101"/>
  <c r="L28" i="101"/>
  <c r="B28" i="101"/>
  <c r="T27" i="101"/>
  <c r="P27" i="101"/>
  <c r="L27" i="101"/>
  <c r="H27" i="101"/>
  <c r="N27" i="101" s="1"/>
  <c r="D27" i="101"/>
  <c r="B27" i="101"/>
  <c r="Z26" i="101"/>
  <c r="X26" i="101"/>
  <c r="N26" i="101"/>
  <c r="L26" i="101"/>
  <c r="B26" i="101"/>
  <c r="Z25" i="101"/>
  <c r="X25" i="101"/>
  <c r="L25" i="101"/>
  <c r="N25" i="101" s="1"/>
  <c r="B25" i="101"/>
  <c r="Z24" i="101"/>
  <c r="X24" i="101"/>
  <c r="L24" i="101"/>
  <c r="N24" i="101" s="1"/>
  <c r="B24" i="101"/>
  <c r="T23" i="101"/>
  <c r="P23" i="101"/>
  <c r="H23" i="101"/>
  <c r="D23" i="101"/>
  <c r="L23" i="101" s="1"/>
  <c r="B23" i="101"/>
  <c r="T22" i="101"/>
  <c r="Z22" i="101" s="1"/>
  <c r="P22" i="101"/>
  <c r="X22" i="101" s="1"/>
  <c r="H22" i="101"/>
  <c r="D22" i="101"/>
  <c r="L22" i="101" s="1"/>
  <c r="Z18" i="101"/>
  <c r="X18" i="101"/>
  <c r="L18" i="101"/>
  <c r="N18" i="101" s="1"/>
  <c r="B18" i="101"/>
  <c r="X17" i="101"/>
  <c r="Z17" i="101" s="1"/>
  <c r="L17" i="101"/>
  <c r="N17" i="101" s="1"/>
  <c r="B17" i="101"/>
  <c r="T16" i="101"/>
  <c r="Z16" i="101" s="1"/>
  <c r="P16" i="101"/>
  <c r="X16" i="101" s="1"/>
  <c r="H16" i="101"/>
  <c r="N16" i="101" s="1"/>
  <c r="D16" i="101"/>
  <c r="L16" i="101" s="1"/>
  <c r="T14" i="101"/>
  <c r="Z14" i="101" s="1"/>
  <c r="P14" i="101"/>
  <c r="X14" i="101" s="1"/>
  <c r="L14" i="101"/>
  <c r="N14" i="101" s="1"/>
  <c r="H14" i="101"/>
  <c r="D14" i="101"/>
  <c r="B14" i="101"/>
  <c r="T13" i="101"/>
  <c r="T12" i="101" s="1"/>
  <c r="P13" i="101"/>
  <c r="H13" i="101"/>
  <c r="H12" i="101" s="1"/>
  <c r="J25" i="101" s="1"/>
  <c r="D13" i="101"/>
  <c r="B13" i="101"/>
  <c r="D6" i="101"/>
  <c r="D4" i="101"/>
  <c r="Z45" i="100"/>
  <c r="X45" i="100"/>
  <c r="N45" i="100"/>
  <c r="L45" i="100"/>
  <c r="J45" i="100"/>
  <c r="J43" i="100"/>
  <c r="T41" i="100"/>
  <c r="P41" i="100"/>
  <c r="J41" i="100"/>
  <c r="H41" i="100"/>
  <c r="D41" i="100"/>
  <c r="B41" i="100"/>
  <c r="J40" i="100"/>
  <c r="H40" i="100"/>
  <c r="X38" i="100"/>
  <c r="Z38" i="100" s="1"/>
  <c r="N38" i="100"/>
  <c r="L38" i="100"/>
  <c r="B38" i="100"/>
  <c r="X37" i="100"/>
  <c r="Z37" i="100" s="1"/>
  <c r="T37" i="100"/>
  <c r="P37" i="100"/>
  <c r="H37" i="100"/>
  <c r="D37" i="100"/>
  <c r="L37" i="100" s="1"/>
  <c r="N37" i="100" s="1"/>
  <c r="B37" i="100"/>
  <c r="Z36" i="100"/>
  <c r="X36" i="100"/>
  <c r="N36" i="100"/>
  <c r="L36" i="100"/>
  <c r="J36" i="100"/>
  <c r="B36" i="100"/>
  <c r="T35" i="100"/>
  <c r="Z35" i="100" s="1"/>
  <c r="P35" i="100"/>
  <c r="J35" i="100"/>
  <c r="H35" i="100"/>
  <c r="D35" i="100"/>
  <c r="B35" i="100"/>
  <c r="Z34" i="100"/>
  <c r="X34" i="100"/>
  <c r="L34" i="100"/>
  <c r="N34" i="100" s="1"/>
  <c r="J34" i="100"/>
  <c r="B34" i="100"/>
  <c r="T33" i="100"/>
  <c r="P33" i="100"/>
  <c r="X33" i="100" s="1"/>
  <c r="J33" i="100"/>
  <c r="H33" i="100"/>
  <c r="D33" i="100"/>
  <c r="B33" i="100"/>
  <c r="X32" i="100"/>
  <c r="Z32" i="100" s="1"/>
  <c r="N32" i="100"/>
  <c r="L32" i="100"/>
  <c r="F32" i="100"/>
  <c r="B32" i="100"/>
  <c r="X31" i="100"/>
  <c r="Z31" i="100" s="1"/>
  <c r="T31" i="100"/>
  <c r="P31" i="100"/>
  <c r="N31" i="100"/>
  <c r="H31" i="100"/>
  <c r="D31" i="100"/>
  <c r="L31" i="100" s="1"/>
  <c r="B31" i="100"/>
  <c r="Z30" i="100"/>
  <c r="X30" i="100"/>
  <c r="N30" i="100"/>
  <c r="L30" i="100"/>
  <c r="J30" i="100"/>
  <c r="B30" i="100"/>
  <c r="X29" i="100"/>
  <c r="T29" i="100"/>
  <c r="Z29" i="100" s="1"/>
  <c r="P29" i="100"/>
  <c r="N29" i="100"/>
  <c r="J29" i="100"/>
  <c r="H29" i="100"/>
  <c r="L29" i="100" s="1"/>
  <c r="D29" i="100"/>
  <c r="B29" i="100"/>
  <c r="Z28" i="100"/>
  <c r="X28" i="100"/>
  <c r="L28" i="100"/>
  <c r="N28" i="100" s="1"/>
  <c r="J28" i="100"/>
  <c r="F28" i="100"/>
  <c r="B28" i="100"/>
  <c r="X27" i="100"/>
  <c r="Z27" i="100" s="1"/>
  <c r="L27" i="100"/>
  <c r="N27" i="100" s="1"/>
  <c r="B27" i="100"/>
  <c r="X26" i="100"/>
  <c r="Z26" i="100" s="1"/>
  <c r="L26" i="100"/>
  <c r="N26" i="100" s="1"/>
  <c r="J26" i="100"/>
  <c r="F26" i="100"/>
  <c r="B26" i="100"/>
  <c r="Z25" i="100"/>
  <c r="X25" i="100"/>
  <c r="N25" i="100"/>
  <c r="L25" i="100"/>
  <c r="B25" i="100"/>
  <c r="X24" i="100"/>
  <c r="Z24" i="100" s="1"/>
  <c r="L24" i="100"/>
  <c r="N24" i="100" s="1"/>
  <c r="J24" i="100"/>
  <c r="B24" i="100"/>
  <c r="X23" i="100"/>
  <c r="Z23" i="100" s="1"/>
  <c r="L23" i="100"/>
  <c r="N23" i="100" s="1"/>
  <c r="B23" i="100"/>
  <c r="X22" i="100"/>
  <c r="Z22" i="100" s="1"/>
  <c r="V22" i="100"/>
  <c r="L22" i="100"/>
  <c r="N22" i="100" s="1"/>
  <c r="J22" i="100"/>
  <c r="B22" i="100"/>
  <c r="Z21" i="100"/>
  <c r="X21" i="100"/>
  <c r="L21" i="100"/>
  <c r="N21" i="100" s="1"/>
  <c r="B21" i="100"/>
  <c r="T20" i="100"/>
  <c r="P20" i="100"/>
  <c r="X20" i="100" s="1"/>
  <c r="Z20" i="100" s="1"/>
  <c r="L20" i="100"/>
  <c r="N20" i="100" s="1"/>
  <c r="J20" i="100"/>
  <c r="H20" i="100"/>
  <c r="D20" i="100"/>
  <c r="B20" i="100"/>
  <c r="X19" i="100"/>
  <c r="Z19" i="100" s="1"/>
  <c r="T19" i="100"/>
  <c r="P19" i="100"/>
  <c r="L19" i="100"/>
  <c r="N19" i="100" s="1"/>
  <c r="H19" i="100"/>
  <c r="D19" i="100"/>
  <c r="Z15" i="100"/>
  <c r="X15" i="100"/>
  <c r="N15" i="100"/>
  <c r="L15" i="100"/>
  <c r="J15" i="100"/>
  <c r="B15" i="100"/>
  <c r="X14" i="100"/>
  <c r="T14" i="100"/>
  <c r="Z14" i="100" s="1"/>
  <c r="P14" i="100"/>
  <c r="L14" i="100"/>
  <c r="J14" i="100"/>
  <c r="H14" i="100"/>
  <c r="N14" i="100" s="1"/>
  <c r="D14" i="100"/>
  <c r="T12" i="100"/>
  <c r="V24" i="100" s="1"/>
  <c r="P12" i="100"/>
  <c r="R41" i="100" s="1"/>
  <c r="N12" i="100"/>
  <c r="H12" i="100"/>
  <c r="J50" i="100" s="1"/>
  <c r="D12" i="100"/>
  <c r="F50" i="100" s="1"/>
  <c r="D6" i="100"/>
  <c r="D4" i="100"/>
  <c r="R29" i="99"/>
  <c r="F29" i="99"/>
  <c r="P26" i="99"/>
  <c r="P29" i="99" s="1"/>
  <c r="F26" i="99"/>
  <c r="Z24" i="99"/>
  <c r="X24" i="99"/>
  <c r="R24" i="99"/>
  <c r="N24" i="99"/>
  <c r="L24" i="99"/>
  <c r="J24" i="99"/>
  <c r="V22" i="99"/>
  <c r="J22" i="99"/>
  <c r="F22" i="99"/>
  <c r="X20" i="99"/>
  <c r="T20" i="99"/>
  <c r="Z20" i="99" s="1"/>
  <c r="R20" i="99"/>
  <c r="P20" i="99"/>
  <c r="L20" i="99"/>
  <c r="J20" i="99"/>
  <c r="H20" i="99"/>
  <c r="N20" i="99" s="1"/>
  <c r="F20" i="99"/>
  <c r="D20" i="99"/>
  <c r="V18" i="99"/>
  <c r="T18" i="99"/>
  <c r="P18" i="99"/>
  <c r="J18" i="99"/>
  <c r="H18" i="99"/>
  <c r="N18" i="99" s="1"/>
  <c r="F18" i="99"/>
  <c r="D18" i="99"/>
  <c r="R16" i="99"/>
  <c r="J16" i="99"/>
  <c r="F16" i="99"/>
  <c r="V14" i="99"/>
  <c r="T14" i="99"/>
  <c r="Z14" i="99" s="1"/>
  <c r="P14" i="99"/>
  <c r="J14" i="99"/>
  <c r="H14" i="99"/>
  <c r="F14" i="99"/>
  <c r="D14" i="99"/>
  <c r="X12" i="99"/>
  <c r="T12" i="99"/>
  <c r="V16" i="99" s="1"/>
  <c r="P12" i="99"/>
  <c r="P16" i="99" s="1"/>
  <c r="P22" i="99" s="1"/>
  <c r="N12" i="99"/>
  <c r="H12" i="99"/>
  <c r="J29" i="99" s="1"/>
  <c r="D12" i="99"/>
  <c r="D6" i="99"/>
  <c r="D4" i="99"/>
  <c r="Z78" i="98"/>
  <c r="X78" i="98"/>
  <c r="L78" i="98"/>
  <c r="N78" i="98" s="1"/>
  <c r="T74" i="98"/>
  <c r="Z74" i="98" s="1"/>
  <c r="P74" i="98"/>
  <c r="H74" i="98"/>
  <c r="F74" i="98"/>
  <c r="D74" i="98"/>
  <c r="Z72" i="98"/>
  <c r="X72" i="98"/>
  <c r="N72" i="98"/>
  <c r="L72" i="98"/>
  <c r="B72" i="98"/>
  <c r="Z71" i="98"/>
  <c r="X71" i="98"/>
  <c r="T71" i="98"/>
  <c r="P71" i="98"/>
  <c r="N71" i="98"/>
  <c r="L71" i="98"/>
  <c r="H71" i="98"/>
  <c r="D71" i="98"/>
  <c r="B71" i="98"/>
  <c r="Z70" i="98"/>
  <c r="X70" i="98"/>
  <c r="N70" i="98"/>
  <c r="L70" i="98"/>
  <c r="B70" i="98"/>
  <c r="X69" i="98"/>
  <c r="Z69" i="98" s="1"/>
  <c r="T69" i="98"/>
  <c r="P69" i="98"/>
  <c r="H69" i="98"/>
  <c r="D69" i="98"/>
  <c r="B69" i="98"/>
  <c r="Z68" i="98"/>
  <c r="X68" i="98"/>
  <c r="N68" i="98"/>
  <c r="L68" i="98"/>
  <c r="B68" i="98"/>
  <c r="X67" i="98"/>
  <c r="Z67" i="98" s="1"/>
  <c r="N67" i="98"/>
  <c r="L67" i="98"/>
  <c r="B67" i="98"/>
  <c r="Z66" i="98"/>
  <c r="X66" i="98"/>
  <c r="L66" i="98"/>
  <c r="N66" i="98" s="1"/>
  <c r="F66" i="98"/>
  <c r="B66" i="98"/>
  <c r="X65" i="98"/>
  <c r="Z65" i="98" s="1"/>
  <c r="L65" i="98"/>
  <c r="N65" i="98" s="1"/>
  <c r="B65" i="98"/>
  <c r="X64" i="98"/>
  <c r="Z64" i="98" s="1"/>
  <c r="N64" i="98"/>
  <c r="L64" i="98"/>
  <c r="B64" i="98"/>
  <c r="X63" i="98"/>
  <c r="T63" i="98"/>
  <c r="P63" i="98"/>
  <c r="L63" i="98"/>
  <c r="N63" i="98" s="1"/>
  <c r="H63" i="98"/>
  <c r="D63" i="98"/>
  <c r="B63" i="98"/>
  <c r="Z62" i="98"/>
  <c r="X62" i="98"/>
  <c r="L62" i="98"/>
  <c r="N62" i="98" s="1"/>
  <c r="B62" i="98"/>
  <c r="T61" i="98"/>
  <c r="Z61" i="98" s="1"/>
  <c r="P61" i="98"/>
  <c r="X61" i="98" s="1"/>
  <c r="H61" i="98"/>
  <c r="D61" i="98"/>
  <c r="L61" i="98" s="1"/>
  <c r="B61" i="98"/>
  <c r="X60" i="98"/>
  <c r="Z60" i="98" s="1"/>
  <c r="N60" i="98"/>
  <c r="L60" i="98"/>
  <c r="B60" i="98"/>
  <c r="Z59" i="98"/>
  <c r="X59" i="98"/>
  <c r="N59" i="98"/>
  <c r="L59" i="98"/>
  <c r="B59" i="98"/>
  <c r="X58" i="98"/>
  <c r="Z58" i="98" s="1"/>
  <c r="N58" i="98"/>
  <c r="L58" i="98"/>
  <c r="B58" i="98"/>
  <c r="T57" i="98"/>
  <c r="P57" i="98"/>
  <c r="X57" i="98" s="1"/>
  <c r="H57" i="98"/>
  <c r="N57" i="98" s="1"/>
  <c r="D57" i="98"/>
  <c r="L57" i="98" s="1"/>
  <c r="B57" i="98"/>
  <c r="Z56" i="98"/>
  <c r="X56" i="98"/>
  <c r="N56" i="98"/>
  <c r="L56" i="98"/>
  <c r="B56" i="98"/>
  <c r="X55" i="98"/>
  <c r="Z55" i="98" s="1"/>
  <c r="T55" i="98"/>
  <c r="P55" i="98"/>
  <c r="N55" i="98"/>
  <c r="L55" i="98"/>
  <c r="H55" i="98"/>
  <c r="D55" i="98"/>
  <c r="B55" i="98"/>
  <c r="Z54" i="98"/>
  <c r="X54" i="98"/>
  <c r="L54" i="98"/>
  <c r="N54" i="98" s="1"/>
  <c r="B54" i="98"/>
  <c r="Z53" i="98"/>
  <c r="X53" i="98"/>
  <c r="L53" i="98"/>
  <c r="N53" i="98" s="1"/>
  <c r="B53" i="98"/>
  <c r="T52" i="98"/>
  <c r="P52" i="98"/>
  <c r="X52" i="98" s="1"/>
  <c r="Z52" i="98" s="1"/>
  <c r="H52" i="98"/>
  <c r="D52" i="98"/>
  <c r="L52" i="98" s="1"/>
  <c r="N52" i="98" s="1"/>
  <c r="B52" i="98"/>
  <c r="Z51" i="98"/>
  <c r="X51" i="98"/>
  <c r="N51" i="98"/>
  <c r="L51" i="98"/>
  <c r="B51" i="98"/>
  <c r="Z50" i="98"/>
  <c r="X50" i="98"/>
  <c r="T50" i="98"/>
  <c r="P50" i="98"/>
  <c r="N50" i="98"/>
  <c r="L50" i="98"/>
  <c r="H50" i="98"/>
  <c r="D50" i="98"/>
  <c r="B50" i="98"/>
  <c r="Z49" i="98"/>
  <c r="X49" i="98"/>
  <c r="N49" i="98"/>
  <c r="L49" i="98"/>
  <c r="F49" i="98"/>
  <c r="B49" i="98"/>
  <c r="T48" i="98"/>
  <c r="P48" i="98"/>
  <c r="H48" i="98"/>
  <c r="N48" i="98" s="1"/>
  <c r="F48" i="98"/>
  <c r="D48" i="98"/>
  <c r="B48" i="98"/>
  <c r="Z47" i="98"/>
  <c r="X47" i="98"/>
  <c r="L47" i="98"/>
  <c r="N47" i="98" s="1"/>
  <c r="B47" i="98"/>
  <c r="Z46" i="98"/>
  <c r="X46" i="98"/>
  <c r="L46" i="98"/>
  <c r="N46" i="98" s="1"/>
  <c r="B46" i="98"/>
  <c r="T45" i="98"/>
  <c r="P45" i="98"/>
  <c r="H45" i="98"/>
  <c r="D45" i="98"/>
  <c r="L45" i="98" s="1"/>
  <c r="B45" i="98"/>
  <c r="X44" i="98"/>
  <c r="Z44" i="98" s="1"/>
  <c r="N44" i="98"/>
  <c r="L44" i="98"/>
  <c r="F44" i="98"/>
  <c r="B44" i="98"/>
  <c r="T43" i="98"/>
  <c r="Z43" i="98" s="1"/>
  <c r="P43" i="98"/>
  <c r="X43" i="98" s="1"/>
  <c r="H43" i="98"/>
  <c r="D43" i="98"/>
  <c r="L43" i="98" s="1"/>
  <c r="B43" i="98"/>
  <c r="Z42" i="98"/>
  <c r="X42" i="98"/>
  <c r="N42" i="98"/>
  <c r="L42" i="98"/>
  <c r="B42" i="98"/>
  <c r="Z41" i="98"/>
  <c r="X41" i="98"/>
  <c r="T41" i="98"/>
  <c r="P41" i="98"/>
  <c r="N41" i="98"/>
  <c r="L41" i="98"/>
  <c r="H41" i="98"/>
  <c r="D41" i="98"/>
  <c r="B41" i="98"/>
  <c r="Z40" i="98"/>
  <c r="X40" i="98"/>
  <c r="L40" i="98"/>
  <c r="N40" i="98" s="1"/>
  <c r="B40" i="98"/>
  <c r="T39" i="98"/>
  <c r="P39" i="98"/>
  <c r="X39" i="98" s="1"/>
  <c r="J39" i="98"/>
  <c r="H39" i="98"/>
  <c r="D39" i="98"/>
  <c r="B39" i="98"/>
  <c r="X38" i="98"/>
  <c r="Z38" i="98" s="1"/>
  <c r="N38" i="98"/>
  <c r="L38" i="98"/>
  <c r="B38" i="98"/>
  <c r="X37" i="98"/>
  <c r="Z37" i="98" s="1"/>
  <c r="N37" i="98"/>
  <c r="L37" i="98"/>
  <c r="B37" i="98"/>
  <c r="Z36" i="98"/>
  <c r="X36" i="98"/>
  <c r="N36" i="98"/>
  <c r="L36" i="98"/>
  <c r="F36" i="98"/>
  <c r="B36" i="98"/>
  <c r="X35" i="98"/>
  <c r="Z35" i="98" s="1"/>
  <c r="L35" i="98"/>
  <c r="N35" i="98" s="1"/>
  <c r="B35" i="98"/>
  <c r="X34" i="98"/>
  <c r="Z34" i="98" s="1"/>
  <c r="N34" i="98"/>
  <c r="L34" i="98"/>
  <c r="B34" i="98"/>
  <c r="X33" i="98"/>
  <c r="Z33" i="98" s="1"/>
  <c r="L33" i="98"/>
  <c r="N33" i="98" s="1"/>
  <c r="B33" i="98"/>
  <c r="X32" i="98"/>
  <c r="Z32" i="98" s="1"/>
  <c r="T32" i="98"/>
  <c r="P32" i="98"/>
  <c r="L32" i="98"/>
  <c r="N32" i="98" s="1"/>
  <c r="H32" i="98"/>
  <c r="D32" i="98"/>
  <c r="B32" i="98"/>
  <c r="X31" i="98"/>
  <c r="Z31" i="98" s="1"/>
  <c r="N31" i="98"/>
  <c r="L31" i="98"/>
  <c r="B31" i="98"/>
  <c r="Z30" i="98"/>
  <c r="X30" i="98"/>
  <c r="N30" i="98"/>
  <c r="L30" i="98"/>
  <c r="J30" i="98"/>
  <c r="B30" i="98"/>
  <c r="Z29" i="98"/>
  <c r="X29" i="98"/>
  <c r="N29" i="98"/>
  <c r="L29" i="98"/>
  <c r="F29" i="98"/>
  <c r="B29" i="98"/>
  <c r="Z28" i="98"/>
  <c r="X28" i="98"/>
  <c r="N28" i="98"/>
  <c r="L28" i="98"/>
  <c r="J28" i="98"/>
  <c r="B28" i="98"/>
  <c r="X27" i="98"/>
  <c r="Z27" i="98" s="1"/>
  <c r="L27" i="98"/>
  <c r="N27" i="98" s="1"/>
  <c r="B27" i="98"/>
  <c r="Z26" i="98"/>
  <c r="X26" i="98"/>
  <c r="N26" i="98"/>
  <c r="L26" i="98"/>
  <c r="B26" i="98"/>
  <c r="X25" i="98"/>
  <c r="Z25" i="98" s="1"/>
  <c r="N25" i="98"/>
  <c r="L25" i="98"/>
  <c r="J25" i="98"/>
  <c r="F25" i="98"/>
  <c r="B25" i="98"/>
  <c r="Z24" i="98"/>
  <c r="X24" i="98"/>
  <c r="N24" i="98"/>
  <c r="L24" i="98"/>
  <c r="J24" i="98"/>
  <c r="B24" i="98"/>
  <c r="T23" i="98"/>
  <c r="P23" i="98"/>
  <c r="L23" i="98"/>
  <c r="N23" i="98" s="1"/>
  <c r="H23" i="98"/>
  <c r="D23" i="98"/>
  <c r="B23" i="98"/>
  <c r="T22" i="98"/>
  <c r="P22" i="98"/>
  <c r="X22" i="98" s="1"/>
  <c r="Z22" i="98" s="1"/>
  <c r="J22" i="98"/>
  <c r="H22" i="98"/>
  <c r="D22" i="98"/>
  <c r="L22" i="98" s="1"/>
  <c r="N22" i="98" s="1"/>
  <c r="H20" i="98"/>
  <c r="D20" i="98"/>
  <c r="Z18" i="98"/>
  <c r="X18" i="98"/>
  <c r="L18" i="98"/>
  <c r="N18" i="98" s="1"/>
  <c r="J18" i="98"/>
  <c r="B18" i="98"/>
  <c r="Z17" i="98"/>
  <c r="X17" i="98"/>
  <c r="L17" i="98"/>
  <c r="N17" i="98" s="1"/>
  <c r="B17" i="98"/>
  <c r="T16" i="98"/>
  <c r="P16" i="98"/>
  <c r="X16" i="98" s="1"/>
  <c r="N16" i="98"/>
  <c r="J16" i="98"/>
  <c r="H16" i="98"/>
  <c r="D16" i="98"/>
  <c r="L16" i="98" s="1"/>
  <c r="T14" i="98"/>
  <c r="P14" i="98"/>
  <c r="X14" i="98" s="1"/>
  <c r="Z14" i="98" s="1"/>
  <c r="H14" i="98"/>
  <c r="D14" i="98"/>
  <c r="B14" i="98"/>
  <c r="T13" i="98"/>
  <c r="P13" i="98"/>
  <c r="L13" i="98"/>
  <c r="H13" i="98"/>
  <c r="D13" i="98"/>
  <c r="D12" i="98" s="1"/>
  <c r="F34" i="98" s="1"/>
  <c r="B13" i="98"/>
  <c r="H12" i="98"/>
  <c r="J69" i="98" s="1"/>
  <c r="D6" i="98"/>
  <c r="D4" i="98"/>
  <c r="X86" i="96"/>
  <c r="Z86" i="96" s="1"/>
  <c r="N86" i="96"/>
  <c r="L86" i="96"/>
  <c r="Z82" i="96"/>
  <c r="T82" i="96"/>
  <c r="P82" i="96"/>
  <c r="X82" i="96" s="1"/>
  <c r="H82" i="96"/>
  <c r="N82" i="96" s="1"/>
  <c r="D82" i="96"/>
  <c r="Z80" i="96"/>
  <c r="X80" i="96"/>
  <c r="L80" i="96"/>
  <c r="N80" i="96" s="1"/>
  <c r="J80" i="96"/>
  <c r="B80" i="96"/>
  <c r="T79" i="96"/>
  <c r="P79" i="96"/>
  <c r="H79" i="96"/>
  <c r="D79" i="96"/>
  <c r="L79" i="96" s="1"/>
  <c r="B79" i="96"/>
  <c r="X78" i="96"/>
  <c r="Z78" i="96" s="1"/>
  <c r="N78" i="96"/>
  <c r="L78" i="96"/>
  <c r="B78" i="96"/>
  <c r="T77" i="96"/>
  <c r="P77" i="96"/>
  <c r="X77" i="96" s="1"/>
  <c r="H77" i="96"/>
  <c r="N77" i="96" s="1"/>
  <c r="D77" i="96"/>
  <c r="L77" i="96" s="1"/>
  <c r="B77" i="96"/>
  <c r="Z76" i="96"/>
  <c r="X76" i="96"/>
  <c r="N76" i="96"/>
  <c r="L76" i="96"/>
  <c r="B76" i="96"/>
  <c r="T75" i="96"/>
  <c r="R75" i="96"/>
  <c r="P75" i="96"/>
  <c r="N75" i="96"/>
  <c r="L75" i="96"/>
  <c r="H75" i="96"/>
  <c r="D75" i="96"/>
  <c r="B75" i="96"/>
  <c r="Z74" i="96"/>
  <c r="X74" i="96"/>
  <c r="L74" i="96"/>
  <c r="N74" i="96" s="1"/>
  <c r="B74" i="96"/>
  <c r="Z73" i="96"/>
  <c r="X73" i="96"/>
  <c r="L73" i="96"/>
  <c r="N73" i="96" s="1"/>
  <c r="B73" i="96"/>
  <c r="Z72" i="96"/>
  <c r="X72" i="96"/>
  <c r="L72" i="96"/>
  <c r="N72" i="96" s="1"/>
  <c r="B72" i="96"/>
  <c r="Z71" i="96"/>
  <c r="X71" i="96"/>
  <c r="L71" i="96"/>
  <c r="N71" i="96" s="1"/>
  <c r="B71" i="96"/>
  <c r="Z70" i="96"/>
  <c r="X70" i="96"/>
  <c r="N70" i="96"/>
  <c r="L70" i="96"/>
  <c r="B70" i="96"/>
  <c r="Z69" i="96"/>
  <c r="X69" i="96"/>
  <c r="L69" i="96"/>
  <c r="N69" i="96" s="1"/>
  <c r="B69" i="96"/>
  <c r="Z68" i="96"/>
  <c r="X68" i="96"/>
  <c r="L68" i="96"/>
  <c r="N68" i="96" s="1"/>
  <c r="B68" i="96"/>
  <c r="T67" i="96"/>
  <c r="P67" i="96"/>
  <c r="H67" i="96"/>
  <c r="D67" i="96"/>
  <c r="L67" i="96" s="1"/>
  <c r="N67" i="96" s="1"/>
  <c r="B67" i="96"/>
  <c r="Z66" i="96"/>
  <c r="X66" i="96"/>
  <c r="L66" i="96"/>
  <c r="N66" i="96" s="1"/>
  <c r="B66" i="96"/>
  <c r="X65" i="96"/>
  <c r="T65" i="96"/>
  <c r="P65" i="96"/>
  <c r="H65" i="96"/>
  <c r="D65" i="96"/>
  <c r="L65" i="96" s="1"/>
  <c r="B65" i="96"/>
  <c r="Z64" i="96"/>
  <c r="X64" i="96"/>
  <c r="N64" i="96"/>
  <c r="L64" i="96"/>
  <c r="B64" i="96"/>
  <c r="X63" i="96"/>
  <c r="Z63" i="96" s="1"/>
  <c r="R63" i="96"/>
  <c r="N63" i="96"/>
  <c r="L63" i="96"/>
  <c r="B63" i="96"/>
  <c r="X62" i="96"/>
  <c r="Z62" i="96" s="1"/>
  <c r="N62" i="96"/>
  <c r="L62" i="96"/>
  <c r="J62" i="96"/>
  <c r="B62" i="96"/>
  <c r="Z61" i="96"/>
  <c r="X61" i="96"/>
  <c r="N61" i="96"/>
  <c r="L61" i="96"/>
  <c r="B61" i="96"/>
  <c r="X60" i="96"/>
  <c r="Z60" i="96" s="1"/>
  <c r="N60" i="96"/>
  <c r="L60" i="96"/>
  <c r="B60" i="96"/>
  <c r="T59" i="96"/>
  <c r="P59" i="96"/>
  <c r="X59" i="96" s="1"/>
  <c r="Z59" i="96" s="1"/>
  <c r="N59" i="96"/>
  <c r="L59" i="96"/>
  <c r="H59" i="96"/>
  <c r="D59" i="96"/>
  <c r="B59" i="96"/>
  <c r="Z58" i="96"/>
  <c r="X58" i="96"/>
  <c r="L58" i="96"/>
  <c r="N58" i="96" s="1"/>
  <c r="B58" i="96"/>
  <c r="T57" i="96"/>
  <c r="P57" i="96"/>
  <c r="H57" i="96"/>
  <c r="D57" i="96"/>
  <c r="L57" i="96" s="1"/>
  <c r="N57" i="96" s="1"/>
  <c r="B57" i="96"/>
  <c r="Z56" i="96"/>
  <c r="X56" i="96"/>
  <c r="L56" i="96"/>
  <c r="N56" i="96" s="1"/>
  <c r="B56" i="96"/>
  <c r="T55" i="96"/>
  <c r="R55" i="96"/>
  <c r="P55" i="96"/>
  <c r="L55" i="96"/>
  <c r="H55" i="96"/>
  <c r="D55" i="96"/>
  <c r="B55" i="96"/>
  <c r="Z54" i="96"/>
  <c r="X54" i="96"/>
  <c r="R54" i="96"/>
  <c r="N54" i="96"/>
  <c r="L54" i="96"/>
  <c r="B54" i="96"/>
  <c r="T53" i="96"/>
  <c r="P53" i="96"/>
  <c r="X53" i="96" s="1"/>
  <c r="L53" i="96"/>
  <c r="H53" i="96"/>
  <c r="D53" i="96"/>
  <c r="B53" i="96"/>
  <c r="Z52" i="96"/>
  <c r="X52" i="96"/>
  <c r="N52" i="96"/>
  <c r="L52" i="96"/>
  <c r="B52" i="96"/>
  <c r="Z51" i="96"/>
  <c r="X51" i="96"/>
  <c r="T51" i="96"/>
  <c r="P51" i="96"/>
  <c r="N51" i="96"/>
  <c r="H51" i="96"/>
  <c r="D51" i="96"/>
  <c r="L51" i="96" s="1"/>
  <c r="B51" i="96"/>
  <c r="Z50" i="96"/>
  <c r="X50" i="96"/>
  <c r="N50" i="96"/>
  <c r="L50" i="96"/>
  <c r="B50" i="96"/>
  <c r="T49" i="96"/>
  <c r="P49" i="96"/>
  <c r="X49" i="96" s="1"/>
  <c r="L49" i="96"/>
  <c r="H49" i="96"/>
  <c r="D49" i="96"/>
  <c r="B49" i="96"/>
  <c r="Z48" i="96"/>
  <c r="X48" i="96"/>
  <c r="N48" i="96"/>
  <c r="L48" i="96"/>
  <c r="J48" i="96"/>
  <c r="B48" i="96"/>
  <c r="Z47" i="96"/>
  <c r="T47" i="96"/>
  <c r="P47" i="96"/>
  <c r="X47" i="96" s="1"/>
  <c r="H47" i="96"/>
  <c r="N47" i="96" s="1"/>
  <c r="D47" i="96"/>
  <c r="L47" i="96" s="1"/>
  <c r="B47" i="96"/>
  <c r="X46" i="96"/>
  <c r="Z46" i="96" s="1"/>
  <c r="N46" i="96"/>
  <c r="L46" i="96"/>
  <c r="F46" i="96"/>
  <c r="B46" i="96"/>
  <c r="Z45" i="96"/>
  <c r="X45" i="96"/>
  <c r="N45" i="96"/>
  <c r="L45" i="96"/>
  <c r="B45" i="96"/>
  <c r="X44" i="96"/>
  <c r="T44" i="96"/>
  <c r="P44" i="96"/>
  <c r="H44" i="96"/>
  <c r="D44" i="96"/>
  <c r="B44" i="96"/>
  <c r="X43" i="96"/>
  <c r="Z43" i="96" s="1"/>
  <c r="N43" i="96"/>
  <c r="L43" i="96"/>
  <c r="B43" i="96"/>
  <c r="T42" i="96"/>
  <c r="R42" i="96"/>
  <c r="P42" i="96"/>
  <c r="H42" i="96"/>
  <c r="D42" i="96"/>
  <c r="L42" i="96" s="1"/>
  <c r="N42" i="96" s="1"/>
  <c r="B42" i="96"/>
  <c r="Z41" i="96"/>
  <c r="X41" i="96"/>
  <c r="R41" i="96"/>
  <c r="N41" i="96"/>
  <c r="L41" i="96"/>
  <c r="B41" i="96"/>
  <c r="T40" i="96"/>
  <c r="P40" i="96"/>
  <c r="X40" i="96" s="1"/>
  <c r="N40" i="96"/>
  <c r="L40" i="96"/>
  <c r="H40" i="96"/>
  <c r="D40" i="96"/>
  <c r="B40" i="96"/>
  <c r="Z39" i="96"/>
  <c r="X39" i="96"/>
  <c r="L39" i="96"/>
  <c r="N39" i="96" s="1"/>
  <c r="B39" i="96"/>
  <c r="T38" i="96"/>
  <c r="P38" i="96"/>
  <c r="L38" i="96"/>
  <c r="H38" i="96"/>
  <c r="N38" i="96" s="1"/>
  <c r="D38" i="96"/>
  <c r="B38" i="96"/>
  <c r="Z37" i="96"/>
  <c r="X37" i="96"/>
  <c r="N37" i="96"/>
  <c r="L37" i="96"/>
  <c r="J37" i="96"/>
  <c r="B37" i="96"/>
  <c r="Z36" i="96"/>
  <c r="X36" i="96"/>
  <c r="N36" i="96"/>
  <c r="L36" i="96"/>
  <c r="B36" i="96"/>
  <c r="Z35" i="96"/>
  <c r="X35" i="96"/>
  <c r="N35" i="96"/>
  <c r="L35" i="96"/>
  <c r="B35" i="96"/>
  <c r="X34" i="96"/>
  <c r="Z34" i="96" s="1"/>
  <c r="R34" i="96"/>
  <c r="N34" i="96"/>
  <c r="L34" i="96"/>
  <c r="B34" i="96"/>
  <c r="Z33" i="96"/>
  <c r="X33" i="96"/>
  <c r="N33" i="96"/>
  <c r="L33" i="96"/>
  <c r="B33" i="96"/>
  <c r="T32" i="96"/>
  <c r="P32" i="96"/>
  <c r="X32" i="96" s="1"/>
  <c r="H32" i="96"/>
  <c r="D32" i="96"/>
  <c r="L32" i="96" s="1"/>
  <c r="B32" i="96"/>
  <c r="Z31" i="96"/>
  <c r="X31" i="96"/>
  <c r="N31" i="96"/>
  <c r="L31" i="96"/>
  <c r="B31" i="96"/>
  <c r="Z30" i="96"/>
  <c r="X30" i="96"/>
  <c r="L30" i="96"/>
  <c r="N30" i="96" s="1"/>
  <c r="B30" i="96"/>
  <c r="Z29" i="96"/>
  <c r="X29" i="96"/>
  <c r="R29" i="96"/>
  <c r="N29" i="96"/>
  <c r="L29" i="96"/>
  <c r="B29" i="96"/>
  <c r="X28" i="96"/>
  <c r="Z28" i="96" s="1"/>
  <c r="L28" i="96"/>
  <c r="N28" i="96" s="1"/>
  <c r="B28" i="96"/>
  <c r="Z27" i="96"/>
  <c r="X27" i="96"/>
  <c r="N27" i="96"/>
  <c r="L27" i="96"/>
  <c r="B27" i="96"/>
  <c r="Z26" i="96"/>
  <c r="X26" i="96"/>
  <c r="L26" i="96"/>
  <c r="N26" i="96" s="1"/>
  <c r="B26" i="96"/>
  <c r="Z25" i="96"/>
  <c r="X25" i="96"/>
  <c r="R25" i="96"/>
  <c r="N25" i="96"/>
  <c r="L25" i="96"/>
  <c r="B25" i="96"/>
  <c r="X24" i="96"/>
  <c r="Z24" i="96" s="1"/>
  <c r="L24" i="96"/>
  <c r="N24" i="96" s="1"/>
  <c r="J24" i="96"/>
  <c r="B24" i="96"/>
  <c r="T23" i="96"/>
  <c r="P23" i="96"/>
  <c r="X23" i="96" s="1"/>
  <c r="Z23" i="96" s="1"/>
  <c r="H23" i="96"/>
  <c r="D23" i="96"/>
  <c r="B23" i="96"/>
  <c r="T22" i="96"/>
  <c r="P22" i="96"/>
  <c r="L22" i="96"/>
  <c r="J22" i="96"/>
  <c r="H22" i="96"/>
  <c r="N22" i="96" s="1"/>
  <c r="D22" i="96"/>
  <c r="X18" i="96"/>
  <c r="Z18" i="96" s="1"/>
  <c r="R18" i="96"/>
  <c r="L18" i="96"/>
  <c r="N18" i="96" s="1"/>
  <c r="F18" i="96"/>
  <c r="B18" i="96"/>
  <c r="Z17" i="96"/>
  <c r="X17" i="96"/>
  <c r="N17" i="96"/>
  <c r="L17" i="96"/>
  <c r="J17" i="96"/>
  <c r="B17" i="96"/>
  <c r="X16" i="96"/>
  <c r="T16" i="96"/>
  <c r="P16" i="96"/>
  <c r="H16" i="96"/>
  <c r="D16" i="96"/>
  <c r="X14" i="96"/>
  <c r="T14" i="96"/>
  <c r="P14" i="96"/>
  <c r="H14" i="96"/>
  <c r="D14" i="96"/>
  <c r="L14" i="96" s="1"/>
  <c r="N14" i="96" s="1"/>
  <c r="B14" i="96"/>
  <c r="T13" i="96"/>
  <c r="P13" i="96"/>
  <c r="N13" i="96"/>
  <c r="L13" i="96"/>
  <c r="H13" i="96"/>
  <c r="H12" i="96" s="1"/>
  <c r="D13" i="96"/>
  <c r="B13" i="96"/>
  <c r="P12" i="96"/>
  <c r="D12" i="96"/>
  <c r="F37" i="96" s="1"/>
  <c r="D6" i="96"/>
  <c r="D4" i="96"/>
  <c r="Z75" i="95"/>
  <c r="X75" i="95"/>
  <c r="L75" i="95"/>
  <c r="N75" i="95" s="1"/>
  <c r="X71" i="95"/>
  <c r="T71" i="95"/>
  <c r="Z71" i="95" s="1"/>
  <c r="P71" i="95"/>
  <c r="H71" i="95"/>
  <c r="D71" i="95"/>
  <c r="X69" i="95"/>
  <c r="Z69" i="95" s="1"/>
  <c r="N69" i="95"/>
  <c r="L69" i="95"/>
  <c r="B69" i="95"/>
  <c r="Z68" i="95"/>
  <c r="T68" i="95"/>
  <c r="P68" i="95"/>
  <c r="X68" i="95" s="1"/>
  <c r="N68" i="95"/>
  <c r="L68" i="95"/>
  <c r="H68" i="95"/>
  <c r="D68" i="95"/>
  <c r="B68" i="95"/>
  <c r="X67" i="95"/>
  <c r="Z67" i="95" s="1"/>
  <c r="L67" i="95"/>
  <c r="N67" i="95" s="1"/>
  <c r="B67" i="95"/>
  <c r="T66" i="95"/>
  <c r="P66" i="95"/>
  <c r="X66" i="95" s="1"/>
  <c r="Z66" i="95" s="1"/>
  <c r="L66" i="95"/>
  <c r="N66" i="95" s="1"/>
  <c r="H66" i="95"/>
  <c r="D66" i="95"/>
  <c r="B66" i="95"/>
  <c r="X65" i="95"/>
  <c r="Z65" i="95" s="1"/>
  <c r="N65" i="95"/>
  <c r="L65" i="95"/>
  <c r="B65" i="95"/>
  <c r="Z64" i="95"/>
  <c r="X64" i="95"/>
  <c r="N64" i="95"/>
  <c r="L64" i="95"/>
  <c r="B64" i="95"/>
  <c r="Z63" i="95"/>
  <c r="X63" i="95"/>
  <c r="N63" i="95"/>
  <c r="L63" i="95"/>
  <c r="B63" i="95"/>
  <c r="Z62" i="95"/>
  <c r="X62" i="95"/>
  <c r="N62" i="95"/>
  <c r="L62" i="95"/>
  <c r="B62" i="95"/>
  <c r="X61" i="95"/>
  <c r="Z61" i="95" s="1"/>
  <c r="L61" i="95"/>
  <c r="N61" i="95" s="1"/>
  <c r="J61" i="95"/>
  <c r="B61" i="95"/>
  <c r="Z60" i="95"/>
  <c r="X60" i="95"/>
  <c r="N60" i="95"/>
  <c r="L60" i="95"/>
  <c r="B60" i="95"/>
  <c r="Z59" i="95"/>
  <c r="X59" i="95"/>
  <c r="N59" i="95"/>
  <c r="L59" i="95"/>
  <c r="B59" i="95"/>
  <c r="T58" i="95"/>
  <c r="P58" i="95"/>
  <c r="X58" i="95" s="1"/>
  <c r="H58" i="95"/>
  <c r="D58" i="95"/>
  <c r="L58" i="95" s="1"/>
  <c r="N58" i="95" s="1"/>
  <c r="B58" i="95"/>
  <c r="X57" i="95"/>
  <c r="Z57" i="95" s="1"/>
  <c r="R57" i="95"/>
  <c r="N57" i="95"/>
  <c r="L57" i="95"/>
  <c r="B57" i="95"/>
  <c r="T56" i="95"/>
  <c r="P56" i="95"/>
  <c r="X56" i="95" s="1"/>
  <c r="Z56" i="95" s="1"/>
  <c r="N56" i="95"/>
  <c r="L56" i="95"/>
  <c r="H56" i="95"/>
  <c r="D56" i="95"/>
  <c r="B56" i="95"/>
  <c r="X55" i="95"/>
  <c r="Z55" i="95" s="1"/>
  <c r="N55" i="95"/>
  <c r="L55" i="95"/>
  <c r="B55" i="95"/>
  <c r="T54" i="95"/>
  <c r="X54" i="95" s="1"/>
  <c r="Z54" i="95" s="1"/>
  <c r="P54" i="95"/>
  <c r="N54" i="95"/>
  <c r="L54" i="95"/>
  <c r="H54" i="95"/>
  <c r="D54" i="95"/>
  <c r="B54" i="95"/>
  <c r="X53" i="95"/>
  <c r="Z53" i="95" s="1"/>
  <c r="L53" i="95"/>
  <c r="N53" i="95" s="1"/>
  <c r="B53" i="95"/>
  <c r="T52" i="95"/>
  <c r="P52" i="95"/>
  <c r="X52" i="95" s="1"/>
  <c r="Z52" i="95" s="1"/>
  <c r="J52" i="95"/>
  <c r="H52" i="95"/>
  <c r="D52" i="95"/>
  <c r="B52" i="95"/>
  <c r="X51" i="95"/>
  <c r="Z51" i="95" s="1"/>
  <c r="L51" i="95"/>
  <c r="N51" i="95" s="1"/>
  <c r="B51" i="95"/>
  <c r="Z50" i="95"/>
  <c r="X50" i="95"/>
  <c r="T50" i="95"/>
  <c r="P50" i="95"/>
  <c r="N50" i="95"/>
  <c r="H50" i="95"/>
  <c r="D50" i="95"/>
  <c r="L50" i="95" s="1"/>
  <c r="B50" i="95"/>
  <c r="Z49" i="95"/>
  <c r="X49" i="95"/>
  <c r="L49" i="95"/>
  <c r="N49" i="95" s="1"/>
  <c r="B49" i="95"/>
  <c r="X48" i="95"/>
  <c r="Z48" i="95" s="1"/>
  <c r="T48" i="95"/>
  <c r="P48" i="95"/>
  <c r="H48" i="95"/>
  <c r="L48" i="95" s="1"/>
  <c r="N48" i="95" s="1"/>
  <c r="D48" i="95"/>
  <c r="B48" i="95"/>
  <c r="X47" i="95"/>
  <c r="Z47" i="95" s="1"/>
  <c r="L47" i="95"/>
  <c r="N47" i="95" s="1"/>
  <c r="B47" i="95"/>
  <c r="T46" i="95"/>
  <c r="P46" i="95"/>
  <c r="X46" i="95" s="1"/>
  <c r="H46" i="95"/>
  <c r="D46" i="95"/>
  <c r="L46" i="95" s="1"/>
  <c r="N46" i="95" s="1"/>
  <c r="B46" i="95"/>
  <c r="X45" i="95"/>
  <c r="Z45" i="95" s="1"/>
  <c r="N45" i="95"/>
  <c r="L45" i="95"/>
  <c r="B45" i="95"/>
  <c r="T44" i="95"/>
  <c r="P44" i="95"/>
  <c r="X44" i="95" s="1"/>
  <c r="Z44" i="95" s="1"/>
  <c r="N44" i="95"/>
  <c r="L44" i="95"/>
  <c r="H44" i="95"/>
  <c r="D44" i="95"/>
  <c r="B44" i="95"/>
  <c r="X43" i="95"/>
  <c r="Z43" i="95" s="1"/>
  <c r="R43" i="95"/>
  <c r="L43" i="95"/>
  <c r="N43" i="95" s="1"/>
  <c r="B43" i="95"/>
  <c r="T42" i="95"/>
  <c r="X42" i="95" s="1"/>
  <c r="Z42" i="95" s="1"/>
  <c r="P42" i="95"/>
  <c r="L42" i="95"/>
  <c r="N42" i="95" s="1"/>
  <c r="H42" i="95"/>
  <c r="D42" i="95"/>
  <c r="B42" i="95"/>
  <c r="X41" i="95"/>
  <c r="Z41" i="95" s="1"/>
  <c r="L41" i="95"/>
  <c r="N41" i="95" s="1"/>
  <c r="B41" i="95"/>
  <c r="T40" i="95"/>
  <c r="P40" i="95"/>
  <c r="X40" i="95" s="1"/>
  <c r="Z40" i="95" s="1"/>
  <c r="H40" i="95"/>
  <c r="D40" i="95"/>
  <c r="L40" i="95" s="1"/>
  <c r="B40" i="95"/>
  <c r="X39" i="95"/>
  <c r="Z39" i="95" s="1"/>
  <c r="N39" i="95"/>
  <c r="L39" i="95"/>
  <c r="B39" i="95"/>
  <c r="Z38" i="95"/>
  <c r="X38" i="95"/>
  <c r="T38" i="95"/>
  <c r="P38" i="95"/>
  <c r="N38" i="95"/>
  <c r="H38" i="95"/>
  <c r="D38" i="95"/>
  <c r="L38" i="95" s="1"/>
  <c r="B38" i="95"/>
  <c r="Z37" i="95"/>
  <c r="X37" i="95"/>
  <c r="L37" i="95"/>
  <c r="N37" i="95" s="1"/>
  <c r="B37" i="95"/>
  <c r="Z36" i="95"/>
  <c r="X36" i="95"/>
  <c r="R36" i="95"/>
  <c r="N36" i="95"/>
  <c r="L36" i="95"/>
  <c r="B36" i="95"/>
  <c r="X35" i="95"/>
  <c r="Z35" i="95" s="1"/>
  <c r="N35" i="95"/>
  <c r="L35" i="95"/>
  <c r="B35" i="95"/>
  <c r="Z34" i="95"/>
  <c r="X34" i="95"/>
  <c r="N34" i="95"/>
  <c r="L34" i="95"/>
  <c r="B34" i="95"/>
  <c r="Z33" i="95"/>
  <c r="X33" i="95"/>
  <c r="L33" i="95"/>
  <c r="N33" i="95" s="1"/>
  <c r="B33" i="95"/>
  <c r="X32" i="95"/>
  <c r="T32" i="95"/>
  <c r="P32" i="95"/>
  <c r="H32" i="95"/>
  <c r="L32" i="95" s="1"/>
  <c r="N32" i="95" s="1"/>
  <c r="D32" i="95"/>
  <c r="B32" i="95"/>
  <c r="X31" i="95"/>
  <c r="Z31" i="95" s="1"/>
  <c r="L31" i="95"/>
  <c r="N31" i="95" s="1"/>
  <c r="B31" i="95"/>
  <c r="Z30" i="95"/>
  <c r="X30" i="95"/>
  <c r="L30" i="95"/>
  <c r="N30" i="95" s="1"/>
  <c r="B30" i="95"/>
  <c r="X29" i="95"/>
  <c r="Z29" i="95" s="1"/>
  <c r="L29" i="95"/>
  <c r="N29" i="95" s="1"/>
  <c r="B29" i="95"/>
  <c r="Z28" i="95"/>
  <c r="X28" i="95"/>
  <c r="N28" i="95"/>
  <c r="L28" i="95"/>
  <c r="B28" i="95"/>
  <c r="X27" i="95"/>
  <c r="Z27" i="95" s="1"/>
  <c r="L27" i="95"/>
  <c r="N27" i="95" s="1"/>
  <c r="B27" i="95"/>
  <c r="Z26" i="95"/>
  <c r="X26" i="95"/>
  <c r="L26" i="95"/>
  <c r="N26" i="95" s="1"/>
  <c r="B26" i="95"/>
  <c r="X25" i="95"/>
  <c r="Z25" i="95" s="1"/>
  <c r="L25" i="95"/>
  <c r="N25" i="95" s="1"/>
  <c r="B25" i="95"/>
  <c r="Z24" i="95"/>
  <c r="X24" i="95"/>
  <c r="N24" i="95"/>
  <c r="L24" i="95"/>
  <c r="B24" i="95"/>
  <c r="T23" i="95"/>
  <c r="P23" i="95"/>
  <c r="X23" i="95" s="1"/>
  <c r="Z23" i="95" s="1"/>
  <c r="L23" i="95"/>
  <c r="H23" i="95"/>
  <c r="D23" i="95"/>
  <c r="B23" i="95"/>
  <c r="X22" i="95"/>
  <c r="Z22" i="95" s="1"/>
  <c r="T22" i="95"/>
  <c r="P22" i="95"/>
  <c r="H22" i="95"/>
  <c r="D22" i="95"/>
  <c r="L22" i="95" s="1"/>
  <c r="N22" i="95" s="1"/>
  <c r="X18" i="95"/>
  <c r="Z18" i="95" s="1"/>
  <c r="N18" i="95"/>
  <c r="L18" i="95"/>
  <c r="J18" i="95"/>
  <c r="B18" i="95"/>
  <c r="X17" i="95"/>
  <c r="Z17" i="95" s="1"/>
  <c r="N17" i="95"/>
  <c r="L17" i="95"/>
  <c r="B17" i="95"/>
  <c r="T16" i="95"/>
  <c r="P16" i="95"/>
  <c r="X16" i="95" s="1"/>
  <c r="Z16" i="95" s="1"/>
  <c r="N16" i="95"/>
  <c r="L16" i="95"/>
  <c r="H16" i="95"/>
  <c r="D16" i="95"/>
  <c r="Z14" i="95"/>
  <c r="T14" i="95"/>
  <c r="P14" i="95"/>
  <c r="X14" i="95" s="1"/>
  <c r="H14" i="95"/>
  <c r="D14" i="95"/>
  <c r="L14" i="95" s="1"/>
  <c r="N14" i="95" s="1"/>
  <c r="B14" i="95"/>
  <c r="T13" i="95"/>
  <c r="P13" i="95"/>
  <c r="P12" i="95" s="1"/>
  <c r="R58" i="95" s="1"/>
  <c r="H13" i="95"/>
  <c r="D13" i="95"/>
  <c r="B13" i="95"/>
  <c r="H12" i="95"/>
  <c r="J54" i="95" s="1"/>
  <c r="D6" i="95"/>
  <c r="D4" i="95"/>
  <c r="Z65" i="94"/>
  <c r="X65" i="94"/>
  <c r="R65" i="94"/>
  <c r="L65" i="94"/>
  <c r="N65" i="94" s="1"/>
  <c r="X61" i="94"/>
  <c r="T61" i="94"/>
  <c r="Z61" i="94" s="1"/>
  <c r="P61" i="94"/>
  <c r="P60" i="94" s="1"/>
  <c r="X60" i="94" s="1"/>
  <c r="L61" i="94"/>
  <c r="J61" i="94"/>
  <c r="H61" i="94"/>
  <c r="N61" i="94" s="1"/>
  <c r="D61" i="94"/>
  <c r="D60" i="94" s="1"/>
  <c r="L60" i="94" s="1"/>
  <c r="N60" i="94" s="1"/>
  <c r="B61" i="94"/>
  <c r="T60" i="94"/>
  <c r="Z60" i="94" s="1"/>
  <c r="H60" i="94"/>
  <c r="X58" i="94"/>
  <c r="Z58" i="94" s="1"/>
  <c r="N58" i="94"/>
  <c r="L58" i="94"/>
  <c r="J58" i="94"/>
  <c r="B58" i="94"/>
  <c r="T57" i="94"/>
  <c r="Z57" i="94" s="1"/>
  <c r="P57" i="94"/>
  <c r="X57" i="94" s="1"/>
  <c r="H57" i="94"/>
  <c r="D57" i="94"/>
  <c r="B57" i="94"/>
  <c r="Z56" i="94"/>
  <c r="X56" i="94"/>
  <c r="N56" i="94"/>
  <c r="L56" i="94"/>
  <c r="B56" i="94"/>
  <c r="Z55" i="94"/>
  <c r="X55" i="94"/>
  <c r="L55" i="94"/>
  <c r="N55" i="94" s="1"/>
  <c r="B55" i="94"/>
  <c r="Z54" i="94"/>
  <c r="X54" i="94"/>
  <c r="L54" i="94"/>
  <c r="N54" i="94" s="1"/>
  <c r="B54" i="94"/>
  <c r="Z53" i="94"/>
  <c r="X53" i="94"/>
  <c r="L53" i="94"/>
  <c r="N53" i="94" s="1"/>
  <c r="J53" i="94"/>
  <c r="B53" i="94"/>
  <c r="T52" i="94"/>
  <c r="Z52" i="94" s="1"/>
  <c r="P52" i="94"/>
  <c r="X52" i="94" s="1"/>
  <c r="H52" i="94"/>
  <c r="D52" i="94"/>
  <c r="B52" i="94"/>
  <c r="X51" i="94"/>
  <c r="Z51" i="94" s="1"/>
  <c r="N51" i="94"/>
  <c r="L51" i="94"/>
  <c r="B51" i="94"/>
  <c r="T50" i="94"/>
  <c r="P50" i="94"/>
  <c r="X50" i="94" s="1"/>
  <c r="Z50" i="94" s="1"/>
  <c r="H50" i="94"/>
  <c r="D50" i="94"/>
  <c r="L50" i="94" s="1"/>
  <c r="N50" i="94" s="1"/>
  <c r="B50" i="94"/>
  <c r="X49" i="94"/>
  <c r="Z49" i="94" s="1"/>
  <c r="N49" i="94"/>
  <c r="L49" i="94"/>
  <c r="B49" i="94"/>
  <c r="Z48" i="94"/>
  <c r="X48" i="94"/>
  <c r="T48" i="94"/>
  <c r="P48" i="94"/>
  <c r="L48" i="94"/>
  <c r="H48" i="94"/>
  <c r="N48" i="94" s="1"/>
  <c r="D48" i="94"/>
  <c r="B48" i="94"/>
  <c r="Z47" i="94"/>
  <c r="X47" i="94"/>
  <c r="N47" i="94"/>
  <c r="L47" i="94"/>
  <c r="B47" i="94"/>
  <c r="T46" i="94"/>
  <c r="P46" i="94"/>
  <c r="X46" i="94" s="1"/>
  <c r="H46" i="94"/>
  <c r="N46" i="94" s="1"/>
  <c r="D46" i="94"/>
  <c r="L46" i="94" s="1"/>
  <c r="B46" i="94"/>
  <c r="X45" i="94"/>
  <c r="Z45" i="94" s="1"/>
  <c r="L45" i="94"/>
  <c r="N45" i="94" s="1"/>
  <c r="B45" i="94"/>
  <c r="T44" i="94"/>
  <c r="R44" i="94"/>
  <c r="P44" i="94"/>
  <c r="X44" i="94" s="1"/>
  <c r="Z44" i="94" s="1"/>
  <c r="H44" i="94"/>
  <c r="D44" i="94"/>
  <c r="L44" i="94" s="1"/>
  <c r="N44" i="94" s="1"/>
  <c r="B44" i="94"/>
  <c r="Z43" i="94"/>
  <c r="X43" i="94"/>
  <c r="N43" i="94"/>
  <c r="L43" i="94"/>
  <c r="B43" i="94"/>
  <c r="X42" i="94"/>
  <c r="T42" i="94"/>
  <c r="Z42" i="94" s="1"/>
  <c r="P42" i="94"/>
  <c r="L42" i="94"/>
  <c r="N42" i="94" s="1"/>
  <c r="H42" i="94"/>
  <c r="D42" i="94"/>
  <c r="B42" i="94"/>
  <c r="Z41" i="94"/>
  <c r="X41" i="94"/>
  <c r="L41" i="94"/>
  <c r="N41" i="94" s="1"/>
  <c r="J41" i="94"/>
  <c r="B41" i="94"/>
  <c r="T40" i="94"/>
  <c r="Z40" i="94" s="1"/>
  <c r="P40" i="94"/>
  <c r="X40" i="94" s="1"/>
  <c r="H40" i="94"/>
  <c r="D40" i="94"/>
  <c r="B40" i="94"/>
  <c r="X39" i="94"/>
  <c r="Z39" i="94" s="1"/>
  <c r="N39" i="94"/>
  <c r="L39" i="94"/>
  <c r="B39" i="94"/>
  <c r="T38" i="94"/>
  <c r="P38" i="94"/>
  <c r="X38" i="94" s="1"/>
  <c r="Z38" i="94" s="1"/>
  <c r="H38" i="94"/>
  <c r="D38" i="94"/>
  <c r="L38" i="94" s="1"/>
  <c r="N38" i="94" s="1"/>
  <c r="B38" i="94"/>
  <c r="Z37" i="94"/>
  <c r="X37" i="94"/>
  <c r="N37" i="94"/>
  <c r="L37" i="94"/>
  <c r="B37" i="94"/>
  <c r="X36" i="94"/>
  <c r="Z36" i="94" s="1"/>
  <c r="N36" i="94"/>
  <c r="L36" i="94"/>
  <c r="B36" i="94"/>
  <c r="Z35" i="94"/>
  <c r="X35" i="94"/>
  <c r="N35" i="94"/>
  <c r="L35" i="94"/>
  <c r="B35" i="94"/>
  <c r="X34" i="94"/>
  <c r="Z34" i="94" s="1"/>
  <c r="N34" i="94"/>
  <c r="L34" i="94"/>
  <c r="J34" i="94"/>
  <c r="B34" i="94"/>
  <c r="X33" i="94"/>
  <c r="Z33" i="94" s="1"/>
  <c r="N33" i="94"/>
  <c r="L33" i="94"/>
  <c r="B33" i="94"/>
  <c r="X32" i="94"/>
  <c r="Z32" i="94" s="1"/>
  <c r="T32" i="94"/>
  <c r="P32" i="94"/>
  <c r="L32" i="94"/>
  <c r="H32" i="94"/>
  <c r="N32" i="94" s="1"/>
  <c r="D32" i="94"/>
  <c r="B32" i="94"/>
  <c r="Z31" i="94"/>
  <c r="X31" i="94"/>
  <c r="L31" i="94"/>
  <c r="N31" i="94" s="1"/>
  <c r="B31" i="94"/>
  <c r="Z30" i="94"/>
  <c r="X30" i="94"/>
  <c r="L30" i="94"/>
  <c r="N30" i="94" s="1"/>
  <c r="B30" i="94"/>
  <c r="Z29" i="94"/>
  <c r="X29" i="94"/>
  <c r="L29" i="94"/>
  <c r="N29" i="94" s="1"/>
  <c r="J29" i="94"/>
  <c r="B29" i="94"/>
  <c r="Z28" i="94"/>
  <c r="X28" i="94"/>
  <c r="L28" i="94"/>
  <c r="N28" i="94" s="1"/>
  <c r="B28" i="94"/>
  <c r="Z27" i="94"/>
  <c r="X27" i="94"/>
  <c r="L27" i="94"/>
  <c r="N27" i="94" s="1"/>
  <c r="J27" i="94"/>
  <c r="B27" i="94"/>
  <c r="Z26" i="94"/>
  <c r="X26" i="94"/>
  <c r="R26" i="94"/>
  <c r="L26" i="94"/>
  <c r="N26" i="94" s="1"/>
  <c r="B26" i="94"/>
  <c r="Z25" i="94"/>
  <c r="X25" i="94"/>
  <c r="L25" i="94"/>
  <c r="N25" i="94" s="1"/>
  <c r="J25" i="94"/>
  <c r="B25" i="94"/>
  <c r="Z24" i="94"/>
  <c r="X24" i="94"/>
  <c r="R24" i="94"/>
  <c r="L24" i="94"/>
  <c r="N24" i="94" s="1"/>
  <c r="B24" i="94"/>
  <c r="Z23" i="94"/>
  <c r="T23" i="94"/>
  <c r="P23" i="94"/>
  <c r="X23" i="94" s="1"/>
  <c r="H23" i="94"/>
  <c r="D23" i="94"/>
  <c r="L23" i="94" s="1"/>
  <c r="N23" i="94" s="1"/>
  <c r="B23" i="94"/>
  <c r="T22" i="94"/>
  <c r="P22" i="94"/>
  <c r="X22" i="94" s="1"/>
  <c r="H22" i="94"/>
  <c r="D22" i="94"/>
  <c r="L22" i="94" s="1"/>
  <c r="N22" i="94" s="1"/>
  <c r="X18" i="94"/>
  <c r="Z18" i="94" s="1"/>
  <c r="L18" i="94"/>
  <c r="N18" i="94" s="1"/>
  <c r="B18" i="94"/>
  <c r="X17" i="94"/>
  <c r="Z17" i="94" s="1"/>
  <c r="N17" i="94"/>
  <c r="L17" i="94"/>
  <c r="B17" i="94"/>
  <c r="T16" i="94"/>
  <c r="P16" i="94"/>
  <c r="X16" i="94" s="1"/>
  <c r="Z16" i="94" s="1"/>
  <c r="H16" i="94"/>
  <c r="D16" i="94"/>
  <c r="L16" i="94" s="1"/>
  <c r="X14" i="94"/>
  <c r="Z14" i="94" s="1"/>
  <c r="T14" i="94"/>
  <c r="P14" i="94"/>
  <c r="L14" i="94"/>
  <c r="N14" i="94" s="1"/>
  <c r="H14" i="94"/>
  <c r="D14" i="94"/>
  <c r="B14" i="94"/>
  <c r="T13" i="94"/>
  <c r="P13" i="94"/>
  <c r="P12" i="94" s="1"/>
  <c r="R30" i="94" s="1"/>
  <c r="H13" i="94"/>
  <c r="D13" i="94"/>
  <c r="L13" i="94" s="1"/>
  <c r="N13" i="94" s="1"/>
  <c r="B13" i="94"/>
  <c r="H12" i="94"/>
  <c r="J65" i="94" s="1"/>
  <c r="D12" i="94"/>
  <c r="D6" i="94"/>
  <c r="D4" i="94"/>
  <c r="Z75" i="93"/>
  <c r="X75" i="93"/>
  <c r="N75" i="93"/>
  <c r="L75" i="93"/>
  <c r="Z71" i="93"/>
  <c r="T71" i="93"/>
  <c r="P71" i="93"/>
  <c r="X71" i="93" s="1"/>
  <c r="H71" i="93"/>
  <c r="N71" i="93" s="1"/>
  <c r="D71" i="93"/>
  <c r="L71" i="93" s="1"/>
  <c r="Z69" i="93"/>
  <c r="X69" i="93"/>
  <c r="L69" i="93"/>
  <c r="N69" i="93" s="1"/>
  <c r="B69" i="93"/>
  <c r="T68" i="93"/>
  <c r="P68" i="93"/>
  <c r="L68" i="93"/>
  <c r="N68" i="93" s="1"/>
  <c r="H68" i="93"/>
  <c r="D68" i="93"/>
  <c r="B68" i="93"/>
  <c r="X67" i="93"/>
  <c r="Z67" i="93" s="1"/>
  <c r="L67" i="93"/>
  <c r="N67" i="93" s="1"/>
  <c r="B67" i="93"/>
  <c r="T66" i="93"/>
  <c r="Z66" i="93" s="1"/>
  <c r="P66" i="93"/>
  <c r="X66" i="93" s="1"/>
  <c r="H66" i="93"/>
  <c r="D66" i="93"/>
  <c r="L66" i="93" s="1"/>
  <c r="N66" i="93" s="1"/>
  <c r="B66" i="93"/>
  <c r="Z65" i="93"/>
  <c r="X65" i="93"/>
  <c r="N65" i="93"/>
  <c r="L65" i="93"/>
  <c r="B65" i="93"/>
  <c r="Z64" i="93"/>
  <c r="X64" i="93"/>
  <c r="L64" i="93"/>
  <c r="N64" i="93" s="1"/>
  <c r="B64" i="93"/>
  <c r="X63" i="93"/>
  <c r="Z63" i="93" s="1"/>
  <c r="L63" i="93"/>
  <c r="N63" i="93" s="1"/>
  <c r="B63" i="93"/>
  <c r="Z62" i="93"/>
  <c r="X62" i="93"/>
  <c r="L62" i="93"/>
  <c r="N62" i="93" s="1"/>
  <c r="B62" i="93"/>
  <c r="Z61" i="93"/>
  <c r="X61" i="93"/>
  <c r="N61" i="93"/>
  <c r="L61" i="93"/>
  <c r="B61" i="93"/>
  <c r="Z60" i="93"/>
  <c r="X60" i="93"/>
  <c r="L60" i="93"/>
  <c r="N60" i="93" s="1"/>
  <c r="B60" i="93"/>
  <c r="X59" i="93"/>
  <c r="Z59" i="93" s="1"/>
  <c r="V59" i="93"/>
  <c r="L59" i="93"/>
  <c r="N59" i="93" s="1"/>
  <c r="B59" i="93"/>
  <c r="T58" i="93"/>
  <c r="P58" i="93"/>
  <c r="X58" i="93" s="1"/>
  <c r="Z58" i="93" s="1"/>
  <c r="H58" i="93"/>
  <c r="D58" i="93"/>
  <c r="B58" i="93"/>
  <c r="Z57" i="93"/>
  <c r="X57" i="93"/>
  <c r="N57" i="93"/>
  <c r="L57" i="93"/>
  <c r="B57" i="93"/>
  <c r="X56" i="93"/>
  <c r="Z56" i="93" s="1"/>
  <c r="N56" i="93"/>
  <c r="L56" i="93"/>
  <c r="B56" i="93"/>
  <c r="T55" i="93"/>
  <c r="P55" i="93"/>
  <c r="X55" i="93" s="1"/>
  <c r="N55" i="93"/>
  <c r="L55" i="93"/>
  <c r="H55" i="93"/>
  <c r="D55" i="93"/>
  <c r="B55" i="93"/>
  <c r="Z54" i="93"/>
  <c r="X54" i="93"/>
  <c r="N54" i="93"/>
  <c r="L54" i="93"/>
  <c r="B54" i="93"/>
  <c r="T53" i="93"/>
  <c r="P53" i="93"/>
  <c r="N53" i="93"/>
  <c r="L53" i="93"/>
  <c r="H53" i="93"/>
  <c r="D53" i="93"/>
  <c r="B53" i="93"/>
  <c r="Z52" i="93"/>
  <c r="X52" i="93"/>
  <c r="L52" i="93"/>
  <c r="N52" i="93" s="1"/>
  <c r="B52" i="93"/>
  <c r="Z51" i="93"/>
  <c r="X51" i="93"/>
  <c r="N51" i="93"/>
  <c r="L51" i="93"/>
  <c r="B51" i="93"/>
  <c r="X50" i="93"/>
  <c r="Z50" i="93" s="1"/>
  <c r="T50" i="93"/>
  <c r="P50" i="93"/>
  <c r="H50" i="93"/>
  <c r="D50" i="93"/>
  <c r="B50" i="93"/>
  <c r="X49" i="93"/>
  <c r="Z49" i="93" s="1"/>
  <c r="L49" i="93"/>
  <c r="N49" i="93" s="1"/>
  <c r="B49" i="93"/>
  <c r="T48" i="93"/>
  <c r="P48" i="93"/>
  <c r="L48" i="93"/>
  <c r="N48" i="93" s="1"/>
  <c r="H48" i="93"/>
  <c r="D48" i="93"/>
  <c r="B48" i="93"/>
  <c r="Z47" i="93"/>
  <c r="X47" i="93"/>
  <c r="L47" i="93"/>
  <c r="N47" i="93" s="1"/>
  <c r="B47" i="93"/>
  <c r="T46" i="93"/>
  <c r="P46" i="93"/>
  <c r="X46" i="93" s="1"/>
  <c r="Z46" i="93" s="1"/>
  <c r="H46" i="93"/>
  <c r="D46" i="93"/>
  <c r="L46" i="93" s="1"/>
  <c r="N46" i="93" s="1"/>
  <c r="B46" i="93"/>
  <c r="Z45" i="93"/>
  <c r="X45" i="93"/>
  <c r="V45" i="93"/>
  <c r="L45" i="93"/>
  <c r="N45" i="93" s="1"/>
  <c r="B45" i="93"/>
  <c r="T44" i="93"/>
  <c r="Z44" i="93" s="1"/>
  <c r="P44" i="93"/>
  <c r="X44" i="93" s="1"/>
  <c r="N44" i="93"/>
  <c r="L44" i="93"/>
  <c r="H44" i="93"/>
  <c r="D44" i="93"/>
  <c r="B44" i="93"/>
  <c r="X43" i="93"/>
  <c r="Z43" i="93" s="1"/>
  <c r="N43" i="93"/>
  <c r="L43" i="93"/>
  <c r="B43" i="93"/>
  <c r="X42" i="93"/>
  <c r="Z42" i="93" s="1"/>
  <c r="T42" i="93"/>
  <c r="P42" i="93"/>
  <c r="L42" i="93"/>
  <c r="H42" i="93"/>
  <c r="D42" i="93"/>
  <c r="B42" i="93"/>
  <c r="Z41" i="93"/>
  <c r="X41" i="93"/>
  <c r="N41" i="93"/>
  <c r="L41" i="93"/>
  <c r="B41" i="93"/>
  <c r="T40" i="93"/>
  <c r="P40" i="93"/>
  <c r="X40" i="93" s="1"/>
  <c r="Z40" i="93" s="1"/>
  <c r="N40" i="93"/>
  <c r="L40" i="93"/>
  <c r="H40" i="93"/>
  <c r="D40" i="93"/>
  <c r="B40" i="93"/>
  <c r="X39" i="93"/>
  <c r="Z39" i="93" s="1"/>
  <c r="L39" i="93"/>
  <c r="N39" i="93" s="1"/>
  <c r="B39" i="93"/>
  <c r="Z38" i="93"/>
  <c r="X38" i="93"/>
  <c r="T38" i="93"/>
  <c r="P38" i="93"/>
  <c r="H38" i="93"/>
  <c r="D38" i="93"/>
  <c r="B38" i="93"/>
  <c r="X37" i="93"/>
  <c r="Z37" i="93" s="1"/>
  <c r="N37" i="93"/>
  <c r="L37" i="93"/>
  <c r="B37" i="93"/>
  <c r="X36" i="93"/>
  <c r="Z36" i="93" s="1"/>
  <c r="N36" i="93"/>
  <c r="L36" i="93"/>
  <c r="B36" i="93"/>
  <c r="Z35" i="93"/>
  <c r="X35" i="93"/>
  <c r="N35" i="93"/>
  <c r="L35" i="93"/>
  <c r="B35" i="93"/>
  <c r="X34" i="93"/>
  <c r="Z34" i="93" s="1"/>
  <c r="L34" i="93"/>
  <c r="N34" i="93" s="1"/>
  <c r="B34" i="93"/>
  <c r="Z33" i="93"/>
  <c r="X33" i="93"/>
  <c r="N33" i="93"/>
  <c r="L33" i="93"/>
  <c r="B33" i="93"/>
  <c r="X32" i="93"/>
  <c r="Z32" i="93" s="1"/>
  <c r="N32" i="93"/>
  <c r="L32" i="93"/>
  <c r="B32" i="93"/>
  <c r="V31" i="93"/>
  <c r="T31" i="93"/>
  <c r="P31" i="93"/>
  <c r="X31" i="93" s="1"/>
  <c r="H31" i="93"/>
  <c r="D31" i="93"/>
  <c r="L31" i="93" s="1"/>
  <c r="N31" i="93" s="1"/>
  <c r="B31" i="93"/>
  <c r="Z30" i="93"/>
  <c r="X30" i="93"/>
  <c r="L30" i="93"/>
  <c r="N30" i="93" s="1"/>
  <c r="B30" i="93"/>
  <c r="Z29" i="93"/>
  <c r="X29" i="93"/>
  <c r="N29" i="93"/>
  <c r="L29" i="93"/>
  <c r="B29" i="93"/>
  <c r="Z28" i="93"/>
  <c r="X28" i="93"/>
  <c r="N28" i="93"/>
  <c r="L28" i="93"/>
  <c r="B28" i="93"/>
  <c r="Z27" i="93"/>
  <c r="X27" i="93"/>
  <c r="L27" i="93"/>
  <c r="N27" i="93" s="1"/>
  <c r="B27" i="93"/>
  <c r="Z26" i="93"/>
  <c r="X26" i="93"/>
  <c r="N26" i="93"/>
  <c r="L26" i="93"/>
  <c r="B26" i="93"/>
  <c r="Z25" i="93"/>
  <c r="X25" i="93"/>
  <c r="N25" i="93"/>
  <c r="L25" i="93"/>
  <c r="B25" i="93"/>
  <c r="Z24" i="93"/>
  <c r="X24" i="93"/>
  <c r="N24" i="93"/>
  <c r="L24" i="93"/>
  <c r="B24" i="93"/>
  <c r="Z23" i="93"/>
  <c r="X23" i="93"/>
  <c r="L23" i="93"/>
  <c r="N23" i="93" s="1"/>
  <c r="B23" i="93"/>
  <c r="Z22" i="93"/>
  <c r="T22" i="93"/>
  <c r="P22" i="93"/>
  <c r="X22" i="93" s="1"/>
  <c r="H22" i="93"/>
  <c r="D22" i="93"/>
  <c r="L22" i="93" s="1"/>
  <c r="N22" i="93" s="1"/>
  <c r="B22" i="93"/>
  <c r="T21" i="93"/>
  <c r="P21" i="93"/>
  <c r="H21" i="93"/>
  <c r="D21" i="93"/>
  <c r="T19" i="93"/>
  <c r="H19" i="93"/>
  <c r="Z17" i="93"/>
  <c r="X17" i="93"/>
  <c r="L17" i="93"/>
  <c r="N17" i="93" s="1"/>
  <c r="B17" i="93"/>
  <c r="T16" i="93"/>
  <c r="P16" i="93"/>
  <c r="X16" i="93" s="1"/>
  <c r="Z16" i="93" s="1"/>
  <c r="L16" i="93"/>
  <c r="N16" i="93" s="1"/>
  <c r="H16" i="93"/>
  <c r="D16" i="93"/>
  <c r="T14" i="93"/>
  <c r="Z14" i="93" s="1"/>
  <c r="P14" i="93"/>
  <c r="X14" i="93" s="1"/>
  <c r="L14" i="93"/>
  <c r="H14" i="93"/>
  <c r="D14" i="93"/>
  <c r="B14" i="93"/>
  <c r="T13" i="93"/>
  <c r="P13" i="93"/>
  <c r="L13" i="93"/>
  <c r="H13" i="93"/>
  <c r="H12" i="93" s="1"/>
  <c r="D13" i="93"/>
  <c r="B13" i="93"/>
  <c r="T12" i="93"/>
  <c r="V68" i="93" s="1"/>
  <c r="D12" i="93"/>
  <c r="D6" i="93"/>
  <c r="D4" i="93"/>
  <c r="Z84" i="92"/>
  <c r="X84" i="92"/>
  <c r="N84" i="92"/>
  <c r="L84" i="92"/>
  <c r="R82" i="92"/>
  <c r="T80" i="92"/>
  <c r="R80" i="92"/>
  <c r="P80" i="92"/>
  <c r="P78" i="92" s="1"/>
  <c r="N80" i="92"/>
  <c r="L80" i="92"/>
  <c r="H80" i="92"/>
  <c r="H78" i="92" s="1"/>
  <c r="D80" i="92"/>
  <c r="B80" i="92"/>
  <c r="T79" i="92"/>
  <c r="P79" i="92"/>
  <c r="H79" i="92"/>
  <c r="D79" i="92"/>
  <c r="L79" i="92" s="1"/>
  <c r="N79" i="92" s="1"/>
  <c r="B79" i="92"/>
  <c r="V78" i="92"/>
  <c r="F78" i="92"/>
  <c r="Z76" i="92"/>
  <c r="X76" i="92"/>
  <c r="V76" i="92"/>
  <c r="L76" i="92"/>
  <c r="N76" i="92" s="1"/>
  <c r="B76" i="92"/>
  <c r="T75" i="92"/>
  <c r="P75" i="92"/>
  <c r="X75" i="92" s="1"/>
  <c r="N75" i="92"/>
  <c r="L75" i="92"/>
  <c r="H75" i="92"/>
  <c r="D75" i="92"/>
  <c r="B75" i="92"/>
  <c r="Z74" i="92"/>
  <c r="X74" i="92"/>
  <c r="N74" i="92"/>
  <c r="L74" i="92"/>
  <c r="B74" i="92"/>
  <c r="Z73" i="92"/>
  <c r="X73" i="92"/>
  <c r="N73" i="92"/>
  <c r="L73" i="92"/>
  <c r="F73" i="92"/>
  <c r="B73" i="92"/>
  <c r="X72" i="92"/>
  <c r="Z72" i="92" s="1"/>
  <c r="N72" i="92"/>
  <c r="L72" i="92"/>
  <c r="B72" i="92"/>
  <c r="X71" i="92"/>
  <c r="V71" i="92"/>
  <c r="T71" i="92"/>
  <c r="Z71" i="92" s="1"/>
  <c r="P71" i="92"/>
  <c r="H71" i="92"/>
  <c r="D71" i="92"/>
  <c r="L71" i="92" s="1"/>
  <c r="B71" i="92"/>
  <c r="Z70" i="92"/>
  <c r="X70" i="92"/>
  <c r="N70" i="92"/>
  <c r="L70" i="92"/>
  <c r="B70" i="92"/>
  <c r="T69" i="92"/>
  <c r="Z69" i="92" s="1"/>
  <c r="P69" i="92"/>
  <c r="X69" i="92" s="1"/>
  <c r="N69" i="92"/>
  <c r="H69" i="92"/>
  <c r="D69" i="92"/>
  <c r="L69" i="92" s="1"/>
  <c r="B69" i="92"/>
  <c r="Z68" i="92"/>
  <c r="X68" i="92"/>
  <c r="V68" i="92"/>
  <c r="L68" i="92"/>
  <c r="N68" i="92" s="1"/>
  <c r="B68" i="92"/>
  <c r="T67" i="92"/>
  <c r="Z67" i="92" s="1"/>
  <c r="P67" i="92"/>
  <c r="X67" i="92" s="1"/>
  <c r="N67" i="92"/>
  <c r="L67" i="92"/>
  <c r="H67" i="92"/>
  <c r="D67" i="92"/>
  <c r="B67" i="92"/>
  <c r="Z66" i="92"/>
  <c r="X66" i="92"/>
  <c r="N66" i="92"/>
  <c r="L66" i="92"/>
  <c r="B66" i="92"/>
  <c r="Z65" i="92"/>
  <c r="X65" i="92"/>
  <c r="N65" i="92"/>
  <c r="L65" i="92"/>
  <c r="F65" i="92"/>
  <c r="B65" i="92"/>
  <c r="X64" i="92"/>
  <c r="Z64" i="92" s="1"/>
  <c r="L64" i="92"/>
  <c r="N64" i="92" s="1"/>
  <c r="B64" i="92"/>
  <c r="X63" i="92"/>
  <c r="Z63" i="92" s="1"/>
  <c r="V63" i="92"/>
  <c r="N63" i="92"/>
  <c r="L63" i="92"/>
  <c r="B63" i="92"/>
  <c r="Z62" i="92"/>
  <c r="X62" i="92"/>
  <c r="N62" i="92"/>
  <c r="L62" i="92"/>
  <c r="B62" i="92"/>
  <c r="Z61" i="92"/>
  <c r="X61" i="92"/>
  <c r="N61" i="92"/>
  <c r="L61" i="92"/>
  <c r="F61" i="92"/>
  <c r="B61" i="92"/>
  <c r="X60" i="92"/>
  <c r="Z60" i="92" s="1"/>
  <c r="T60" i="92"/>
  <c r="P60" i="92"/>
  <c r="H60" i="92"/>
  <c r="F60" i="92"/>
  <c r="D60" i="92"/>
  <c r="L60" i="92" s="1"/>
  <c r="N60" i="92" s="1"/>
  <c r="B60" i="92"/>
  <c r="Z59" i="92"/>
  <c r="X59" i="92"/>
  <c r="L59" i="92"/>
  <c r="N59" i="92" s="1"/>
  <c r="B59" i="92"/>
  <c r="Z58" i="92"/>
  <c r="X58" i="92"/>
  <c r="N58" i="92"/>
  <c r="L58" i="92"/>
  <c r="B58" i="92"/>
  <c r="Z57" i="92"/>
  <c r="X57" i="92"/>
  <c r="R57" i="92"/>
  <c r="L57" i="92"/>
  <c r="N57" i="92" s="1"/>
  <c r="B57" i="92"/>
  <c r="X56" i="92"/>
  <c r="Z56" i="92" s="1"/>
  <c r="V56" i="92"/>
  <c r="N56" i="92"/>
  <c r="L56" i="92"/>
  <c r="J56" i="92"/>
  <c r="F56" i="92"/>
  <c r="B56" i="92"/>
  <c r="Z55" i="92"/>
  <c r="X55" i="92"/>
  <c r="L55" i="92"/>
  <c r="N55" i="92" s="1"/>
  <c r="B55" i="92"/>
  <c r="Z54" i="92"/>
  <c r="X54" i="92"/>
  <c r="V54" i="92"/>
  <c r="T54" i="92"/>
  <c r="P54" i="92"/>
  <c r="H54" i="92"/>
  <c r="D54" i="92"/>
  <c r="B54" i="92"/>
  <c r="X53" i="92"/>
  <c r="Z53" i="92" s="1"/>
  <c r="V53" i="92"/>
  <c r="N53" i="92"/>
  <c r="L53" i="92"/>
  <c r="F53" i="92"/>
  <c r="B53" i="92"/>
  <c r="Z52" i="92"/>
  <c r="X52" i="92"/>
  <c r="V52" i="92"/>
  <c r="N52" i="92"/>
  <c r="L52" i="92"/>
  <c r="B52" i="92"/>
  <c r="X51" i="92"/>
  <c r="Z51" i="92" s="1"/>
  <c r="V51" i="92"/>
  <c r="L51" i="92"/>
  <c r="N51" i="92" s="1"/>
  <c r="F51" i="92"/>
  <c r="B51" i="92"/>
  <c r="T50" i="92"/>
  <c r="P50" i="92"/>
  <c r="X50" i="92" s="1"/>
  <c r="Z50" i="92" s="1"/>
  <c r="J50" i="92"/>
  <c r="H50" i="92"/>
  <c r="F50" i="92"/>
  <c r="D50" i="92"/>
  <c r="L50" i="92" s="1"/>
  <c r="B50" i="92"/>
  <c r="Z49" i="92"/>
  <c r="X49" i="92"/>
  <c r="N49" i="92"/>
  <c r="L49" i="92"/>
  <c r="F49" i="92"/>
  <c r="B49" i="92"/>
  <c r="Z48" i="92"/>
  <c r="X48" i="92"/>
  <c r="V48" i="92"/>
  <c r="T48" i="92"/>
  <c r="P48" i="92"/>
  <c r="N48" i="92"/>
  <c r="H48" i="92"/>
  <c r="F48" i="92"/>
  <c r="D48" i="92"/>
  <c r="L48" i="92" s="1"/>
  <c r="B48" i="92"/>
  <c r="Z47" i="92"/>
  <c r="X47" i="92"/>
  <c r="L47" i="92"/>
  <c r="N47" i="92" s="1"/>
  <c r="F47" i="92"/>
  <c r="B47" i="92"/>
  <c r="Z46" i="92"/>
  <c r="X46" i="92"/>
  <c r="V46" i="92"/>
  <c r="T46" i="92"/>
  <c r="P46" i="92"/>
  <c r="H46" i="92"/>
  <c r="F46" i="92"/>
  <c r="D46" i="92"/>
  <c r="B46" i="92"/>
  <c r="X45" i="92"/>
  <c r="Z45" i="92" s="1"/>
  <c r="V45" i="92"/>
  <c r="N45" i="92"/>
  <c r="L45" i="92"/>
  <c r="F45" i="92"/>
  <c r="B45" i="92"/>
  <c r="V44" i="92"/>
  <c r="T44" i="92"/>
  <c r="R44" i="92"/>
  <c r="P44" i="92"/>
  <c r="X44" i="92" s="1"/>
  <c r="Z44" i="92" s="1"/>
  <c r="H44" i="92"/>
  <c r="F44" i="92"/>
  <c r="D44" i="92"/>
  <c r="L44" i="92" s="1"/>
  <c r="N44" i="92" s="1"/>
  <c r="B44" i="92"/>
  <c r="X43" i="92"/>
  <c r="Z43" i="92" s="1"/>
  <c r="V43" i="92"/>
  <c r="R43" i="92"/>
  <c r="N43" i="92"/>
  <c r="L43" i="92"/>
  <c r="B43" i="92"/>
  <c r="V42" i="92"/>
  <c r="T42" i="92"/>
  <c r="R42" i="92"/>
  <c r="P42" i="92"/>
  <c r="X42" i="92" s="1"/>
  <c r="Z42" i="92" s="1"/>
  <c r="N42" i="92"/>
  <c r="L42" i="92"/>
  <c r="H42" i="92"/>
  <c r="D42" i="92"/>
  <c r="B42" i="92"/>
  <c r="X41" i="92"/>
  <c r="Z41" i="92" s="1"/>
  <c r="R41" i="92"/>
  <c r="L41" i="92"/>
  <c r="N41" i="92" s="1"/>
  <c r="F41" i="92"/>
  <c r="B41" i="92"/>
  <c r="X40" i="92"/>
  <c r="Z40" i="92" s="1"/>
  <c r="V40" i="92"/>
  <c r="N40" i="92"/>
  <c r="L40" i="92"/>
  <c r="J40" i="92"/>
  <c r="F40" i="92"/>
  <c r="B40" i="92"/>
  <c r="Z39" i="92"/>
  <c r="X39" i="92"/>
  <c r="V39" i="92"/>
  <c r="L39" i="92"/>
  <c r="N39" i="92" s="1"/>
  <c r="F39" i="92"/>
  <c r="B39" i="92"/>
  <c r="Z38" i="92"/>
  <c r="X38" i="92"/>
  <c r="V38" i="92"/>
  <c r="T38" i="92"/>
  <c r="P38" i="92"/>
  <c r="H38" i="92"/>
  <c r="F38" i="92"/>
  <c r="D38" i="92"/>
  <c r="B38" i="92"/>
  <c r="X37" i="92"/>
  <c r="Z37" i="92" s="1"/>
  <c r="V37" i="92"/>
  <c r="N37" i="92"/>
  <c r="L37" i="92"/>
  <c r="F37" i="92"/>
  <c r="B37" i="92"/>
  <c r="V36" i="92"/>
  <c r="T36" i="92"/>
  <c r="R36" i="92"/>
  <c r="P36" i="92"/>
  <c r="X36" i="92" s="1"/>
  <c r="Z36" i="92" s="1"/>
  <c r="H36" i="92"/>
  <c r="F36" i="92"/>
  <c r="D36" i="92"/>
  <c r="L36" i="92" s="1"/>
  <c r="N36" i="92" s="1"/>
  <c r="B36" i="92"/>
  <c r="X35" i="92"/>
  <c r="Z35" i="92" s="1"/>
  <c r="V35" i="92"/>
  <c r="R35" i="92"/>
  <c r="N35" i="92"/>
  <c r="L35" i="92"/>
  <c r="B35" i="92"/>
  <c r="Z34" i="92"/>
  <c r="X34" i="92"/>
  <c r="V34" i="92"/>
  <c r="N34" i="92"/>
  <c r="L34" i="92"/>
  <c r="F34" i="92"/>
  <c r="B34" i="92"/>
  <c r="Z33" i="92"/>
  <c r="X33" i="92"/>
  <c r="V33" i="92"/>
  <c r="R33" i="92"/>
  <c r="L33" i="92"/>
  <c r="N33" i="92" s="1"/>
  <c r="F33" i="92"/>
  <c r="B33" i="92"/>
  <c r="Z32" i="92"/>
  <c r="X32" i="92"/>
  <c r="V32" i="92"/>
  <c r="L32" i="92"/>
  <c r="N32" i="92" s="1"/>
  <c r="F32" i="92"/>
  <c r="B32" i="92"/>
  <c r="X31" i="92"/>
  <c r="Z31" i="92" s="1"/>
  <c r="V31" i="92"/>
  <c r="R31" i="92"/>
  <c r="N31" i="92"/>
  <c r="L31" i="92"/>
  <c r="B31" i="92"/>
  <c r="Z30" i="92"/>
  <c r="X30" i="92"/>
  <c r="V30" i="92"/>
  <c r="N30" i="92"/>
  <c r="L30" i="92"/>
  <c r="F30" i="92"/>
  <c r="B30" i="92"/>
  <c r="V29" i="92"/>
  <c r="T29" i="92"/>
  <c r="P29" i="92"/>
  <c r="X29" i="92" s="1"/>
  <c r="L29" i="92"/>
  <c r="H29" i="92"/>
  <c r="N29" i="92" s="1"/>
  <c r="F29" i="92"/>
  <c r="D29" i="92"/>
  <c r="B29" i="92"/>
  <c r="X28" i="92"/>
  <c r="Z28" i="92" s="1"/>
  <c r="V28" i="92"/>
  <c r="N28" i="92"/>
  <c r="L28" i="92"/>
  <c r="J28" i="92"/>
  <c r="F28" i="92"/>
  <c r="B28" i="92"/>
  <c r="X27" i="92"/>
  <c r="Z27" i="92" s="1"/>
  <c r="V27" i="92"/>
  <c r="L27" i="92"/>
  <c r="N27" i="92" s="1"/>
  <c r="F27" i="92"/>
  <c r="B27" i="92"/>
  <c r="Z26" i="92"/>
  <c r="X26" i="92"/>
  <c r="V26" i="92"/>
  <c r="N26" i="92"/>
  <c r="L26" i="92"/>
  <c r="F26" i="92"/>
  <c r="B26" i="92"/>
  <c r="X25" i="92"/>
  <c r="Z25" i="92" s="1"/>
  <c r="R25" i="92"/>
  <c r="L25" i="92"/>
  <c r="N25" i="92" s="1"/>
  <c r="F25" i="92"/>
  <c r="B25" i="92"/>
  <c r="X24" i="92"/>
  <c r="Z24" i="92" s="1"/>
  <c r="V24" i="92"/>
  <c r="N24" i="92"/>
  <c r="L24" i="92"/>
  <c r="J24" i="92"/>
  <c r="F24" i="92"/>
  <c r="B24" i="92"/>
  <c r="X23" i="92"/>
  <c r="Z23" i="92" s="1"/>
  <c r="V23" i="92"/>
  <c r="L23" i="92"/>
  <c r="N23" i="92" s="1"/>
  <c r="F23" i="92"/>
  <c r="B23" i="92"/>
  <c r="Z22" i="92"/>
  <c r="X22" i="92"/>
  <c r="V22" i="92"/>
  <c r="N22" i="92"/>
  <c r="L22" i="92"/>
  <c r="F22" i="92"/>
  <c r="B22" i="92"/>
  <c r="X21" i="92"/>
  <c r="Z21" i="92" s="1"/>
  <c r="R21" i="92"/>
  <c r="L21" i="92"/>
  <c r="N21" i="92" s="1"/>
  <c r="F21" i="92"/>
  <c r="B21" i="92"/>
  <c r="X20" i="92"/>
  <c r="Z20" i="92" s="1"/>
  <c r="V20" i="92"/>
  <c r="N20" i="92"/>
  <c r="L20" i="92"/>
  <c r="J20" i="92"/>
  <c r="F20" i="92"/>
  <c r="B20" i="92"/>
  <c r="V19" i="92"/>
  <c r="T19" i="92"/>
  <c r="P19" i="92"/>
  <c r="X19" i="92" s="1"/>
  <c r="Z19" i="92" s="1"/>
  <c r="H19" i="92"/>
  <c r="F19" i="92"/>
  <c r="D19" i="92"/>
  <c r="B19" i="92"/>
  <c r="T18" i="92"/>
  <c r="R18" i="92"/>
  <c r="P18" i="92"/>
  <c r="X18" i="92" s="1"/>
  <c r="Z18" i="92" s="1"/>
  <c r="N18" i="92"/>
  <c r="J18" i="92"/>
  <c r="H18" i="92"/>
  <c r="F18" i="92"/>
  <c r="D18" i="92"/>
  <c r="L18" i="92" s="1"/>
  <c r="R16" i="92"/>
  <c r="J16" i="92"/>
  <c r="F16" i="92"/>
  <c r="Z14" i="92"/>
  <c r="T14" i="92"/>
  <c r="T16" i="92" s="1"/>
  <c r="R14" i="92"/>
  <c r="P14" i="92"/>
  <c r="X14" i="92" s="1"/>
  <c r="N14" i="92"/>
  <c r="J14" i="92"/>
  <c r="H14" i="92"/>
  <c r="F14" i="92"/>
  <c r="D14" i="92"/>
  <c r="D16" i="92" s="1"/>
  <c r="Z12" i="92"/>
  <c r="T12" i="92"/>
  <c r="V84" i="92" s="1"/>
  <c r="P12" i="92"/>
  <c r="R78" i="92" s="1"/>
  <c r="H12" i="92"/>
  <c r="D12" i="92"/>
  <c r="F74" i="92" s="1"/>
  <c r="D6" i="92"/>
  <c r="D4" i="92"/>
  <c r="Z70" i="89"/>
  <c r="X70" i="89"/>
  <c r="L70" i="89"/>
  <c r="N70" i="89" s="1"/>
  <c r="T66" i="89"/>
  <c r="Z66" i="89" s="1"/>
  <c r="R66" i="89"/>
  <c r="P66" i="89"/>
  <c r="X66" i="89" s="1"/>
  <c r="N66" i="89"/>
  <c r="H66" i="89"/>
  <c r="D66" i="89"/>
  <c r="L66" i="89" s="1"/>
  <c r="Z64" i="89"/>
  <c r="X64" i="89"/>
  <c r="N64" i="89"/>
  <c r="L64" i="89"/>
  <c r="B64" i="89"/>
  <c r="X63" i="89"/>
  <c r="T63" i="89"/>
  <c r="Z63" i="89" s="1"/>
  <c r="P63" i="89"/>
  <c r="N63" i="89"/>
  <c r="L63" i="89"/>
  <c r="H63" i="89"/>
  <c r="D63" i="89"/>
  <c r="B63" i="89"/>
  <c r="Z62" i="89"/>
  <c r="X62" i="89"/>
  <c r="N62" i="89"/>
  <c r="L62" i="89"/>
  <c r="B62" i="89"/>
  <c r="T61" i="89"/>
  <c r="P61" i="89"/>
  <c r="X61" i="89" s="1"/>
  <c r="H61" i="89"/>
  <c r="D61" i="89"/>
  <c r="B61" i="89"/>
  <c r="X60" i="89"/>
  <c r="Z60" i="89" s="1"/>
  <c r="N60" i="89"/>
  <c r="L60" i="89"/>
  <c r="B60" i="89"/>
  <c r="X59" i="89"/>
  <c r="Z59" i="89" s="1"/>
  <c r="L59" i="89"/>
  <c r="N59" i="89" s="1"/>
  <c r="B59" i="89"/>
  <c r="Z58" i="89"/>
  <c r="X58" i="89"/>
  <c r="N58" i="89"/>
  <c r="L58" i="89"/>
  <c r="B58" i="89"/>
  <c r="X57" i="89"/>
  <c r="Z57" i="89" s="1"/>
  <c r="L57" i="89"/>
  <c r="N57" i="89" s="1"/>
  <c r="B57" i="89"/>
  <c r="X56" i="89"/>
  <c r="Z56" i="89" s="1"/>
  <c r="N56" i="89"/>
  <c r="L56" i="89"/>
  <c r="B56" i="89"/>
  <c r="X55" i="89"/>
  <c r="Z55" i="89" s="1"/>
  <c r="L55" i="89"/>
  <c r="N55" i="89" s="1"/>
  <c r="B55" i="89"/>
  <c r="Z54" i="89"/>
  <c r="X54" i="89"/>
  <c r="T54" i="89"/>
  <c r="P54" i="89"/>
  <c r="L54" i="89"/>
  <c r="H54" i="89"/>
  <c r="N54" i="89" s="1"/>
  <c r="D54" i="89"/>
  <c r="B54" i="89"/>
  <c r="X53" i="89"/>
  <c r="Z53" i="89" s="1"/>
  <c r="N53" i="89"/>
  <c r="L53" i="89"/>
  <c r="B53" i="89"/>
  <c r="T52" i="89"/>
  <c r="P52" i="89"/>
  <c r="H52" i="89"/>
  <c r="D52" i="89"/>
  <c r="L52" i="89" s="1"/>
  <c r="N52" i="89" s="1"/>
  <c r="B52" i="89"/>
  <c r="X51" i="89"/>
  <c r="Z51" i="89" s="1"/>
  <c r="R51" i="89"/>
  <c r="L51" i="89"/>
  <c r="N51" i="89" s="1"/>
  <c r="B51" i="89"/>
  <c r="T50" i="89"/>
  <c r="P50" i="89"/>
  <c r="X50" i="89" s="1"/>
  <c r="Z50" i="89" s="1"/>
  <c r="H50" i="89"/>
  <c r="D50" i="89"/>
  <c r="L50" i="89" s="1"/>
  <c r="N50" i="89" s="1"/>
  <c r="B50" i="89"/>
  <c r="X49" i="89"/>
  <c r="Z49" i="89" s="1"/>
  <c r="N49" i="89"/>
  <c r="L49" i="89"/>
  <c r="B49" i="89"/>
  <c r="X48" i="89"/>
  <c r="T48" i="89"/>
  <c r="Z48" i="89" s="1"/>
  <c r="P48" i="89"/>
  <c r="N48" i="89"/>
  <c r="L48" i="89"/>
  <c r="H48" i="89"/>
  <c r="D48" i="89"/>
  <c r="B48" i="89"/>
  <c r="Z47" i="89"/>
  <c r="X47" i="89"/>
  <c r="N47" i="89"/>
  <c r="L47" i="89"/>
  <c r="F47" i="89"/>
  <c r="B47" i="89"/>
  <c r="Z46" i="89"/>
  <c r="T46" i="89"/>
  <c r="P46" i="89"/>
  <c r="X46" i="89" s="1"/>
  <c r="H46" i="89"/>
  <c r="N46" i="89" s="1"/>
  <c r="D46" i="89"/>
  <c r="L46" i="89" s="1"/>
  <c r="B46" i="89"/>
  <c r="Z45" i="89"/>
  <c r="X45" i="89"/>
  <c r="R45" i="89"/>
  <c r="L45" i="89"/>
  <c r="N45" i="89" s="1"/>
  <c r="B45" i="89"/>
  <c r="T44" i="89"/>
  <c r="P44" i="89"/>
  <c r="X44" i="89" s="1"/>
  <c r="Z44" i="89" s="1"/>
  <c r="H44" i="89"/>
  <c r="D44" i="89"/>
  <c r="L44" i="89" s="1"/>
  <c r="N44" i="89" s="1"/>
  <c r="B44" i="89"/>
  <c r="X43" i="89"/>
  <c r="Z43" i="89" s="1"/>
  <c r="L43" i="89"/>
  <c r="N43" i="89" s="1"/>
  <c r="B43" i="89"/>
  <c r="X42" i="89"/>
  <c r="Z42" i="89" s="1"/>
  <c r="T42" i="89"/>
  <c r="R42" i="89"/>
  <c r="P42" i="89"/>
  <c r="L42" i="89"/>
  <c r="H42" i="89"/>
  <c r="N42" i="89" s="1"/>
  <c r="D42" i="89"/>
  <c r="B42" i="89"/>
  <c r="X41" i="89"/>
  <c r="Z41" i="89" s="1"/>
  <c r="N41" i="89"/>
  <c r="L41" i="89"/>
  <c r="B41" i="89"/>
  <c r="T40" i="89"/>
  <c r="P40" i="89"/>
  <c r="N40" i="89"/>
  <c r="H40" i="89"/>
  <c r="D40" i="89"/>
  <c r="L40" i="89" s="1"/>
  <c r="B40" i="89"/>
  <c r="X39" i="89"/>
  <c r="Z39" i="89" s="1"/>
  <c r="L39" i="89"/>
  <c r="N39" i="89" s="1"/>
  <c r="B39" i="89"/>
  <c r="T38" i="89"/>
  <c r="P38" i="89"/>
  <c r="X38" i="89" s="1"/>
  <c r="Z38" i="89" s="1"/>
  <c r="H38" i="89"/>
  <c r="D38" i="89"/>
  <c r="L38" i="89" s="1"/>
  <c r="N38" i="89" s="1"/>
  <c r="B38" i="89"/>
  <c r="X37" i="89"/>
  <c r="Z37" i="89" s="1"/>
  <c r="L37" i="89"/>
  <c r="N37" i="89" s="1"/>
  <c r="B37" i="89"/>
  <c r="X36" i="89"/>
  <c r="Z36" i="89" s="1"/>
  <c r="N36" i="89"/>
  <c r="L36" i="89"/>
  <c r="B36" i="89"/>
  <c r="Z35" i="89"/>
  <c r="X35" i="89"/>
  <c r="N35" i="89"/>
  <c r="L35" i="89"/>
  <c r="B35" i="89"/>
  <c r="X34" i="89"/>
  <c r="Z34" i="89" s="1"/>
  <c r="N34" i="89"/>
  <c r="L34" i="89"/>
  <c r="B34" i="89"/>
  <c r="X33" i="89"/>
  <c r="Z33" i="89" s="1"/>
  <c r="L33" i="89"/>
  <c r="N33" i="89" s="1"/>
  <c r="B33" i="89"/>
  <c r="X32" i="89"/>
  <c r="T32" i="89"/>
  <c r="Z32" i="89" s="1"/>
  <c r="R32" i="89"/>
  <c r="P32" i="89"/>
  <c r="L32" i="89"/>
  <c r="N32" i="89" s="1"/>
  <c r="H32" i="89"/>
  <c r="D32" i="89"/>
  <c r="B32" i="89"/>
  <c r="X31" i="89"/>
  <c r="Z31" i="89" s="1"/>
  <c r="R31" i="89"/>
  <c r="L31" i="89"/>
  <c r="N31" i="89" s="1"/>
  <c r="B31" i="89"/>
  <c r="Z30" i="89"/>
  <c r="X30" i="89"/>
  <c r="N30" i="89"/>
  <c r="L30" i="89"/>
  <c r="B30" i="89"/>
  <c r="Z29" i="89"/>
  <c r="X29" i="89"/>
  <c r="R29" i="89"/>
  <c r="N29" i="89"/>
  <c r="L29" i="89"/>
  <c r="B29" i="89"/>
  <c r="Z28" i="89"/>
  <c r="X28" i="89"/>
  <c r="N28" i="89"/>
  <c r="L28" i="89"/>
  <c r="B28" i="89"/>
  <c r="Z27" i="89"/>
  <c r="X27" i="89"/>
  <c r="L27" i="89"/>
  <c r="N27" i="89" s="1"/>
  <c r="B27" i="89"/>
  <c r="X26" i="89"/>
  <c r="Z26" i="89" s="1"/>
  <c r="L26" i="89"/>
  <c r="N26" i="89" s="1"/>
  <c r="B26" i="89"/>
  <c r="X25" i="89"/>
  <c r="Z25" i="89" s="1"/>
  <c r="N25" i="89"/>
  <c r="L25" i="89"/>
  <c r="F25" i="89"/>
  <c r="B25" i="89"/>
  <c r="Z24" i="89"/>
  <c r="X24" i="89"/>
  <c r="N24" i="89"/>
  <c r="L24" i="89"/>
  <c r="B24" i="89"/>
  <c r="X23" i="89"/>
  <c r="Z23" i="89" s="1"/>
  <c r="T23" i="89"/>
  <c r="P23" i="89"/>
  <c r="H23" i="89"/>
  <c r="D23" i="89"/>
  <c r="B23" i="89"/>
  <c r="T22" i="89"/>
  <c r="P22" i="89"/>
  <c r="X22" i="89" s="1"/>
  <c r="Z22" i="89" s="1"/>
  <c r="H22" i="89"/>
  <c r="N22" i="89" s="1"/>
  <c r="D22" i="89"/>
  <c r="L22" i="89" s="1"/>
  <c r="X18" i="89"/>
  <c r="Z18" i="89" s="1"/>
  <c r="N18" i="89"/>
  <c r="L18" i="89"/>
  <c r="B18" i="89"/>
  <c r="Z17" i="89"/>
  <c r="X17" i="89"/>
  <c r="L17" i="89"/>
  <c r="N17" i="89" s="1"/>
  <c r="B17" i="89"/>
  <c r="X16" i="89"/>
  <c r="Z16" i="89" s="1"/>
  <c r="T16" i="89"/>
  <c r="P16" i="89"/>
  <c r="L16" i="89"/>
  <c r="N16" i="89" s="1"/>
  <c r="H16" i="89"/>
  <c r="D16" i="89"/>
  <c r="T14" i="89"/>
  <c r="P14" i="89"/>
  <c r="H14" i="89"/>
  <c r="H12" i="89" s="1"/>
  <c r="J36" i="89" s="1"/>
  <c r="D14" i="89"/>
  <c r="B14" i="89"/>
  <c r="T13" i="89"/>
  <c r="P13" i="89"/>
  <c r="P12" i="89" s="1"/>
  <c r="R64" i="89" s="1"/>
  <c r="L13" i="89"/>
  <c r="H13" i="89"/>
  <c r="D13" i="89"/>
  <c r="B13" i="89"/>
  <c r="D12" i="89"/>
  <c r="F27" i="89" s="1"/>
  <c r="D6" i="89"/>
  <c r="D4" i="89"/>
  <c r="X82" i="88"/>
  <c r="Z82" i="88" s="1"/>
  <c r="N82" i="88"/>
  <c r="L82" i="88"/>
  <c r="Z78" i="88"/>
  <c r="T78" i="88"/>
  <c r="X78" i="88" s="1"/>
  <c r="P78" i="88"/>
  <c r="N78" i="88"/>
  <c r="H78" i="88"/>
  <c r="D78" i="88"/>
  <c r="L78" i="88" s="1"/>
  <c r="X76" i="88"/>
  <c r="Z76" i="88" s="1"/>
  <c r="L76" i="88"/>
  <c r="N76" i="88" s="1"/>
  <c r="B76" i="88"/>
  <c r="X75" i="88"/>
  <c r="T75" i="88"/>
  <c r="P75" i="88"/>
  <c r="H75" i="88"/>
  <c r="D75" i="88"/>
  <c r="B75" i="88"/>
  <c r="X74" i="88"/>
  <c r="Z74" i="88" s="1"/>
  <c r="N74" i="88"/>
  <c r="L74" i="88"/>
  <c r="B74" i="88"/>
  <c r="X73" i="88"/>
  <c r="Z73" i="88" s="1"/>
  <c r="T73" i="88"/>
  <c r="P73" i="88"/>
  <c r="H73" i="88"/>
  <c r="D73" i="88"/>
  <c r="L73" i="88" s="1"/>
  <c r="N73" i="88" s="1"/>
  <c r="B73" i="88"/>
  <c r="Z72" i="88"/>
  <c r="X72" i="88"/>
  <c r="L72" i="88"/>
  <c r="N72" i="88" s="1"/>
  <c r="B72" i="88"/>
  <c r="X71" i="88"/>
  <c r="Z71" i="88" s="1"/>
  <c r="T71" i="88"/>
  <c r="P71" i="88"/>
  <c r="H71" i="88"/>
  <c r="D71" i="88"/>
  <c r="B71" i="88"/>
  <c r="X70" i="88"/>
  <c r="Z70" i="88" s="1"/>
  <c r="L70" i="88"/>
  <c r="N70" i="88" s="1"/>
  <c r="B70" i="88"/>
  <c r="Z69" i="88"/>
  <c r="X69" i="88"/>
  <c r="L69" i="88"/>
  <c r="N69" i="88" s="1"/>
  <c r="B69" i="88"/>
  <c r="Z68" i="88"/>
  <c r="X68" i="88"/>
  <c r="N68" i="88"/>
  <c r="L68" i="88"/>
  <c r="B68" i="88"/>
  <c r="X67" i="88"/>
  <c r="Z67" i="88" s="1"/>
  <c r="N67" i="88"/>
  <c r="L67" i="88"/>
  <c r="B67" i="88"/>
  <c r="X66" i="88"/>
  <c r="Z66" i="88" s="1"/>
  <c r="L66" i="88"/>
  <c r="N66" i="88" s="1"/>
  <c r="B66" i="88"/>
  <c r="Z65" i="88"/>
  <c r="X65" i="88"/>
  <c r="N65" i="88"/>
  <c r="L65" i="88"/>
  <c r="B65" i="88"/>
  <c r="Z64" i="88"/>
  <c r="X64" i="88"/>
  <c r="L64" i="88"/>
  <c r="N64" i="88" s="1"/>
  <c r="B64" i="88"/>
  <c r="T63" i="88"/>
  <c r="P63" i="88"/>
  <c r="X63" i="88" s="1"/>
  <c r="Z63" i="88" s="1"/>
  <c r="H63" i="88"/>
  <c r="D63" i="88"/>
  <c r="L63" i="88" s="1"/>
  <c r="B63" i="88"/>
  <c r="X62" i="88"/>
  <c r="Z62" i="88" s="1"/>
  <c r="N62" i="88"/>
  <c r="L62" i="88"/>
  <c r="B62" i="88"/>
  <c r="T61" i="88"/>
  <c r="P61" i="88"/>
  <c r="X61" i="88" s="1"/>
  <c r="Z61" i="88" s="1"/>
  <c r="L61" i="88"/>
  <c r="H61" i="88"/>
  <c r="N61" i="88" s="1"/>
  <c r="D61" i="88"/>
  <c r="B61" i="88"/>
  <c r="X60" i="88"/>
  <c r="Z60" i="88" s="1"/>
  <c r="R60" i="88"/>
  <c r="N60" i="88"/>
  <c r="L60" i="88"/>
  <c r="B60" i="88"/>
  <c r="X59" i="88"/>
  <c r="Z59" i="88" s="1"/>
  <c r="N59" i="88"/>
  <c r="L59" i="88"/>
  <c r="B59" i="88"/>
  <c r="Z58" i="88"/>
  <c r="X58" i="88"/>
  <c r="N58" i="88"/>
  <c r="L58" i="88"/>
  <c r="B58" i="88"/>
  <c r="Z57" i="88"/>
  <c r="T57" i="88"/>
  <c r="X57" i="88" s="1"/>
  <c r="P57" i="88"/>
  <c r="L57" i="88"/>
  <c r="N57" i="88" s="1"/>
  <c r="H57" i="88"/>
  <c r="D57" i="88"/>
  <c r="B57" i="88"/>
  <c r="Z56" i="88"/>
  <c r="X56" i="88"/>
  <c r="L56" i="88"/>
  <c r="N56" i="88" s="1"/>
  <c r="B56" i="88"/>
  <c r="T55" i="88"/>
  <c r="P55" i="88"/>
  <c r="X55" i="88" s="1"/>
  <c r="Z55" i="88" s="1"/>
  <c r="H55" i="88"/>
  <c r="N55" i="88" s="1"/>
  <c r="D55" i="88"/>
  <c r="L55" i="88" s="1"/>
  <c r="B55" i="88"/>
  <c r="X54" i="88"/>
  <c r="Z54" i="88" s="1"/>
  <c r="N54" i="88"/>
  <c r="L54" i="88"/>
  <c r="B54" i="88"/>
  <c r="Z53" i="88"/>
  <c r="X53" i="88"/>
  <c r="N53" i="88"/>
  <c r="L53" i="88"/>
  <c r="B53" i="88"/>
  <c r="T52" i="88"/>
  <c r="P52" i="88"/>
  <c r="X52" i="88" s="1"/>
  <c r="L52" i="88"/>
  <c r="N52" i="88" s="1"/>
  <c r="H52" i="88"/>
  <c r="D52" i="88"/>
  <c r="B52" i="88"/>
  <c r="X51" i="88"/>
  <c r="Z51" i="88" s="1"/>
  <c r="N51" i="88"/>
  <c r="L51" i="88"/>
  <c r="B51" i="88"/>
  <c r="T50" i="88"/>
  <c r="P50" i="88"/>
  <c r="X50" i="88" s="1"/>
  <c r="Z50" i="88" s="1"/>
  <c r="H50" i="88"/>
  <c r="D50" i="88"/>
  <c r="B50" i="88"/>
  <c r="X49" i="88"/>
  <c r="Z49" i="88" s="1"/>
  <c r="N49" i="88"/>
  <c r="L49" i="88"/>
  <c r="B49" i="88"/>
  <c r="T48" i="88"/>
  <c r="P48" i="88"/>
  <c r="X48" i="88" s="1"/>
  <c r="Z48" i="88" s="1"/>
  <c r="H48" i="88"/>
  <c r="D48" i="88"/>
  <c r="L48" i="88" s="1"/>
  <c r="B48" i="88"/>
  <c r="X47" i="88"/>
  <c r="Z47" i="88" s="1"/>
  <c r="L47" i="88"/>
  <c r="N47" i="88" s="1"/>
  <c r="B47" i="88"/>
  <c r="X46" i="88"/>
  <c r="Z46" i="88" s="1"/>
  <c r="T46" i="88"/>
  <c r="P46" i="88"/>
  <c r="H46" i="88"/>
  <c r="N46" i="88" s="1"/>
  <c r="D46" i="88"/>
  <c r="L46" i="88" s="1"/>
  <c r="B46" i="88"/>
  <c r="Z45" i="88"/>
  <c r="X45" i="88"/>
  <c r="L45" i="88"/>
  <c r="N45" i="88" s="1"/>
  <c r="B45" i="88"/>
  <c r="X44" i="88"/>
  <c r="Z44" i="88" s="1"/>
  <c r="N44" i="88"/>
  <c r="L44" i="88"/>
  <c r="B44" i="88"/>
  <c r="T43" i="88"/>
  <c r="R43" i="88"/>
  <c r="P43" i="88"/>
  <c r="X43" i="88" s="1"/>
  <c r="H43" i="88"/>
  <c r="L43" i="88" s="1"/>
  <c r="N43" i="88" s="1"/>
  <c r="D43" i="88"/>
  <c r="B43" i="88"/>
  <c r="X42" i="88"/>
  <c r="Z42" i="88" s="1"/>
  <c r="R42" i="88"/>
  <c r="N42" i="88"/>
  <c r="L42" i="88"/>
  <c r="B42" i="88"/>
  <c r="T41" i="88"/>
  <c r="P41" i="88"/>
  <c r="L41" i="88"/>
  <c r="N41" i="88" s="1"/>
  <c r="J41" i="88"/>
  <c r="H41" i="88"/>
  <c r="D41" i="88"/>
  <c r="B41" i="88"/>
  <c r="Z40" i="88"/>
  <c r="X40" i="88"/>
  <c r="L40" i="88"/>
  <c r="N40" i="88" s="1"/>
  <c r="B40" i="88"/>
  <c r="X39" i="88"/>
  <c r="T39" i="88"/>
  <c r="Z39" i="88" s="1"/>
  <c r="P39" i="88"/>
  <c r="J39" i="88"/>
  <c r="H39" i="88"/>
  <c r="D39" i="88"/>
  <c r="B39" i="88"/>
  <c r="Z38" i="88"/>
  <c r="X38" i="88"/>
  <c r="L38" i="88"/>
  <c r="N38" i="88" s="1"/>
  <c r="B38" i="88"/>
  <c r="T37" i="88"/>
  <c r="X37" i="88" s="1"/>
  <c r="Z37" i="88" s="1"/>
  <c r="P37" i="88"/>
  <c r="H37" i="88"/>
  <c r="D37" i="88"/>
  <c r="L37" i="88" s="1"/>
  <c r="N37" i="88" s="1"/>
  <c r="B37" i="88"/>
  <c r="Z36" i="88"/>
  <c r="X36" i="88"/>
  <c r="N36" i="88"/>
  <c r="L36" i="88"/>
  <c r="B36" i="88"/>
  <c r="X35" i="88"/>
  <c r="Z35" i="88" s="1"/>
  <c r="L35" i="88"/>
  <c r="N35" i="88" s="1"/>
  <c r="B35" i="88"/>
  <c r="Z34" i="88"/>
  <c r="X34" i="88"/>
  <c r="N34" i="88"/>
  <c r="L34" i="88"/>
  <c r="B34" i="88"/>
  <c r="X33" i="88"/>
  <c r="Z33" i="88" s="1"/>
  <c r="N33" i="88"/>
  <c r="L33" i="88"/>
  <c r="J33" i="88"/>
  <c r="B33" i="88"/>
  <c r="Z32" i="88"/>
  <c r="X32" i="88"/>
  <c r="T32" i="88"/>
  <c r="P32" i="88"/>
  <c r="H32" i="88"/>
  <c r="D32" i="88"/>
  <c r="L32" i="88" s="1"/>
  <c r="B32" i="88"/>
  <c r="X31" i="88"/>
  <c r="Z31" i="88" s="1"/>
  <c r="L31" i="88"/>
  <c r="N31" i="88" s="1"/>
  <c r="B31" i="88"/>
  <c r="X30" i="88"/>
  <c r="Z30" i="88" s="1"/>
  <c r="N30" i="88"/>
  <c r="L30" i="88"/>
  <c r="B30" i="88"/>
  <c r="Z29" i="88"/>
  <c r="X29" i="88"/>
  <c r="R29" i="88"/>
  <c r="N29" i="88"/>
  <c r="L29" i="88"/>
  <c r="B29" i="88"/>
  <c r="X28" i="88"/>
  <c r="Z28" i="88" s="1"/>
  <c r="L28" i="88"/>
  <c r="N28" i="88" s="1"/>
  <c r="B28" i="88"/>
  <c r="X27" i="88"/>
  <c r="Z27" i="88" s="1"/>
  <c r="L27" i="88"/>
  <c r="N27" i="88" s="1"/>
  <c r="B27" i="88"/>
  <c r="X26" i="88"/>
  <c r="Z26" i="88" s="1"/>
  <c r="N26" i="88"/>
  <c r="L26" i="88"/>
  <c r="B26" i="88"/>
  <c r="Z25" i="88"/>
  <c r="X25" i="88"/>
  <c r="R25" i="88"/>
  <c r="N25" i="88"/>
  <c r="L25" i="88"/>
  <c r="B25" i="88"/>
  <c r="X24" i="88"/>
  <c r="Z24" i="88" s="1"/>
  <c r="L24" i="88"/>
  <c r="N24" i="88" s="1"/>
  <c r="J24" i="88"/>
  <c r="B24" i="88"/>
  <c r="X23" i="88"/>
  <c r="Z23" i="88" s="1"/>
  <c r="T23" i="88"/>
  <c r="P23" i="88"/>
  <c r="H23" i="88"/>
  <c r="D23" i="88"/>
  <c r="L23" i="88" s="1"/>
  <c r="B23" i="88"/>
  <c r="T22" i="88"/>
  <c r="P22" i="88"/>
  <c r="X22" i="88" s="1"/>
  <c r="Z22" i="88" s="1"/>
  <c r="H22" i="88"/>
  <c r="L22" i="88" s="1"/>
  <c r="D22" i="88"/>
  <c r="Z18" i="88"/>
  <c r="X18" i="88"/>
  <c r="L18" i="88"/>
  <c r="N18" i="88" s="1"/>
  <c r="F18" i="88"/>
  <c r="B18" i="88"/>
  <c r="Z17" i="88"/>
  <c r="X17" i="88"/>
  <c r="N17" i="88"/>
  <c r="L17" i="88"/>
  <c r="B17" i="88"/>
  <c r="T16" i="88"/>
  <c r="P16" i="88"/>
  <c r="H16" i="88"/>
  <c r="D16" i="88"/>
  <c r="L16" i="88" s="1"/>
  <c r="N16" i="88" s="1"/>
  <c r="X14" i="88"/>
  <c r="T14" i="88"/>
  <c r="P14" i="88"/>
  <c r="P12" i="88" s="1"/>
  <c r="R44" i="88" s="1"/>
  <c r="H14" i="88"/>
  <c r="L14" i="88" s="1"/>
  <c r="D14" i="88"/>
  <c r="B14" i="88"/>
  <c r="T13" i="88"/>
  <c r="P13" i="88"/>
  <c r="H13" i="88"/>
  <c r="H12" i="88" s="1"/>
  <c r="J65" i="88" s="1"/>
  <c r="D13" i="88"/>
  <c r="B13" i="88"/>
  <c r="D12" i="88"/>
  <c r="D6" i="88"/>
  <c r="D4" i="88"/>
  <c r="X30" i="86"/>
  <c r="Z30" i="86" s="1"/>
  <c r="L30" i="86"/>
  <c r="N30" i="86" s="1"/>
  <c r="Z26" i="86"/>
  <c r="T26" i="86"/>
  <c r="P26" i="86"/>
  <c r="X26" i="86" s="1"/>
  <c r="J26" i="86"/>
  <c r="H26" i="86"/>
  <c r="N26" i="86" s="1"/>
  <c r="D26" i="86"/>
  <c r="Z24" i="86"/>
  <c r="X24" i="86"/>
  <c r="L24" i="86"/>
  <c r="N24" i="86" s="1"/>
  <c r="B24" i="86"/>
  <c r="T23" i="86"/>
  <c r="X23" i="86" s="1"/>
  <c r="Z23" i="86" s="1"/>
  <c r="P23" i="86"/>
  <c r="H23" i="86"/>
  <c r="F23" i="86"/>
  <c r="D23" i="86"/>
  <c r="L23" i="86" s="1"/>
  <c r="N23" i="86" s="1"/>
  <c r="B23" i="86"/>
  <c r="X22" i="86"/>
  <c r="Z22" i="86" s="1"/>
  <c r="L22" i="86"/>
  <c r="N22" i="86" s="1"/>
  <c r="B22" i="86"/>
  <c r="X21" i="86"/>
  <c r="Z21" i="86" s="1"/>
  <c r="T21" i="86"/>
  <c r="P21" i="86"/>
  <c r="H21" i="86"/>
  <c r="D21" i="86"/>
  <c r="B21" i="86"/>
  <c r="Z20" i="86"/>
  <c r="X20" i="86"/>
  <c r="T20" i="86"/>
  <c r="P20" i="86"/>
  <c r="H20" i="86"/>
  <c r="D20" i="86"/>
  <c r="L20" i="86" s="1"/>
  <c r="D18" i="86"/>
  <c r="X16" i="86"/>
  <c r="Z16" i="86" s="1"/>
  <c r="N16" i="86"/>
  <c r="L16" i="86"/>
  <c r="B16" i="86"/>
  <c r="T15" i="86"/>
  <c r="P15" i="86"/>
  <c r="X15" i="86" s="1"/>
  <c r="L15" i="86"/>
  <c r="N15" i="86" s="1"/>
  <c r="H15" i="86"/>
  <c r="D15" i="86"/>
  <c r="T13" i="86"/>
  <c r="P13" i="86"/>
  <c r="N13" i="86"/>
  <c r="H13" i="86"/>
  <c r="D13" i="86"/>
  <c r="L13" i="86" s="1"/>
  <c r="B13" i="86"/>
  <c r="H12" i="86"/>
  <c r="D12" i="86"/>
  <c r="D6" i="86"/>
  <c r="D4" i="86"/>
  <c r="Z113" i="85"/>
  <c r="X113" i="85"/>
  <c r="L113" i="85"/>
  <c r="N113" i="85" s="1"/>
  <c r="Z109" i="85"/>
  <c r="X109" i="85"/>
  <c r="T109" i="85"/>
  <c r="P109" i="85"/>
  <c r="H109" i="85"/>
  <c r="N109" i="85" s="1"/>
  <c r="D109" i="85"/>
  <c r="L109" i="85" s="1"/>
  <c r="Z107" i="85"/>
  <c r="X107" i="85"/>
  <c r="N107" i="85"/>
  <c r="L107" i="85"/>
  <c r="B107" i="85"/>
  <c r="T106" i="85"/>
  <c r="P106" i="85"/>
  <c r="L106" i="85"/>
  <c r="N106" i="85" s="1"/>
  <c r="H106" i="85"/>
  <c r="D106" i="85"/>
  <c r="B106" i="85"/>
  <c r="X105" i="85"/>
  <c r="Z105" i="85" s="1"/>
  <c r="L105" i="85"/>
  <c r="N105" i="85" s="1"/>
  <c r="B105" i="85"/>
  <c r="T104" i="85"/>
  <c r="P104" i="85"/>
  <c r="X104" i="85" s="1"/>
  <c r="Z104" i="85" s="1"/>
  <c r="N104" i="85"/>
  <c r="H104" i="85"/>
  <c r="L104" i="85" s="1"/>
  <c r="D104" i="85"/>
  <c r="B104" i="85"/>
  <c r="X103" i="85"/>
  <c r="Z103" i="85" s="1"/>
  <c r="L103" i="85"/>
  <c r="N103" i="85" s="1"/>
  <c r="B103" i="85"/>
  <c r="T102" i="85"/>
  <c r="P102" i="85"/>
  <c r="N102" i="85"/>
  <c r="L102" i="85"/>
  <c r="H102" i="85"/>
  <c r="D102" i="85"/>
  <c r="B102" i="85"/>
  <c r="X101" i="85"/>
  <c r="Z101" i="85" s="1"/>
  <c r="N101" i="85"/>
  <c r="L101" i="85"/>
  <c r="B101" i="85"/>
  <c r="X100" i="85"/>
  <c r="Z100" i="85" s="1"/>
  <c r="N100" i="85"/>
  <c r="L100" i="85"/>
  <c r="B100" i="85"/>
  <c r="X99" i="85"/>
  <c r="Z99" i="85" s="1"/>
  <c r="N99" i="85"/>
  <c r="L99" i="85"/>
  <c r="B99" i="85"/>
  <c r="Z98" i="85"/>
  <c r="X98" i="85"/>
  <c r="N98" i="85"/>
  <c r="L98" i="85"/>
  <c r="B98" i="85"/>
  <c r="T97" i="85"/>
  <c r="P97" i="85"/>
  <c r="X97" i="85" s="1"/>
  <c r="L97" i="85"/>
  <c r="N97" i="85" s="1"/>
  <c r="H97" i="85"/>
  <c r="D97" i="85"/>
  <c r="B97" i="85"/>
  <c r="X96" i="85"/>
  <c r="Z96" i="85" s="1"/>
  <c r="N96" i="85"/>
  <c r="L96" i="85"/>
  <c r="B96" i="85"/>
  <c r="T95" i="85"/>
  <c r="P95" i="85"/>
  <c r="X95" i="85" s="1"/>
  <c r="Z95" i="85" s="1"/>
  <c r="L95" i="85"/>
  <c r="H95" i="85"/>
  <c r="D95" i="85"/>
  <c r="B95" i="85"/>
  <c r="X94" i="85"/>
  <c r="Z94" i="85" s="1"/>
  <c r="N94" i="85"/>
  <c r="L94" i="85"/>
  <c r="B94" i="85"/>
  <c r="X93" i="85"/>
  <c r="Z93" i="85" s="1"/>
  <c r="L93" i="85"/>
  <c r="N93" i="85" s="1"/>
  <c r="B93" i="85"/>
  <c r="Z92" i="85"/>
  <c r="X92" i="85"/>
  <c r="N92" i="85"/>
  <c r="L92" i="85"/>
  <c r="B92" i="85"/>
  <c r="T91" i="85"/>
  <c r="P91" i="85"/>
  <c r="X91" i="85" s="1"/>
  <c r="L91" i="85"/>
  <c r="N91" i="85" s="1"/>
  <c r="H91" i="85"/>
  <c r="D91" i="85"/>
  <c r="B91" i="85"/>
  <c r="Z90" i="85"/>
  <c r="X90" i="85"/>
  <c r="N90" i="85"/>
  <c r="L90" i="85"/>
  <c r="B90" i="85"/>
  <c r="T89" i="85"/>
  <c r="P89" i="85"/>
  <c r="L89" i="85"/>
  <c r="N89" i="85" s="1"/>
  <c r="H89" i="85"/>
  <c r="D89" i="85"/>
  <c r="B89" i="85"/>
  <c r="X88" i="85"/>
  <c r="Z88" i="85" s="1"/>
  <c r="L88" i="85"/>
  <c r="N88" i="85" s="1"/>
  <c r="B88" i="85"/>
  <c r="T87" i="85"/>
  <c r="P87" i="85"/>
  <c r="X87" i="85" s="1"/>
  <c r="Z87" i="85" s="1"/>
  <c r="L87" i="85"/>
  <c r="H87" i="85"/>
  <c r="D87" i="85"/>
  <c r="B87" i="85"/>
  <c r="Z86" i="85"/>
  <c r="X86" i="85"/>
  <c r="N86" i="85"/>
  <c r="L86" i="85"/>
  <c r="B86" i="85"/>
  <c r="X85" i="85"/>
  <c r="Z85" i="85" s="1"/>
  <c r="T85" i="85"/>
  <c r="P85" i="85"/>
  <c r="H85" i="85"/>
  <c r="N85" i="85" s="1"/>
  <c r="D85" i="85"/>
  <c r="L85" i="85" s="1"/>
  <c r="B85" i="85"/>
  <c r="Z84" i="85"/>
  <c r="X84" i="85"/>
  <c r="L84" i="85"/>
  <c r="N84" i="85" s="1"/>
  <c r="B84" i="85"/>
  <c r="Z83" i="85"/>
  <c r="X83" i="85"/>
  <c r="T83" i="85"/>
  <c r="P83" i="85"/>
  <c r="H83" i="85"/>
  <c r="D83" i="85"/>
  <c r="L83" i="85" s="1"/>
  <c r="B83" i="85"/>
  <c r="Z82" i="85"/>
  <c r="X82" i="85"/>
  <c r="N82" i="85"/>
  <c r="L82" i="85"/>
  <c r="B82" i="85"/>
  <c r="T81" i="85"/>
  <c r="P81" i="85"/>
  <c r="H81" i="85"/>
  <c r="D81" i="85"/>
  <c r="L81" i="85" s="1"/>
  <c r="N81" i="85" s="1"/>
  <c r="B81" i="85"/>
  <c r="X80" i="85"/>
  <c r="Z80" i="85" s="1"/>
  <c r="N80" i="85"/>
  <c r="L80" i="85"/>
  <c r="B80" i="85"/>
  <c r="T79" i="85"/>
  <c r="P79" i="85"/>
  <c r="X79" i="85" s="1"/>
  <c r="N79" i="85"/>
  <c r="L79" i="85"/>
  <c r="H79" i="85"/>
  <c r="D79" i="85"/>
  <c r="B79" i="85"/>
  <c r="Z78" i="85"/>
  <c r="X78" i="85"/>
  <c r="N78" i="85"/>
  <c r="L78" i="85"/>
  <c r="B78" i="85"/>
  <c r="T77" i="85"/>
  <c r="P77" i="85"/>
  <c r="X77" i="85" s="1"/>
  <c r="N77" i="85"/>
  <c r="L77" i="85"/>
  <c r="H77" i="85"/>
  <c r="D77" i="85"/>
  <c r="B77" i="85"/>
  <c r="X76" i="85"/>
  <c r="Z76" i="85" s="1"/>
  <c r="N76" i="85"/>
  <c r="L76" i="85"/>
  <c r="B76" i="85"/>
  <c r="T75" i="85"/>
  <c r="P75" i="85"/>
  <c r="X75" i="85" s="1"/>
  <c r="Z75" i="85" s="1"/>
  <c r="L75" i="85"/>
  <c r="H75" i="85"/>
  <c r="D75" i="85"/>
  <c r="B75" i="85"/>
  <c r="Z74" i="85"/>
  <c r="X74" i="85"/>
  <c r="N74" i="85"/>
  <c r="L74" i="85"/>
  <c r="B74" i="85"/>
  <c r="X73" i="85"/>
  <c r="Z73" i="85" s="1"/>
  <c r="T73" i="85"/>
  <c r="P73" i="85"/>
  <c r="L73" i="85"/>
  <c r="H73" i="85"/>
  <c r="D73" i="85"/>
  <c r="B73" i="85"/>
  <c r="Z72" i="85"/>
  <c r="X72" i="85"/>
  <c r="L72" i="85"/>
  <c r="N72" i="85" s="1"/>
  <c r="B72" i="85"/>
  <c r="T71" i="85"/>
  <c r="X71" i="85" s="1"/>
  <c r="P71" i="85"/>
  <c r="H71" i="85"/>
  <c r="D71" i="85"/>
  <c r="L71" i="85" s="1"/>
  <c r="B71" i="85"/>
  <c r="Z70" i="85"/>
  <c r="X70" i="85"/>
  <c r="N70" i="85"/>
  <c r="L70" i="85"/>
  <c r="B70" i="85"/>
  <c r="T69" i="85"/>
  <c r="P69" i="85"/>
  <c r="H69" i="85"/>
  <c r="D69" i="85"/>
  <c r="L69" i="85" s="1"/>
  <c r="N69" i="85" s="1"/>
  <c r="B69" i="85"/>
  <c r="X68" i="85"/>
  <c r="Z68" i="85" s="1"/>
  <c r="N68" i="85"/>
  <c r="L68" i="85"/>
  <c r="B68" i="85"/>
  <c r="X67" i="85"/>
  <c r="Z67" i="85" s="1"/>
  <c r="L67" i="85"/>
  <c r="N67" i="85" s="1"/>
  <c r="B67" i="85"/>
  <c r="Z66" i="85"/>
  <c r="X66" i="85"/>
  <c r="N66" i="85"/>
  <c r="L66" i="85"/>
  <c r="B66" i="85"/>
  <c r="X65" i="85"/>
  <c r="Z65" i="85" s="1"/>
  <c r="L65" i="85"/>
  <c r="N65" i="85" s="1"/>
  <c r="B65" i="85"/>
  <c r="X64" i="85"/>
  <c r="Z64" i="85" s="1"/>
  <c r="T64" i="85"/>
  <c r="P64" i="85"/>
  <c r="H64" i="85"/>
  <c r="N64" i="85" s="1"/>
  <c r="D64" i="85"/>
  <c r="L64" i="85" s="1"/>
  <c r="B64" i="85"/>
  <c r="X63" i="85"/>
  <c r="Z63" i="85" s="1"/>
  <c r="N63" i="85"/>
  <c r="L63" i="85"/>
  <c r="B63" i="85"/>
  <c r="Z62" i="85"/>
  <c r="X62" i="85"/>
  <c r="N62" i="85"/>
  <c r="L62" i="85"/>
  <c r="B62" i="85"/>
  <c r="X61" i="85"/>
  <c r="Z61" i="85" s="1"/>
  <c r="L61" i="85"/>
  <c r="N61" i="85" s="1"/>
  <c r="B61" i="85"/>
  <c r="Z60" i="85"/>
  <c r="X60" i="85"/>
  <c r="L60" i="85"/>
  <c r="N60" i="85" s="1"/>
  <c r="B60" i="85"/>
  <c r="X59" i="85"/>
  <c r="Z59" i="85" s="1"/>
  <c r="N59" i="85"/>
  <c r="L59" i="85"/>
  <c r="B59" i="85"/>
  <c r="Z58" i="85"/>
  <c r="X58" i="85"/>
  <c r="N58" i="85"/>
  <c r="L58" i="85"/>
  <c r="B58" i="85"/>
  <c r="X57" i="85"/>
  <c r="Z57" i="85" s="1"/>
  <c r="L57" i="85"/>
  <c r="N57" i="85" s="1"/>
  <c r="B57" i="85"/>
  <c r="Z56" i="85"/>
  <c r="X56" i="85"/>
  <c r="L56" i="85"/>
  <c r="N56" i="85" s="1"/>
  <c r="B56" i="85"/>
  <c r="X55" i="85"/>
  <c r="Z55" i="85" s="1"/>
  <c r="T55" i="85"/>
  <c r="P55" i="85"/>
  <c r="H55" i="85"/>
  <c r="D55" i="85"/>
  <c r="B55" i="85"/>
  <c r="T54" i="85"/>
  <c r="X54" i="85" s="1"/>
  <c r="P54" i="85"/>
  <c r="H54" i="85"/>
  <c r="N54" i="85" s="1"/>
  <c r="D54" i="85"/>
  <c r="L54" i="85" s="1"/>
  <c r="Z50" i="85"/>
  <c r="X50" i="85"/>
  <c r="L50" i="85"/>
  <c r="N50" i="85" s="1"/>
  <c r="B50" i="85"/>
  <c r="X49" i="85"/>
  <c r="Z49" i="85" s="1"/>
  <c r="L49" i="85"/>
  <c r="N49" i="85" s="1"/>
  <c r="B49" i="85"/>
  <c r="X48" i="85"/>
  <c r="Z48" i="85" s="1"/>
  <c r="L48" i="85"/>
  <c r="N48" i="85" s="1"/>
  <c r="B48" i="85"/>
  <c r="Z47" i="85"/>
  <c r="X47" i="85"/>
  <c r="N47" i="85"/>
  <c r="L47" i="85"/>
  <c r="B47" i="85"/>
  <c r="Z46" i="85"/>
  <c r="X46" i="85"/>
  <c r="L46" i="85"/>
  <c r="N46" i="85" s="1"/>
  <c r="B46" i="85"/>
  <c r="X45" i="85"/>
  <c r="Z45" i="85" s="1"/>
  <c r="L45" i="85"/>
  <c r="N45" i="85" s="1"/>
  <c r="B45" i="85"/>
  <c r="X44" i="85"/>
  <c r="Z44" i="85" s="1"/>
  <c r="L44" i="85"/>
  <c r="N44" i="85" s="1"/>
  <c r="B44" i="85"/>
  <c r="Z43" i="85"/>
  <c r="X43" i="85"/>
  <c r="L43" i="85"/>
  <c r="N43" i="85" s="1"/>
  <c r="B43" i="85"/>
  <c r="Z42" i="85"/>
  <c r="X42" i="85"/>
  <c r="L42" i="85"/>
  <c r="N42" i="85" s="1"/>
  <c r="B42" i="85"/>
  <c r="X41" i="85"/>
  <c r="Z41" i="85" s="1"/>
  <c r="L41" i="85"/>
  <c r="N41" i="85" s="1"/>
  <c r="B41" i="85"/>
  <c r="Z40" i="85"/>
  <c r="X40" i="85"/>
  <c r="N40" i="85"/>
  <c r="L40" i="85"/>
  <c r="B40" i="85"/>
  <c r="Z39" i="85"/>
  <c r="X39" i="85"/>
  <c r="N39" i="85"/>
  <c r="L39" i="85"/>
  <c r="B39" i="85"/>
  <c r="Z38" i="85"/>
  <c r="X38" i="85"/>
  <c r="L38" i="85"/>
  <c r="N38" i="85" s="1"/>
  <c r="B38" i="85"/>
  <c r="X37" i="85"/>
  <c r="Z37" i="85" s="1"/>
  <c r="L37" i="85"/>
  <c r="N37" i="85" s="1"/>
  <c r="B37" i="85"/>
  <c r="X36" i="85"/>
  <c r="Z36" i="85" s="1"/>
  <c r="N36" i="85"/>
  <c r="L36" i="85"/>
  <c r="B36" i="85"/>
  <c r="Z35" i="85"/>
  <c r="T35" i="85"/>
  <c r="P35" i="85"/>
  <c r="X35" i="85" s="1"/>
  <c r="H35" i="85"/>
  <c r="D35" i="85"/>
  <c r="L35" i="85" s="1"/>
  <c r="T33" i="85"/>
  <c r="Z33" i="85" s="1"/>
  <c r="P33" i="85"/>
  <c r="H33" i="85"/>
  <c r="N33" i="85" s="1"/>
  <c r="D33" i="85"/>
  <c r="B33" i="85"/>
  <c r="Z32" i="85"/>
  <c r="T32" i="85"/>
  <c r="P32" i="85"/>
  <c r="X32" i="85" s="1"/>
  <c r="L32" i="85"/>
  <c r="N32" i="85" s="1"/>
  <c r="H32" i="85"/>
  <c r="D32" i="85"/>
  <c r="B32" i="85"/>
  <c r="T31" i="85"/>
  <c r="X31" i="85" s="1"/>
  <c r="P31" i="85"/>
  <c r="L31" i="85"/>
  <c r="H31" i="85"/>
  <c r="N31" i="85" s="1"/>
  <c r="D31" i="85"/>
  <c r="B31" i="85"/>
  <c r="T30" i="85"/>
  <c r="P30" i="85"/>
  <c r="X30" i="85" s="1"/>
  <c r="H30" i="85"/>
  <c r="L30" i="85" s="1"/>
  <c r="D30" i="85"/>
  <c r="B30" i="85"/>
  <c r="Z29" i="85"/>
  <c r="T29" i="85"/>
  <c r="X29" i="85" s="1"/>
  <c r="P29" i="85"/>
  <c r="H29" i="85"/>
  <c r="D29" i="85"/>
  <c r="L29" i="85" s="1"/>
  <c r="N29" i="85" s="1"/>
  <c r="B29" i="85"/>
  <c r="X28" i="85"/>
  <c r="Z28" i="85" s="1"/>
  <c r="T28" i="85"/>
  <c r="P28" i="85"/>
  <c r="L28" i="85"/>
  <c r="N28" i="85" s="1"/>
  <c r="H28" i="85"/>
  <c r="D28" i="85"/>
  <c r="B28" i="85"/>
  <c r="T27" i="85"/>
  <c r="P27" i="85"/>
  <c r="L27" i="85"/>
  <c r="N27" i="85" s="1"/>
  <c r="H27" i="85"/>
  <c r="D27" i="85"/>
  <c r="B27" i="85"/>
  <c r="T26" i="85"/>
  <c r="Z26" i="85" s="1"/>
  <c r="P26" i="85"/>
  <c r="X26" i="85" s="1"/>
  <c r="H26" i="85"/>
  <c r="N26" i="85" s="1"/>
  <c r="D26" i="85"/>
  <c r="B26" i="85"/>
  <c r="Z25" i="85"/>
  <c r="T25" i="85"/>
  <c r="X25" i="85" s="1"/>
  <c r="P25" i="85"/>
  <c r="H25" i="85"/>
  <c r="D25" i="85"/>
  <c r="L25" i="85" s="1"/>
  <c r="N25" i="85" s="1"/>
  <c r="B25" i="85"/>
  <c r="X24" i="85"/>
  <c r="Z24" i="85" s="1"/>
  <c r="T24" i="85"/>
  <c r="P24" i="85"/>
  <c r="L24" i="85"/>
  <c r="N24" i="85" s="1"/>
  <c r="H24" i="85"/>
  <c r="D24" i="85"/>
  <c r="B24" i="85"/>
  <c r="T23" i="85"/>
  <c r="Z23" i="85" s="1"/>
  <c r="P23" i="85"/>
  <c r="X23" i="85" s="1"/>
  <c r="N23" i="85"/>
  <c r="L23" i="85"/>
  <c r="H23" i="85"/>
  <c r="D23" i="85"/>
  <c r="B23" i="85"/>
  <c r="T22" i="85"/>
  <c r="P22" i="85"/>
  <c r="X22" i="85" s="1"/>
  <c r="H22" i="85"/>
  <c r="D22" i="85"/>
  <c r="L22" i="85" s="1"/>
  <c r="B22" i="85"/>
  <c r="Z21" i="85"/>
  <c r="T21" i="85"/>
  <c r="X21" i="85" s="1"/>
  <c r="P21" i="85"/>
  <c r="H21" i="85"/>
  <c r="D21" i="85"/>
  <c r="L21" i="85" s="1"/>
  <c r="N21" i="85" s="1"/>
  <c r="B21" i="85"/>
  <c r="X20" i="85"/>
  <c r="T20" i="85"/>
  <c r="Z20" i="85" s="1"/>
  <c r="P20" i="85"/>
  <c r="L20" i="85"/>
  <c r="N20" i="85" s="1"/>
  <c r="H20" i="85"/>
  <c r="D20" i="85"/>
  <c r="B20" i="85"/>
  <c r="T19" i="85"/>
  <c r="Z19" i="85" s="1"/>
  <c r="P19" i="85"/>
  <c r="X19" i="85" s="1"/>
  <c r="L19" i="85"/>
  <c r="H19" i="85"/>
  <c r="N19" i="85" s="1"/>
  <c r="D19" i="85"/>
  <c r="B19" i="85"/>
  <c r="T18" i="85"/>
  <c r="P18" i="85"/>
  <c r="X18" i="85" s="1"/>
  <c r="H18" i="85"/>
  <c r="D18" i="85"/>
  <c r="L18" i="85" s="1"/>
  <c r="B18" i="85"/>
  <c r="Z17" i="85"/>
  <c r="T17" i="85"/>
  <c r="X17" i="85" s="1"/>
  <c r="P17" i="85"/>
  <c r="H17" i="85"/>
  <c r="D17" i="85"/>
  <c r="L17" i="85" s="1"/>
  <c r="N17" i="85" s="1"/>
  <c r="B17" i="85"/>
  <c r="X16" i="85"/>
  <c r="T16" i="85"/>
  <c r="Z16" i="85" s="1"/>
  <c r="P16" i="85"/>
  <c r="L16" i="85"/>
  <c r="N16" i="85" s="1"/>
  <c r="H16" i="85"/>
  <c r="D16" i="85"/>
  <c r="B16" i="85"/>
  <c r="T15" i="85"/>
  <c r="X15" i="85" s="1"/>
  <c r="P15" i="85"/>
  <c r="L15" i="85"/>
  <c r="H15" i="85"/>
  <c r="N15" i="85" s="1"/>
  <c r="D15" i="85"/>
  <c r="B15" i="85"/>
  <c r="T14" i="85"/>
  <c r="P14" i="85"/>
  <c r="P12" i="85" s="1"/>
  <c r="H14" i="85"/>
  <c r="L14" i="85" s="1"/>
  <c r="D14" i="85"/>
  <c r="B14" i="85"/>
  <c r="T13" i="85"/>
  <c r="T12" i="85" s="1"/>
  <c r="P13" i="85"/>
  <c r="H13" i="85"/>
  <c r="D13" i="85"/>
  <c r="B13" i="85"/>
  <c r="D12" i="85"/>
  <c r="F74" i="85" s="1"/>
  <c r="D6" i="85"/>
  <c r="D4" i="85"/>
  <c r="Z79" i="84"/>
  <c r="X79" i="84"/>
  <c r="N79" i="84"/>
  <c r="L79" i="84"/>
  <c r="T75" i="84"/>
  <c r="Z75" i="84" s="1"/>
  <c r="P75" i="84"/>
  <c r="X75" i="84" s="1"/>
  <c r="N75" i="84"/>
  <c r="H75" i="84"/>
  <c r="D75" i="84"/>
  <c r="L75" i="84" s="1"/>
  <c r="X73" i="84"/>
  <c r="Z73" i="84" s="1"/>
  <c r="N73" i="84"/>
  <c r="L73" i="84"/>
  <c r="B73" i="84"/>
  <c r="T72" i="84"/>
  <c r="P72" i="84"/>
  <c r="X72" i="84" s="1"/>
  <c r="H72" i="84"/>
  <c r="D72" i="84"/>
  <c r="L72" i="84" s="1"/>
  <c r="N72" i="84" s="1"/>
  <c r="B72" i="84"/>
  <c r="X71" i="84"/>
  <c r="Z71" i="84" s="1"/>
  <c r="N71" i="84"/>
  <c r="L71" i="84"/>
  <c r="B71" i="84"/>
  <c r="X70" i="84"/>
  <c r="Z70" i="84" s="1"/>
  <c r="T70" i="84"/>
  <c r="P70" i="84"/>
  <c r="L70" i="84"/>
  <c r="H70" i="84"/>
  <c r="N70" i="84" s="1"/>
  <c r="D70" i="84"/>
  <c r="B70" i="84"/>
  <c r="Z69" i="84"/>
  <c r="X69" i="84"/>
  <c r="L69" i="84"/>
  <c r="N69" i="84" s="1"/>
  <c r="B69" i="84"/>
  <c r="Z68" i="84"/>
  <c r="X68" i="84"/>
  <c r="N68" i="84"/>
  <c r="L68" i="84"/>
  <c r="B68" i="84"/>
  <c r="Z67" i="84"/>
  <c r="X67" i="84"/>
  <c r="L67" i="84"/>
  <c r="N67" i="84" s="1"/>
  <c r="B67" i="84"/>
  <c r="Z66" i="84"/>
  <c r="X66" i="84"/>
  <c r="L66" i="84"/>
  <c r="N66" i="84" s="1"/>
  <c r="B66" i="84"/>
  <c r="Z65" i="84"/>
  <c r="X65" i="84"/>
  <c r="L65" i="84"/>
  <c r="N65" i="84" s="1"/>
  <c r="B65" i="84"/>
  <c r="Z64" i="84"/>
  <c r="X64" i="84"/>
  <c r="N64" i="84"/>
  <c r="L64" i="84"/>
  <c r="B64" i="84"/>
  <c r="T63" i="84"/>
  <c r="X63" i="84" s="1"/>
  <c r="Z63" i="84" s="1"/>
  <c r="P63" i="84"/>
  <c r="H63" i="84"/>
  <c r="D63" i="84"/>
  <c r="L63" i="84" s="1"/>
  <c r="N63" i="84" s="1"/>
  <c r="B63" i="84"/>
  <c r="Z62" i="84"/>
  <c r="X62" i="84"/>
  <c r="N62" i="84"/>
  <c r="L62" i="84"/>
  <c r="B62" i="84"/>
  <c r="T61" i="84"/>
  <c r="Z61" i="84" s="1"/>
  <c r="P61" i="84"/>
  <c r="X61" i="84" s="1"/>
  <c r="N61" i="84"/>
  <c r="H61" i="84"/>
  <c r="D61" i="84"/>
  <c r="L61" i="84" s="1"/>
  <c r="B61" i="84"/>
  <c r="X60" i="84"/>
  <c r="Z60" i="84" s="1"/>
  <c r="N60" i="84"/>
  <c r="L60" i="84"/>
  <c r="B60" i="84"/>
  <c r="X59" i="84"/>
  <c r="Z59" i="84" s="1"/>
  <c r="N59" i="84"/>
  <c r="L59" i="84"/>
  <c r="B59" i="84"/>
  <c r="X58" i="84"/>
  <c r="Z58" i="84" s="1"/>
  <c r="N58" i="84"/>
  <c r="L58" i="84"/>
  <c r="B58" i="84"/>
  <c r="Z57" i="84"/>
  <c r="X57" i="84"/>
  <c r="T57" i="84"/>
  <c r="P57" i="84"/>
  <c r="H57" i="84"/>
  <c r="D57" i="84"/>
  <c r="L57" i="84" s="1"/>
  <c r="B57" i="84"/>
  <c r="Z56" i="84"/>
  <c r="X56" i="84"/>
  <c r="N56" i="84"/>
  <c r="L56" i="84"/>
  <c r="B56" i="84"/>
  <c r="T55" i="84"/>
  <c r="X55" i="84" s="1"/>
  <c r="Z55" i="84" s="1"/>
  <c r="P55" i="84"/>
  <c r="H55" i="84"/>
  <c r="D55" i="84"/>
  <c r="L55" i="84" s="1"/>
  <c r="N55" i="84" s="1"/>
  <c r="B55" i="84"/>
  <c r="X54" i="84"/>
  <c r="Z54" i="84" s="1"/>
  <c r="L54" i="84"/>
  <c r="N54" i="84" s="1"/>
  <c r="B54" i="84"/>
  <c r="T53" i="84"/>
  <c r="P53" i="84"/>
  <c r="X53" i="84" s="1"/>
  <c r="H53" i="84"/>
  <c r="D53" i="84"/>
  <c r="L53" i="84" s="1"/>
  <c r="N53" i="84" s="1"/>
  <c r="B53" i="84"/>
  <c r="X52" i="84"/>
  <c r="Z52" i="84" s="1"/>
  <c r="N52" i="84"/>
  <c r="L52" i="84"/>
  <c r="B52" i="84"/>
  <c r="T51" i="84"/>
  <c r="Z51" i="84" s="1"/>
  <c r="P51" i="84"/>
  <c r="X51" i="84" s="1"/>
  <c r="N51" i="84"/>
  <c r="L51" i="84"/>
  <c r="H51" i="84"/>
  <c r="D51" i="84"/>
  <c r="B51" i="84"/>
  <c r="Z50" i="84"/>
  <c r="X50" i="84"/>
  <c r="N50" i="84"/>
  <c r="L50" i="84"/>
  <c r="B50" i="84"/>
  <c r="T49" i="84"/>
  <c r="P49" i="84"/>
  <c r="X49" i="84" s="1"/>
  <c r="Z49" i="84" s="1"/>
  <c r="N49" i="84"/>
  <c r="H49" i="84"/>
  <c r="L49" i="84" s="1"/>
  <c r="D49" i="84"/>
  <c r="B49" i="84"/>
  <c r="Z48" i="84"/>
  <c r="X48" i="84"/>
  <c r="L48" i="84"/>
  <c r="N48" i="84" s="1"/>
  <c r="B48" i="84"/>
  <c r="T47" i="84"/>
  <c r="Z47" i="84" s="1"/>
  <c r="P47" i="84"/>
  <c r="X47" i="84" s="1"/>
  <c r="H47" i="84"/>
  <c r="N47" i="84" s="1"/>
  <c r="D47" i="84"/>
  <c r="L47" i="84" s="1"/>
  <c r="B47" i="84"/>
  <c r="X46" i="84"/>
  <c r="Z46" i="84" s="1"/>
  <c r="N46" i="84"/>
  <c r="L46" i="84"/>
  <c r="B46" i="84"/>
  <c r="Z45" i="84"/>
  <c r="X45" i="84"/>
  <c r="N45" i="84"/>
  <c r="L45" i="84"/>
  <c r="B45" i="84"/>
  <c r="X44" i="84"/>
  <c r="T44" i="84"/>
  <c r="Z44" i="84" s="1"/>
  <c r="P44" i="84"/>
  <c r="L44" i="84"/>
  <c r="N44" i="84" s="1"/>
  <c r="H44" i="84"/>
  <c r="D44" i="84"/>
  <c r="B44" i="84"/>
  <c r="Z43" i="84"/>
  <c r="X43" i="84"/>
  <c r="L43" i="84"/>
  <c r="N43" i="84" s="1"/>
  <c r="B43" i="84"/>
  <c r="T42" i="84"/>
  <c r="P42" i="84"/>
  <c r="X42" i="84" s="1"/>
  <c r="H42" i="84"/>
  <c r="D42" i="84"/>
  <c r="B42" i="84"/>
  <c r="X41" i="84"/>
  <c r="Z41" i="84" s="1"/>
  <c r="N41" i="84"/>
  <c r="L41" i="84"/>
  <c r="B41" i="84"/>
  <c r="T40" i="84"/>
  <c r="P40" i="84"/>
  <c r="X40" i="84" s="1"/>
  <c r="H40" i="84"/>
  <c r="D40" i="84"/>
  <c r="L40" i="84" s="1"/>
  <c r="N40" i="84" s="1"/>
  <c r="B40" i="84"/>
  <c r="X39" i="84"/>
  <c r="Z39" i="84" s="1"/>
  <c r="N39" i="84"/>
  <c r="L39" i="84"/>
  <c r="B39" i="84"/>
  <c r="X38" i="84"/>
  <c r="Z38" i="84" s="1"/>
  <c r="T38" i="84"/>
  <c r="P38" i="84"/>
  <c r="L38" i="84"/>
  <c r="H38" i="84"/>
  <c r="N38" i="84" s="1"/>
  <c r="D38" i="84"/>
  <c r="B38" i="84"/>
  <c r="Z37" i="84"/>
  <c r="X37" i="84"/>
  <c r="L37" i="84"/>
  <c r="N37" i="84" s="1"/>
  <c r="B37" i="84"/>
  <c r="Z36" i="84"/>
  <c r="X36" i="84"/>
  <c r="N36" i="84"/>
  <c r="L36" i="84"/>
  <c r="B36" i="84"/>
  <c r="Z35" i="84"/>
  <c r="X35" i="84"/>
  <c r="N35" i="84"/>
  <c r="L35" i="84"/>
  <c r="B35" i="84"/>
  <c r="Z34" i="84"/>
  <c r="X34" i="84"/>
  <c r="N34" i="84"/>
  <c r="L34" i="84"/>
  <c r="B34" i="84"/>
  <c r="Z33" i="84"/>
  <c r="X33" i="84"/>
  <c r="L33" i="84"/>
  <c r="N33" i="84" s="1"/>
  <c r="B33" i="84"/>
  <c r="T32" i="84"/>
  <c r="P32" i="84"/>
  <c r="H32" i="84"/>
  <c r="N32" i="84" s="1"/>
  <c r="D32" i="84"/>
  <c r="L32" i="84" s="1"/>
  <c r="B32" i="84"/>
  <c r="Z31" i="84"/>
  <c r="X31" i="84"/>
  <c r="N31" i="84"/>
  <c r="L31" i="84"/>
  <c r="B31" i="84"/>
  <c r="X30" i="84"/>
  <c r="Z30" i="84" s="1"/>
  <c r="L30" i="84"/>
  <c r="N30" i="84" s="1"/>
  <c r="B30" i="84"/>
  <c r="X29" i="84"/>
  <c r="Z29" i="84" s="1"/>
  <c r="N29" i="84"/>
  <c r="L29" i="84"/>
  <c r="B29" i="84"/>
  <c r="Z28" i="84"/>
  <c r="X28" i="84"/>
  <c r="L28" i="84"/>
  <c r="N28" i="84" s="1"/>
  <c r="B28" i="84"/>
  <c r="X27" i="84"/>
  <c r="Z27" i="84" s="1"/>
  <c r="L27" i="84"/>
  <c r="N27" i="84" s="1"/>
  <c r="B27" i="84"/>
  <c r="X26" i="84"/>
  <c r="Z26" i="84" s="1"/>
  <c r="L26" i="84"/>
  <c r="N26" i="84" s="1"/>
  <c r="B26" i="84"/>
  <c r="X25" i="84"/>
  <c r="Z25" i="84" s="1"/>
  <c r="N25" i="84"/>
  <c r="L25" i="84"/>
  <c r="B25" i="84"/>
  <c r="Z24" i="84"/>
  <c r="X24" i="84"/>
  <c r="L24" i="84"/>
  <c r="N24" i="84" s="1"/>
  <c r="B24" i="84"/>
  <c r="T23" i="84"/>
  <c r="P23" i="84"/>
  <c r="X23" i="84" s="1"/>
  <c r="Z23" i="84" s="1"/>
  <c r="H23" i="84"/>
  <c r="N23" i="84" s="1"/>
  <c r="D23" i="84"/>
  <c r="L23" i="84" s="1"/>
  <c r="B23" i="84"/>
  <c r="X22" i="84"/>
  <c r="Z22" i="84" s="1"/>
  <c r="T22" i="84"/>
  <c r="P22" i="84"/>
  <c r="H22" i="84"/>
  <c r="D22" i="84"/>
  <c r="X18" i="84"/>
  <c r="Z18" i="84" s="1"/>
  <c r="N18" i="84"/>
  <c r="L18" i="84"/>
  <c r="B18" i="84"/>
  <c r="Z17" i="84"/>
  <c r="X17" i="84"/>
  <c r="N17" i="84"/>
  <c r="L17" i="84"/>
  <c r="B17" i="84"/>
  <c r="T16" i="84"/>
  <c r="P16" i="84"/>
  <c r="L16" i="84"/>
  <c r="N16" i="84" s="1"/>
  <c r="H16" i="84"/>
  <c r="D16" i="84"/>
  <c r="T14" i="84"/>
  <c r="Z14" i="84" s="1"/>
  <c r="P14" i="84"/>
  <c r="X14" i="84" s="1"/>
  <c r="H14" i="84"/>
  <c r="D14" i="84"/>
  <c r="L14" i="84" s="1"/>
  <c r="N14" i="84" s="1"/>
  <c r="B14" i="84"/>
  <c r="X13" i="84"/>
  <c r="T13" i="84"/>
  <c r="T12" i="84" s="1"/>
  <c r="P13" i="84"/>
  <c r="P12" i="84" s="1"/>
  <c r="H13" i="84"/>
  <c r="H12" i="84" s="1"/>
  <c r="D13" i="84"/>
  <c r="L13" i="84" s="1"/>
  <c r="B13" i="84"/>
  <c r="D12" i="84"/>
  <c r="F73" i="84" s="1"/>
  <c r="D6" i="84"/>
  <c r="D4" i="84"/>
  <c r="Z31" i="83"/>
  <c r="X31" i="83"/>
  <c r="L31" i="83"/>
  <c r="N31" i="83" s="1"/>
  <c r="T27" i="83"/>
  <c r="Z27" i="83" s="1"/>
  <c r="P27" i="83"/>
  <c r="L27" i="83"/>
  <c r="H27" i="83"/>
  <c r="N27" i="83" s="1"/>
  <c r="D27" i="83"/>
  <c r="X25" i="83"/>
  <c r="Z25" i="83" s="1"/>
  <c r="N25" i="83"/>
  <c r="L25" i="83"/>
  <c r="F25" i="83"/>
  <c r="B25" i="83"/>
  <c r="X24" i="83"/>
  <c r="T24" i="83"/>
  <c r="Z24" i="83" s="1"/>
  <c r="P24" i="83"/>
  <c r="N24" i="83"/>
  <c r="L24" i="83"/>
  <c r="H24" i="83"/>
  <c r="F24" i="83"/>
  <c r="D24" i="83"/>
  <c r="B24" i="83"/>
  <c r="T23" i="83"/>
  <c r="Z23" i="83" s="1"/>
  <c r="P23" i="83"/>
  <c r="X23" i="83" s="1"/>
  <c r="H23" i="83"/>
  <c r="D23" i="83"/>
  <c r="Z19" i="83"/>
  <c r="X19" i="83"/>
  <c r="L19" i="83"/>
  <c r="N19" i="83" s="1"/>
  <c r="B19" i="83"/>
  <c r="Z18" i="83"/>
  <c r="X18" i="83"/>
  <c r="N18" i="83"/>
  <c r="L18" i="83"/>
  <c r="B18" i="83"/>
  <c r="T17" i="83"/>
  <c r="P17" i="83"/>
  <c r="H17" i="83"/>
  <c r="N17" i="83" s="1"/>
  <c r="D17" i="83"/>
  <c r="L17" i="83" s="1"/>
  <c r="T15" i="83"/>
  <c r="P15" i="83"/>
  <c r="X15" i="83" s="1"/>
  <c r="Z15" i="83" s="1"/>
  <c r="H15" i="83"/>
  <c r="D15" i="83"/>
  <c r="L15" i="83" s="1"/>
  <c r="B15" i="83"/>
  <c r="T14" i="83"/>
  <c r="T12" i="83" s="1"/>
  <c r="P14" i="83"/>
  <c r="X14" i="83" s="1"/>
  <c r="H14" i="83"/>
  <c r="L14" i="83" s="1"/>
  <c r="D14" i="83"/>
  <c r="B14" i="83"/>
  <c r="T13" i="83"/>
  <c r="P13" i="83"/>
  <c r="P12" i="83" s="1"/>
  <c r="L13" i="83"/>
  <c r="H13" i="83"/>
  <c r="N13" i="83" s="1"/>
  <c r="D13" i="83"/>
  <c r="B13" i="83"/>
  <c r="H12" i="83"/>
  <c r="J25" i="83" s="1"/>
  <c r="D12" i="83"/>
  <c r="F23" i="83" s="1"/>
  <c r="D6" i="83"/>
  <c r="D4" i="83"/>
  <c r="X73" i="81"/>
  <c r="Z73" i="81" s="1"/>
  <c r="N73" i="81"/>
  <c r="L73" i="81"/>
  <c r="T69" i="81"/>
  <c r="Z69" i="81" s="1"/>
  <c r="P69" i="81"/>
  <c r="X69" i="81" s="1"/>
  <c r="H69" i="81"/>
  <c r="N69" i="81" s="1"/>
  <c r="D69" i="81"/>
  <c r="Z67" i="81"/>
  <c r="X67" i="81"/>
  <c r="L67" i="81"/>
  <c r="N67" i="81" s="1"/>
  <c r="B67" i="81"/>
  <c r="T66" i="81"/>
  <c r="P66" i="81"/>
  <c r="X66" i="81" s="1"/>
  <c r="Z66" i="81" s="1"/>
  <c r="H66" i="81"/>
  <c r="D66" i="81"/>
  <c r="L66" i="81" s="1"/>
  <c r="N66" i="81" s="1"/>
  <c r="B66" i="81"/>
  <c r="X65" i="81"/>
  <c r="Z65" i="81" s="1"/>
  <c r="L65" i="81"/>
  <c r="N65" i="81" s="1"/>
  <c r="B65" i="81"/>
  <c r="X64" i="81"/>
  <c r="Z64" i="81" s="1"/>
  <c r="T64" i="81"/>
  <c r="P64" i="81"/>
  <c r="H64" i="81"/>
  <c r="D64" i="81"/>
  <c r="L64" i="81" s="1"/>
  <c r="B64" i="81"/>
  <c r="Z63" i="81"/>
  <c r="X63" i="81"/>
  <c r="N63" i="81"/>
  <c r="L63" i="81"/>
  <c r="B63" i="81"/>
  <c r="X62" i="81"/>
  <c r="Z62" i="81" s="1"/>
  <c r="N62" i="81"/>
  <c r="L62" i="81"/>
  <c r="B62" i="81"/>
  <c r="X61" i="81"/>
  <c r="Z61" i="81" s="1"/>
  <c r="N61" i="81"/>
  <c r="L61" i="81"/>
  <c r="B61" i="81"/>
  <c r="X60" i="81"/>
  <c r="Z60" i="81" s="1"/>
  <c r="N60" i="81"/>
  <c r="L60" i="81"/>
  <c r="B60" i="81"/>
  <c r="Z59" i="81"/>
  <c r="X59" i="81"/>
  <c r="N59" i="81"/>
  <c r="L59" i="81"/>
  <c r="B59" i="81"/>
  <c r="Z58" i="81"/>
  <c r="X58" i="81"/>
  <c r="N58" i="81"/>
  <c r="L58" i="81"/>
  <c r="B58" i="81"/>
  <c r="X57" i="81"/>
  <c r="T57" i="81"/>
  <c r="Z57" i="81" s="1"/>
  <c r="P57" i="81"/>
  <c r="N57" i="81"/>
  <c r="L57" i="81"/>
  <c r="H57" i="81"/>
  <c r="D57" i="81"/>
  <c r="B57" i="81"/>
  <c r="Z56" i="81"/>
  <c r="X56" i="81"/>
  <c r="L56" i="81"/>
  <c r="N56" i="81" s="1"/>
  <c r="B56" i="81"/>
  <c r="Z55" i="81"/>
  <c r="X55" i="81"/>
  <c r="N55" i="81"/>
  <c r="L55" i="81"/>
  <c r="B55" i="81"/>
  <c r="Z54" i="81"/>
  <c r="X54" i="81"/>
  <c r="L54" i="81"/>
  <c r="N54" i="81" s="1"/>
  <c r="B54" i="81"/>
  <c r="T53" i="81"/>
  <c r="P53" i="81"/>
  <c r="H53" i="81"/>
  <c r="D53" i="81"/>
  <c r="L53" i="81" s="1"/>
  <c r="B53" i="81"/>
  <c r="X52" i="81"/>
  <c r="Z52" i="81" s="1"/>
  <c r="L52" i="81"/>
  <c r="N52" i="81" s="1"/>
  <c r="B52" i="81"/>
  <c r="T51" i="81"/>
  <c r="P51" i="81"/>
  <c r="X51" i="81" s="1"/>
  <c r="H51" i="81"/>
  <c r="D51" i="81"/>
  <c r="L51" i="81" s="1"/>
  <c r="N51" i="81" s="1"/>
  <c r="B51" i="81"/>
  <c r="X50" i="81"/>
  <c r="Z50" i="81" s="1"/>
  <c r="N50" i="81"/>
  <c r="L50" i="81"/>
  <c r="B50" i="81"/>
  <c r="X49" i="81"/>
  <c r="T49" i="81"/>
  <c r="Z49" i="81" s="1"/>
  <c r="P49" i="81"/>
  <c r="N49" i="81"/>
  <c r="L49" i="81"/>
  <c r="H49" i="81"/>
  <c r="D49" i="81"/>
  <c r="B49" i="81"/>
  <c r="Z48" i="81"/>
  <c r="X48" i="81"/>
  <c r="L48" i="81"/>
  <c r="N48" i="81" s="1"/>
  <c r="B48" i="81"/>
  <c r="T47" i="81"/>
  <c r="P47" i="81"/>
  <c r="X47" i="81" s="1"/>
  <c r="H47" i="81"/>
  <c r="D47" i="81"/>
  <c r="B47" i="81"/>
  <c r="Z46" i="81"/>
  <c r="X46" i="81"/>
  <c r="N46" i="81"/>
  <c r="L46" i="81"/>
  <c r="B46" i="81"/>
  <c r="T45" i="81"/>
  <c r="Z45" i="81" s="1"/>
  <c r="P45" i="81"/>
  <c r="X45" i="81" s="1"/>
  <c r="H45" i="81"/>
  <c r="N45" i="81" s="1"/>
  <c r="D45" i="81"/>
  <c r="L45" i="81" s="1"/>
  <c r="B45" i="81"/>
  <c r="X44" i="81"/>
  <c r="Z44" i="81" s="1"/>
  <c r="N44" i="81"/>
  <c r="L44" i="81"/>
  <c r="B44" i="81"/>
  <c r="Z43" i="81"/>
  <c r="X43" i="81"/>
  <c r="T43" i="81"/>
  <c r="P43" i="81"/>
  <c r="L43" i="81"/>
  <c r="H43" i="81"/>
  <c r="N43" i="81" s="1"/>
  <c r="D43" i="81"/>
  <c r="B43" i="81"/>
  <c r="Z42" i="81"/>
  <c r="X42" i="81"/>
  <c r="N42" i="81"/>
  <c r="L42" i="81"/>
  <c r="B42" i="81"/>
  <c r="V41" i="81"/>
  <c r="T41" i="81"/>
  <c r="P41" i="81"/>
  <c r="H41" i="81"/>
  <c r="D41" i="81"/>
  <c r="L41" i="81" s="1"/>
  <c r="B41" i="81"/>
  <c r="X40" i="81"/>
  <c r="Z40" i="81" s="1"/>
  <c r="L40" i="81"/>
  <c r="N40" i="81" s="1"/>
  <c r="B40" i="81"/>
  <c r="T39" i="81"/>
  <c r="Z39" i="81" s="1"/>
  <c r="P39" i="81"/>
  <c r="X39" i="81" s="1"/>
  <c r="H39" i="81"/>
  <c r="N39" i="81" s="1"/>
  <c r="D39" i="81"/>
  <c r="L39" i="81" s="1"/>
  <c r="B39" i="81"/>
  <c r="X38" i="81"/>
  <c r="Z38" i="81" s="1"/>
  <c r="N38" i="81"/>
  <c r="L38" i="81"/>
  <c r="B38" i="81"/>
  <c r="X37" i="81"/>
  <c r="T37" i="81"/>
  <c r="Z37" i="81" s="1"/>
  <c r="P37" i="81"/>
  <c r="N37" i="81"/>
  <c r="L37" i="81"/>
  <c r="H37" i="81"/>
  <c r="D37" i="81"/>
  <c r="B37" i="81"/>
  <c r="Z36" i="81"/>
  <c r="X36" i="81"/>
  <c r="L36" i="81"/>
  <c r="N36" i="81" s="1"/>
  <c r="B36" i="81"/>
  <c r="Z35" i="81"/>
  <c r="X35" i="81"/>
  <c r="L35" i="81"/>
  <c r="N35" i="81" s="1"/>
  <c r="B35" i="81"/>
  <c r="Z34" i="81"/>
  <c r="X34" i="81"/>
  <c r="N34" i="81"/>
  <c r="L34" i="81"/>
  <c r="B34" i="81"/>
  <c r="Z33" i="81"/>
  <c r="X33" i="81"/>
  <c r="L33" i="81"/>
  <c r="N33" i="81" s="1"/>
  <c r="B33" i="81"/>
  <c r="Z32" i="81"/>
  <c r="T32" i="81"/>
  <c r="P32" i="81"/>
  <c r="X32" i="81" s="1"/>
  <c r="H32" i="81"/>
  <c r="D32" i="81"/>
  <c r="L32" i="81" s="1"/>
  <c r="N32" i="81" s="1"/>
  <c r="B32" i="81"/>
  <c r="X31" i="81"/>
  <c r="Z31" i="81" s="1"/>
  <c r="N31" i="81"/>
  <c r="L31" i="81"/>
  <c r="B31" i="81"/>
  <c r="Z30" i="81"/>
  <c r="X30" i="81"/>
  <c r="V30" i="81"/>
  <c r="L30" i="81"/>
  <c r="N30" i="81" s="1"/>
  <c r="B30" i="81"/>
  <c r="X29" i="81"/>
  <c r="Z29" i="81" s="1"/>
  <c r="L29" i="81"/>
  <c r="N29" i="81" s="1"/>
  <c r="B29" i="81"/>
  <c r="X28" i="81"/>
  <c r="Z28" i="81" s="1"/>
  <c r="L28" i="81"/>
  <c r="N28" i="81" s="1"/>
  <c r="B28" i="81"/>
  <c r="X27" i="81"/>
  <c r="Z27" i="81" s="1"/>
  <c r="N27" i="81"/>
  <c r="L27" i="81"/>
  <c r="B27" i="81"/>
  <c r="Z26" i="81"/>
  <c r="X26" i="81"/>
  <c r="L26" i="81"/>
  <c r="N26" i="81" s="1"/>
  <c r="B26" i="81"/>
  <c r="X25" i="81"/>
  <c r="Z25" i="81" s="1"/>
  <c r="L25" i="81"/>
  <c r="N25" i="81" s="1"/>
  <c r="B25" i="81"/>
  <c r="X24" i="81"/>
  <c r="Z24" i="81" s="1"/>
  <c r="V24" i="81"/>
  <c r="L24" i="81"/>
  <c r="N24" i="81" s="1"/>
  <c r="B24" i="81"/>
  <c r="T23" i="81"/>
  <c r="Z23" i="81" s="1"/>
  <c r="P23" i="81"/>
  <c r="X23" i="81" s="1"/>
  <c r="H23" i="81"/>
  <c r="D23" i="81"/>
  <c r="L23" i="81" s="1"/>
  <c r="B23" i="81"/>
  <c r="T22" i="81"/>
  <c r="P22" i="81"/>
  <c r="H22" i="81"/>
  <c r="N22" i="81" s="1"/>
  <c r="D22" i="81"/>
  <c r="L22" i="81" s="1"/>
  <c r="X18" i="81"/>
  <c r="Z18" i="81" s="1"/>
  <c r="R18" i="81"/>
  <c r="N18" i="81"/>
  <c r="L18" i="81"/>
  <c r="B18" i="81"/>
  <c r="X17" i="81"/>
  <c r="Z17" i="81" s="1"/>
  <c r="N17" i="81"/>
  <c r="L17" i="81"/>
  <c r="B17" i="81"/>
  <c r="X16" i="81"/>
  <c r="T16" i="81"/>
  <c r="P16" i="81"/>
  <c r="H16" i="81"/>
  <c r="D16" i="81"/>
  <c r="L16" i="81" s="1"/>
  <c r="X14" i="81"/>
  <c r="T14" i="81"/>
  <c r="Z14" i="81" s="1"/>
  <c r="P14" i="81"/>
  <c r="N14" i="81"/>
  <c r="L14" i="81"/>
  <c r="H14" i="81"/>
  <c r="D14" i="81"/>
  <c r="D12" i="81" s="1"/>
  <c r="B14" i="81"/>
  <c r="X13" i="81"/>
  <c r="T13" i="81"/>
  <c r="Z13" i="81" s="1"/>
  <c r="P13" i="81"/>
  <c r="H13" i="81"/>
  <c r="H12" i="81" s="1"/>
  <c r="D13" i="81"/>
  <c r="B13" i="81"/>
  <c r="X12" i="81"/>
  <c r="T12" i="81"/>
  <c r="P12" i="81"/>
  <c r="R38" i="81" s="1"/>
  <c r="D6" i="81"/>
  <c r="D4" i="81"/>
  <c r="X67" i="80"/>
  <c r="Z67" i="80" s="1"/>
  <c r="L67" i="80"/>
  <c r="N67" i="80" s="1"/>
  <c r="X63" i="80"/>
  <c r="T63" i="80"/>
  <c r="Z63" i="80" s="1"/>
  <c r="P63" i="80"/>
  <c r="H63" i="80"/>
  <c r="N63" i="80" s="1"/>
  <c r="D63" i="80"/>
  <c r="L63" i="80" s="1"/>
  <c r="X61" i="80"/>
  <c r="Z61" i="80" s="1"/>
  <c r="L61" i="80"/>
  <c r="N61" i="80" s="1"/>
  <c r="B61" i="80"/>
  <c r="T60" i="80"/>
  <c r="P60" i="80"/>
  <c r="X60" i="80" s="1"/>
  <c r="Z60" i="80" s="1"/>
  <c r="H60" i="80"/>
  <c r="D60" i="80"/>
  <c r="L60" i="80" s="1"/>
  <c r="N60" i="80" s="1"/>
  <c r="B60" i="80"/>
  <c r="Z59" i="80"/>
  <c r="X59" i="80"/>
  <c r="L59" i="80"/>
  <c r="N59" i="80" s="1"/>
  <c r="B59" i="80"/>
  <c r="T58" i="80"/>
  <c r="P58" i="80"/>
  <c r="X58" i="80" s="1"/>
  <c r="Z58" i="80" s="1"/>
  <c r="H58" i="80"/>
  <c r="D58" i="80"/>
  <c r="L58" i="80" s="1"/>
  <c r="N58" i="80" s="1"/>
  <c r="B58" i="80"/>
  <c r="X57" i="80"/>
  <c r="Z57" i="80" s="1"/>
  <c r="L57" i="80"/>
  <c r="N57" i="80" s="1"/>
  <c r="B57" i="80"/>
  <c r="X56" i="80"/>
  <c r="Z56" i="80" s="1"/>
  <c r="N56" i="80"/>
  <c r="L56" i="80"/>
  <c r="B56" i="80"/>
  <c r="X55" i="80"/>
  <c r="Z55" i="80" s="1"/>
  <c r="N55" i="80"/>
  <c r="L55" i="80"/>
  <c r="B55" i="80"/>
  <c r="Z54" i="80"/>
  <c r="X54" i="80"/>
  <c r="N54" i="80"/>
  <c r="L54" i="80"/>
  <c r="B54" i="80"/>
  <c r="Z53" i="80"/>
  <c r="X53" i="80"/>
  <c r="N53" i="80"/>
  <c r="L53" i="80"/>
  <c r="B53" i="80"/>
  <c r="X52" i="80"/>
  <c r="Z52" i="80" s="1"/>
  <c r="T52" i="80"/>
  <c r="P52" i="80"/>
  <c r="H52" i="80"/>
  <c r="D52" i="80"/>
  <c r="L52" i="80" s="1"/>
  <c r="N52" i="80" s="1"/>
  <c r="B52" i="80"/>
  <c r="X51" i="80"/>
  <c r="Z51" i="80" s="1"/>
  <c r="L51" i="80"/>
  <c r="N51" i="80" s="1"/>
  <c r="B51" i="80"/>
  <c r="Z50" i="80"/>
  <c r="X50" i="80"/>
  <c r="N50" i="80"/>
  <c r="L50" i="80"/>
  <c r="B50" i="80"/>
  <c r="X49" i="80"/>
  <c r="T49" i="80"/>
  <c r="Z49" i="80" s="1"/>
  <c r="P49" i="80"/>
  <c r="L49" i="80"/>
  <c r="N49" i="80" s="1"/>
  <c r="H49" i="80"/>
  <c r="D49" i="80"/>
  <c r="B49" i="80"/>
  <c r="Z48" i="80"/>
  <c r="X48" i="80"/>
  <c r="L48" i="80"/>
  <c r="N48" i="80" s="1"/>
  <c r="B48" i="80"/>
  <c r="T47" i="80"/>
  <c r="P47" i="80"/>
  <c r="X47" i="80" s="1"/>
  <c r="H47" i="80"/>
  <c r="D47" i="80"/>
  <c r="L47" i="80" s="1"/>
  <c r="N47" i="80" s="1"/>
  <c r="B47" i="80"/>
  <c r="Z46" i="80"/>
  <c r="X46" i="80"/>
  <c r="N46" i="80"/>
  <c r="L46" i="80"/>
  <c r="B46" i="80"/>
  <c r="T45" i="80"/>
  <c r="Z45" i="80" s="1"/>
  <c r="P45" i="80"/>
  <c r="X45" i="80" s="1"/>
  <c r="L45" i="80"/>
  <c r="H45" i="80"/>
  <c r="N45" i="80" s="1"/>
  <c r="D45" i="80"/>
  <c r="B45" i="80"/>
  <c r="Z44" i="80"/>
  <c r="X44" i="80"/>
  <c r="N44" i="80"/>
  <c r="L44" i="80"/>
  <c r="B44" i="80"/>
  <c r="X43" i="80"/>
  <c r="Z43" i="80" s="1"/>
  <c r="T43" i="80"/>
  <c r="P43" i="80"/>
  <c r="L43" i="80"/>
  <c r="H43" i="80"/>
  <c r="N43" i="80" s="1"/>
  <c r="D43" i="80"/>
  <c r="B43" i="80"/>
  <c r="Z42" i="80"/>
  <c r="X42" i="80"/>
  <c r="N42" i="80"/>
  <c r="L42" i="80"/>
  <c r="B42" i="80"/>
  <c r="T41" i="80"/>
  <c r="X41" i="80" s="1"/>
  <c r="Z41" i="80" s="1"/>
  <c r="P41" i="80"/>
  <c r="H41" i="80"/>
  <c r="N41" i="80" s="1"/>
  <c r="D41" i="80"/>
  <c r="L41" i="80" s="1"/>
  <c r="B41" i="80"/>
  <c r="X40" i="80"/>
  <c r="Z40" i="80" s="1"/>
  <c r="N40" i="80"/>
  <c r="L40" i="80"/>
  <c r="B40" i="80"/>
  <c r="X39" i="80"/>
  <c r="T39" i="80"/>
  <c r="Z39" i="80" s="1"/>
  <c r="P39" i="80"/>
  <c r="H39" i="80"/>
  <c r="D39" i="80"/>
  <c r="L39" i="80" s="1"/>
  <c r="B39" i="80"/>
  <c r="Z38" i="80"/>
  <c r="X38" i="80"/>
  <c r="N38" i="80"/>
  <c r="L38" i="80"/>
  <c r="B38" i="80"/>
  <c r="X37" i="80"/>
  <c r="T37" i="80"/>
  <c r="Z37" i="80" s="1"/>
  <c r="P37" i="80"/>
  <c r="L37" i="80"/>
  <c r="N37" i="80" s="1"/>
  <c r="H37" i="80"/>
  <c r="D37" i="80"/>
  <c r="B37" i="80"/>
  <c r="Z36" i="80"/>
  <c r="X36" i="80"/>
  <c r="N36" i="80"/>
  <c r="L36" i="80"/>
  <c r="B36" i="80"/>
  <c r="X35" i="80"/>
  <c r="Z35" i="80" s="1"/>
  <c r="R35" i="80"/>
  <c r="L35" i="80"/>
  <c r="N35" i="80" s="1"/>
  <c r="B35" i="80"/>
  <c r="Z34" i="80"/>
  <c r="X34" i="80"/>
  <c r="N34" i="80"/>
  <c r="L34" i="80"/>
  <c r="B34" i="80"/>
  <c r="Z33" i="80"/>
  <c r="X33" i="80"/>
  <c r="N33" i="80"/>
  <c r="L33" i="80"/>
  <c r="B33" i="80"/>
  <c r="Z32" i="80"/>
  <c r="X32" i="80"/>
  <c r="N32" i="80"/>
  <c r="L32" i="80"/>
  <c r="B32" i="80"/>
  <c r="T31" i="80"/>
  <c r="P31" i="80"/>
  <c r="X31" i="80" s="1"/>
  <c r="H31" i="80"/>
  <c r="D31" i="80"/>
  <c r="L31" i="80" s="1"/>
  <c r="N31" i="80" s="1"/>
  <c r="B31" i="80"/>
  <c r="Z30" i="80"/>
  <c r="X30" i="80"/>
  <c r="N30" i="80"/>
  <c r="L30" i="80"/>
  <c r="B30" i="80"/>
  <c r="Z29" i="80"/>
  <c r="X29" i="80"/>
  <c r="N29" i="80"/>
  <c r="L29" i="80"/>
  <c r="B29" i="80"/>
  <c r="Z28" i="80"/>
  <c r="X28" i="80"/>
  <c r="N28" i="80"/>
  <c r="L28" i="80"/>
  <c r="B28" i="80"/>
  <c r="X27" i="80"/>
  <c r="Z27" i="80" s="1"/>
  <c r="L27" i="80"/>
  <c r="N27" i="80" s="1"/>
  <c r="B27" i="80"/>
  <c r="Z26" i="80"/>
  <c r="X26" i="80"/>
  <c r="N26" i="80"/>
  <c r="L26" i="80"/>
  <c r="B26" i="80"/>
  <c r="X25" i="80"/>
  <c r="Z25" i="80" s="1"/>
  <c r="L25" i="80"/>
  <c r="N25" i="80" s="1"/>
  <c r="B25" i="80"/>
  <c r="X24" i="80"/>
  <c r="Z24" i="80" s="1"/>
  <c r="N24" i="80"/>
  <c r="L24" i="80"/>
  <c r="B24" i="80"/>
  <c r="X23" i="80"/>
  <c r="T23" i="80"/>
  <c r="Z23" i="80" s="1"/>
  <c r="P23" i="80"/>
  <c r="H23" i="80"/>
  <c r="N23" i="80" s="1"/>
  <c r="D23" i="80"/>
  <c r="L23" i="80" s="1"/>
  <c r="B23" i="80"/>
  <c r="Z22" i="80"/>
  <c r="X22" i="80"/>
  <c r="T22" i="80"/>
  <c r="P22" i="80"/>
  <c r="H22" i="80"/>
  <c r="D22" i="80"/>
  <c r="L22" i="80" s="1"/>
  <c r="Z18" i="80"/>
  <c r="X18" i="80"/>
  <c r="N18" i="80"/>
  <c r="L18" i="80"/>
  <c r="B18" i="80"/>
  <c r="X17" i="80"/>
  <c r="Z17" i="80" s="1"/>
  <c r="R17" i="80"/>
  <c r="N17" i="80"/>
  <c r="L17" i="80"/>
  <c r="B17" i="80"/>
  <c r="T16" i="80"/>
  <c r="R16" i="80"/>
  <c r="P16" i="80"/>
  <c r="X16" i="80" s="1"/>
  <c r="N16" i="80"/>
  <c r="L16" i="80"/>
  <c r="H16" i="80"/>
  <c r="D16" i="80"/>
  <c r="T14" i="80"/>
  <c r="Z14" i="80" s="1"/>
  <c r="P14" i="80"/>
  <c r="X14" i="80" s="1"/>
  <c r="H14" i="80"/>
  <c r="D14" i="80"/>
  <c r="L14" i="80" s="1"/>
  <c r="N14" i="80" s="1"/>
  <c r="B14" i="80"/>
  <c r="X13" i="80"/>
  <c r="Z13" i="80" s="1"/>
  <c r="T13" i="80"/>
  <c r="P13" i="80"/>
  <c r="H13" i="80"/>
  <c r="H12" i="80" s="1"/>
  <c r="D13" i="80"/>
  <c r="D12" i="80" s="1"/>
  <c r="B13" i="80"/>
  <c r="P12" i="80"/>
  <c r="R56" i="80" s="1"/>
  <c r="D6" i="80"/>
  <c r="D4" i="80"/>
  <c r="Z61" i="79"/>
  <c r="X61" i="79"/>
  <c r="L61" i="79"/>
  <c r="N61" i="79" s="1"/>
  <c r="T57" i="79"/>
  <c r="Z57" i="79" s="1"/>
  <c r="P57" i="79"/>
  <c r="X57" i="79" s="1"/>
  <c r="N57" i="79"/>
  <c r="L57" i="79"/>
  <c r="H57" i="79"/>
  <c r="D57" i="79"/>
  <c r="B57" i="79"/>
  <c r="T56" i="79"/>
  <c r="Z56" i="79" s="1"/>
  <c r="P56" i="79"/>
  <c r="X56" i="79" s="1"/>
  <c r="H56" i="79"/>
  <c r="L56" i="79" s="1"/>
  <c r="N56" i="79" s="1"/>
  <c r="D56" i="79"/>
  <c r="B56" i="79"/>
  <c r="X55" i="79"/>
  <c r="Z55" i="79" s="1"/>
  <c r="T55" i="79"/>
  <c r="P55" i="79"/>
  <c r="P53" i="79" s="1"/>
  <c r="L55" i="79"/>
  <c r="N55" i="79" s="1"/>
  <c r="H55" i="79"/>
  <c r="D55" i="79"/>
  <c r="B55" i="79"/>
  <c r="X54" i="79"/>
  <c r="T54" i="79"/>
  <c r="Z54" i="79" s="1"/>
  <c r="P54" i="79"/>
  <c r="N54" i="79"/>
  <c r="L54" i="79"/>
  <c r="H54" i="79"/>
  <c r="H53" i="79" s="1"/>
  <c r="D54" i="79"/>
  <c r="B54" i="79"/>
  <c r="D53" i="79"/>
  <c r="L53" i="79" s="1"/>
  <c r="Z51" i="79"/>
  <c r="X51" i="79"/>
  <c r="L51" i="79"/>
  <c r="N51" i="79" s="1"/>
  <c r="B51" i="79"/>
  <c r="T50" i="79"/>
  <c r="P50" i="79"/>
  <c r="X50" i="79" s="1"/>
  <c r="H50" i="79"/>
  <c r="D50" i="79"/>
  <c r="L50" i="79" s="1"/>
  <c r="N50" i="79" s="1"/>
  <c r="B50" i="79"/>
  <c r="X49" i="79"/>
  <c r="Z49" i="79" s="1"/>
  <c r="N49" i="79"/>
  <c r="L49" i="79"/>
  <c r="B49" i="79"/>
  <c r="X48" i="79"/>
  <c r="Z48" i="79" s="1"/>
  <c r="N48" i="79"/>
  <c r="L48" i="79"/>
  <c r="B48" i="79"/>
  <c r="X47" i="79"/>
  <c r="Z47" i="79" s="1"/>
  <c r="T47" i="79"/>
  <c r="P47" i="79"/>
  <c r="N47" i="79"/>
  <c r="L47" i="79"/>
  <c r="H47" i="79"/>
  <c r="D47" i="79"/>
  <c r="B47" i="79"/>
  <c r="X46" i="79"/>
  <c r="Z46" i="79" s="1"/>
  <c r="L46" i="79"/>
  <c r="N46" i="79" s="1"/>
  <c r="B46" i="79"/>
  <c r="X45" i="79"/>
  <c r="Z45" i="79" s="1"/>
  <c r="T45" i="79"/>
  <c r="P45" i="79"/>
  <c r="H45" i="79"/>
  <c r="D45" i="79"/>
  <c r="B45" i="79"/>
  <c r="Z44" i="79"/>
  <c r="X44" i="79"/>
  <c r="L44" i="79"/>
  <c r="N44" i="79" s="1"/>
  <c r="B44" i="79"/>
  <c r="Z43" i="79"/>
  <c r="X43" i="79"/>
  <c r="L43" i="79"/>
  <c r="N43" i="79" s="1"/>
  <c r="B43" i="79"/>
  <c r="T42" i="79"/>
  <c r="Z42" i="79" s="1"/>
  <c r="P42" i="79"/>
  <c r="X42" i="79" s="1"/>
  <c r="H42" i="79"/>
  <c r="D42" i="79"/>
  <c r="L42" i="79" s="1"/>
  <c r="N42" i="79" s="1"/>
  <c r="B42" i="79"/>
  <c r="X41" i="79"/>
  <c r="Z41" i="79" s="1"/>
  <c r="N41" i="79"/>
  <c r="L41" i="79"/>
  <c r="B41" i="79"/>
  <c r="T40" i="79"/>
  <c r="Z40" i="79" s="1"/>
  <c r="P40" i="79"/>
  <c r="X40" i="79" s="1"/>
  <c r="L40" i="79"/>
  <c r="H40" i="79"/>
  <c r="N40" i="79" s="1"/>
  <c r="D40" i="79"/>
  <c r="B40" i="79"/>
  <c r="Z39" i="79"/>
  <c r="X39" i="79"/>
  <c r="N39" i="79"/>
  <c r="L39" i="79"/>
  <c r="B39" i="79"/>
  <c r="Z38" i="79"/>
  <c r="X38" i="79"/>
  <c r="N38" i="79"/>
  <c r="L38" i="79"/>
  <c r="B38" i="79"/>
  <c r="Z37" i="79"/>
  <c r="X37" i="79"/>
  <c r="N37" i="79"/>
  <c r="L37" i="79"/>
  <c r="B37" i="79"/>
  <c r="X36" i="79"/>
  <c r="Z36" i="79" s="1"/>
  <c r="T36" i="79"/>
  <c r="P36" i="79"/>
  <c r="N36" i="79"/>
  <c r="L36" i="79"/>
  <c r="H36" i="79"/>
  <c r="D36" i="79"/>
  <c r="B36" i="79"/>
  <c r="Z35" i="79"/>
  <c r="X35" i="79"/>
  <c r="N35" i="79"/>
  <c r="L35" i="79"/>
  <c r="B35" i="79"/>
  <c r="Z34" i="79"/>
  <c r="X34" i="79"/>
  <c r="N34" i="79"/>
  <c r="L34" i="79"/>
  <c r="B34" i="79"/>
  <c r="Z33" i="79"/>
  <c r="X33" i="79"/>
  <c r="N33" i="79"/>
  <c r="L33" i="79"/>
  <c r="B33" i="79"/>
  <c r="Z32" i="79"/>
  <c r="X32" i="79"/>
  <c r="N32" i="79"/>
  <c r="L32" i="79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N29" i="79"/>
  <c r="L29" i="79"/>
  <c r="B29" i="79"/>
  <c r="T28" i="79"/>
  <c r="Z28" i="79" s="1"/>
  <c r="P28" i="79"/>
  <c r="X28" i="79" s="1"/>
  <c r="H28" i="79"/>
  <c r="N28" i="79" s="1"/>
  <c r="D28" i="79"/>
  <c r="L28" i="79" s="1"/>
  <c r="B28" i="79"/>
  <c r="X27" i="79"/>
  <c r="T27" i="79"/>
  <c r="Z27" i="79" s="1"/>
  <c r="P27" i="79"/>
  <c r="H27" i="79"/>
  <c r="D27" i="79"/>
  <c r="L27" i="79" s="1"/>
  <c r="N27" i="79" s="1"/>
  <c r="X23" i="79"/>
  <c r="Z23" i="79" s="1"/>
  <c r="N23" i="79"/>
  <c r="L23" i="79"/>
  <c r="B23" i="79"/>
  <c r="X22" i="79"/>
  <c r="Z22" i="79" s="1"/>
  <c r="L22" i="79"/>
  <c r="N22" i="79" s="1"/>
  <c r="B22" i="79"/>
  <c r="X21" i="79"/>
  <c r="Z21" i="79" s="1"/>
  <c r="L21" i="79"/>
  <c r="N21" i="79" s="1"/>
  <c r="B21" i="79"/>
  <c r="Z20" i="79"/>
  <c r="X20" i="79"/>
  <c r="N20" i="79"/>
  <c r="L20" i="79"/>
  <c r="B20" i="79"/>
  <c r="X19" i="79"/>
  <c r="Z19" i="79" s="1"/>
  <c r="L19" i="79"/>
  <c r="N19" i="79" s="1"/>
  <c r="B19" i="79"/>
  <c r="X18" i="79"/>
  <c r="T18" i="79"/>
  <c r="Z18" i="79" s="1"/>
  <c r="P18" i="79"/>
  <c r="H18" i="79"/>
  <c r="D18" i="79"/>
  <c r="L18" i="79" s="1"/>
  <c r="T16" i="79"/>
  <c r="P16" i="79"/>
  <c r="L16" i="79"/>
  <c r="N16" i="79" s="1"/>
  <c r="H16" i="79"/>
  <c r="D16" i="79"/>
  <c r="B16" i="79"/>
  <c r="T15" i="79"/>
  <c r="P15" i="79"/>
  <c r="N15" i="79"/>
  <c r="L15" i="79"/>
  <c r="H15" i="79"/>
  <c r="D15" i="79"/>
  <c r="B15" i="79"/>
  <c r="T14" i="79"/>
  <c r="P14" i="79"/>
  <c r="X14" i="79" s="1"/>
  <c r="L14" i="79"/>
  <c r="N14" i="79" s="1"/>
  <c r="H14" i="79"/>
  <c r="D14" i="79"/>
  <c r="B14" i="79"/>
  <c r="T13" i="79"/>
  <c r="P13" i="79"/>
  <c r="H13" i="79"/>
  <c r="H12" i="79" s="1"/>
  <c r="D13" i="79"/>
  <c r="D12" i="79" s="1"/>
  <c r="B13" i="79"/>
  <c r="D6" i="79"/>
  <c r="D4" i="79"/>
  <c r="X94" i="77"/>
  <c r="Z94" i="77" s="1"/>
  <c r="N94" i="77"/>
  <c r="L94" i="77"/>
  <c r="X90" i="77"/>
  <c r="T90" i="77"/>
  <c r="Z90" i="77" s="1"/>
  <c r="P90" i="77"/>
  <c r="P87" i="77" s="1"/>
  <c r="H90" i="77"/>
  <c r="D90" i="77"/>
  <c r="B90" i="77"/>
  <c r="Z89" i="77"/>
  <c r="X89" i="77"/>
  <c r="T89" i="77"/>
  <c r="P89" i="77"/>
  <c r="H89" i="77"/>
  <c r="N89" i="77" s="1"/>
  <c r="D89" i="77"/>
  <c r="B89" i="77"/>
  <c r="T88" i="77"/>
  <c r="T87" i="77" s="1"/>
  <c r="P88" i="77"/>
  <c r="H88" i="77"/>
  <c r="D88" i="77"/>
  <c r="B88" i="77"/>
  <c r="Z85" i="77"/>
  <c r="X85" i="77"/>
  <c r="L85" i="77"/>
  <c r="N85" i="77" s="1"/>
  <c r="B85" i="77"/>
  <c r="X84" i="77"/>
  <c r="T84" i="77"/>
  <c r="Z84" i="77" s="1"/>
  <c r="P84" i="77"/>
  <c r="H84" i="77"/>
  <c r="N84" i="77" s="1"/>
  <c r="D84" i="77"/>
  <c r="L84" i="77" s="1"/>
  <c r="B84" i="77"/>
  <c r="X83" i="77"/>
  <c r="Z83" i="77" s="1"/>
  <c r="N83" i="77"/>
  <c r="L83" i="77"/>
  <c r="B83" i="77"/>
  <c r="X82" i="77"/>
  <c r="Z82" i="77" s="1"/>
  <c r="N82" i="77"/>
  <c r="L82" i="77"/>
  <c r="B82" i="77"/>
  <c r="T81" i="77"/>
  <c r="P81" i="77"/>
  <c r="L81" i="77"/>
  <c r="N81" i="77" s="1"/>
  <c r="H81" i="77"/>
  <c r="D81" i="77"/>
  <c r="B81" i="77"/>
  <c r="Z80" i="77"/>
  <c r="X80" i="77"/>
  <c r="N80" i="77"/>
  <c r="L80" i="77"/>
  <c r="B80" i="77"/>
  <c r="Z79" i="77"/>
  <c r="T79" i="77"/>
  <c r="P79" i="77"/>
  <c r="X79" i="77" s="1"/>
  <c r="N79" i="77"/>
  <c r="H79" i="77"/>
  <c r="D79" i="77"/>
  <c r="L79" i="77" s="1"/>
  <c r="B79" i="77"/>
  <c r="X78" i="77"/>
  <c r="Z78" i="77" s="1"/>
  <c r="L78" i="77"/>
  <c r="N78" i="77" s="1"/>
  <c r="B78" i="77"/>
  <c r="T77" i="77"/>
  <c r="P77" i="77"/>
  <c r="X77" i="77" s="1"/>
  <c r="Z77" i="77" s="1"/>
  <c r="H77" i="77"/>
  <c r="D77" i="77"/>
  <c r="L77" i="77" s="1"/>
  <c r="N77" i="77" s="1"/>
  <c r="B77" i="77"/>
  <c r="X76" i="77"/>
  <c r="Z76" i="77" s="1"/>
  <c r="L76" i="77"/>
  <c r="N76" i="77" s="1"/>
  <c r="B76" i="77"/>
  <c r="X75" i="77"/>
  <c r="Z75" i="77" s="1"/>
  <c r="T75" i="77"/>
  <c r="P75" i="77"/>
  <c r="H75" i="77"/>
  <c r="N75" i="77" s="1"/>
  <c r="D75" i="77"/>
  <c r="L75" i="77" s="1"/>
  <c r="B75" i="77"/>
  <c r="Z74" i="77"/>
  <c r="X74" i="77"/>
  <c r="N74" i="77"/>
  <c r="L74" i="77"/>
  <c r="B74" i="77"/>
  <c r="T73" i="77"/>
  <c r="P73" i="77"/>
  <c r="N73" i="77"/>
  <c r="H73" i="77"/>
  <c r="D73" i="77"/>
  <c r="L73" i="77" s="1"/>
  <c r="B73" i="77"/>
  <c r="X72" i="77"/>
  <c r="Z72" i="77" s="1"/>
  <c r="L72" i="77"/>
  <c r="N72" i="77" s="1"/>
  <c r="B72" i="77"/>
  <c r="T71" i="77"/>
  <c r="P71" i="77"/>
  <c r="X71" i="77" s="1"/>
  <c r="H71" i="77"/>
  <c r="N71" i="77" s="1"/>
  <c r="D71" i="77"/>
  <c r="L71" i="77" s="1"/>
  <c r="B71" i="77"/>
  <c r="Z70" i="77"/>
  <c r="X70" i="77"/>
  <c r="N70" i="77"/>
  <c r="L70" i="77"/>
  <c r="B70" i="77"/>
  <c r="T69" i="77"/>
  <c r="P69" i="77"/>
  <c r="N69" i="77"/>
  <c r="L69" i="77"/>
  <c r="H69" i="77"/>
  <c r="D69" i="77"/>
  <c r="B69" i="77"/>
  <c r="Z68" i="77"/>
  <c r="X68" i="77"/>
  <c r="L68" i="77"/>
  <c r="N68" i="77" s="1"/>
  <c r="B68" i="77"/>
  <c r="T67" i="77"/>
  <c r="P67" i="77"/>
  <c r="X67" i="77" s="1"/>
  <c r="Z67" i="77" s="1"/>
  <c r="H67" i="77"/>
  <c r="N67" i="77" s="1"/>
  <c r="D67" i="77"/>
  <c r="L67" i="77" s="1"/>
  <c r="B67" i="77"/>
  <c r="Z66" i="77"/>
  <c r="X66" i="77"/>
  <c r="N66" i="77"/>
  <c r="L66" i="77"/>
  <c r="B66" i="77"/>
  <c r="Z65" i="77"/>
  <c r="X65" i="77"/>
  <c r="N65" i="77"/>
  <c r="L65" i="77"/>
  <c r="B65" i="77"/>
  <c r="X64" i="77"/>
  <c r="Z64" i="77" s="1"/>
  <c r="L64" i="77"/>
  <c r="N64" i="77" s="1"/>
  <c r="B64" i="77"/>
  <c r="X63" i="77"/>
  <c r="Z63" i="77" s="1"/>
  <c r="L63" i="77"/>
  <c r="N63" i="77" s="1"/>
  <c r="B63" i="77"/>
  <c r="T62" i="77"/>
  <c r="Z62" i="77" s="1"/>
  <c r="P62" i="77"/>
  <c r="X62" i="77" s="1"/>
  <c r="L62" i="77"/>
  <c r="N62" i="77" s="1"/>
  <c r="H62" i="77"/>
  <c r="D62" i="77"/>
  <c r="B62" i="77"/>
  <c r="X61" i="77"/>
  <c r="Z61" i="77" s="1"/>
  <c r="N61" i="77"/>
  <c r="L61" i="77"/>
  <c r="B61" i="77"/>
  <c r="X60" i="77"/>
  <c r="Z60" i="77" s="1"/>
  <c r="N60" i="77"/>
  <c r="L60" i="77"/>
  <c r="B60" i="77"/>
  <c r="X59" i="77"/>
  <c r="Z59" i="77" s="1"/>
  <c r="N59" i="77"/>
  <c r="L59" i="77"/>
  <c r="B59" i="77"/>
  <c r="Z58" i="77"/>
  <c r="X58" i="77"/>
  <c r="N58" i="77"/>
  <c r="L58" i="77"/>
  <c r="B58" i="77"/>
  <c r="X57" i="77"/>
  <c r="Z57" i="77" s="1"/>
  <c r="N57" i="77"/>
  <c r="L57" i="77"/>
  <c r="B57" i="77"/>
  <c r="X56" i="77"/>
  <c r="Z56" i="77" s="1"/>
  <c r="N56" i="77"/>
  <c r="L56" i="77"/>
  <c r="B56" i="77"/>
  <c r="Z55" i="77"/>
  <c r="X55" i="77"/>
  <c r="N55" i="77"/>
  <c r="L55" i="77"/>
  <c r="B55" i="77"/>
  <c r="Z54" i="77"/>
  <c r="X54" i="77"/>
  <c r="L54" i="77"/>
  <c r="N54" i="77" s="1"/>
  <c r="B54" i="77"/>
  <c r="X53" i="77"/>
  <c r="Z53" i="77" s="1"/>
  <c r="N53" i="77"/>
  <c r="L53" i="77"/>
  <c r="B53" i="77"/>
  <c r="X52" i="77"/>
  <c r="Z52" i="77" s="1"/>
  <c r="T52" i="77"/>
  <c r="P52" i="77"/>
  <c r="H52" i="77"/>
  <c r="D52" i="77"/>
  <c r="L52" i="77" s="1"/>
  <c r="N52" i="77" s="1"/>
  <c r="B52" i="77"/>
  <c r="T51" i="77"/>
  <c r="P51" i="77"/>
  <c r="X51" i="77" s="1"/>
  <c r="Z51" i="77" s="1"/>
  <c r="H51" i="77"/>
  <c r="D51" i="77"/>
  <c r="L51" i="77" s="1"/>
  <c r="N51" i="77" s="1"/>
  <c r="Z47" i="77"/>
  <c r="X47" i="77"/>
  <c r="L47" i="77"/>
  <c r="N47" i="77" s="1"/>
  <c r="B47" i="77"/>
  <c r="Z46" i="77"/>
  <c r="X46" i="77"/>
  <c r="N46" i="77"/>
  <c r="L46" i="77"/>
  <c r="B46" i="77"/>
  <c r="Z45" i="77"/>
  <c r="X45" i="77"/>
  <c r="L45" i="77"/>
  <c r="N45" i="77" s="1"/>
  <c r="B45" i="77"/>
  <c r="Z44" i="77"/>
  <c r="X44" i="77"/>
  <c r="N44" i="77"/>
  <c r="L44" i="77"/>
  <c r="B44" i="77"/>
  <c r="X43" i="77"/>
  <c r="Z43" i="77" s="1"/>
  <c r="L43" i="77"/>
  <c r="N43" i="77" s="1"/>
  <c r="B43" i="77"/>
  <c r="Z42" i="77"/>
  <c r="X42" i="77"/>
  <c r="N42" i="77"/>
  <c r="L42" i="77"/>
  <c r="B42" i="77"/>
  <c r="Z41" i="77"/>
  <c r="X41" i="77"/>
  <c r="L41" i="77"/>
  <c r="N41" i="77" s="1"/>
  <c r="B41" i="77"/>
  <c r="Z40" i="77"/>
  <c r="X40" i="77"/>
  <c r="N40" i="77"/>
  <c r="L40" i="77"/>
  <c r="B40" i="77"/>
  <c r="X39" i="77"/>
  <c r="Z39" i="77" s="1"/>
  <c r="L39" i="77"/>
  <c r="N39" i="77" s="1"/>
  <c r="B39" i="77"/>
  <c r="Z38" i="77"/>
  <c r="X38" i="77"/>
  <c r="N38" i="77"/>
  <c r="L38" i="77"/>
  <c r="B38" i="77"/>
  <c r="Z37" i="77"/>
  <c r="X37" i="77"/>
  <c r="L37" i="77"/>
  <c r="N37" i="77" s="1"/>
  <c r="B37" i="77"/>
  <c r="T36" i="77"/>
  <c r="P36" i="77"/>
  <c r="H36" i="77"/>
  <c r="D36" i="77"/>
  <c r="L36" i="77" s="1"/>
  <c r="N36" i="77" s="1"/>
  <c r="Z34" i="77"/>
  <c r="T34" i="77"/>
  <c r="P34" i="77"/>
  <c r="X34" i="77" s="1"/>
  <c r="N34" i="77"/>
  <c r="L34" i="77"/>
  <c r="H34" i="77"/>
  <c r="D34" i="77"/>
  <c r="B34" i="77"/>
  <c r="T33" i="77"/>
  <c r="Z33" i="77" s="1"/>
  <c r="P33" i="77"/>
  <c r="X33" i="77" s="1"/>
  <c r="H33" i="77"/>
  <c r="N33" i="77" s="1"/>
  <c r="D33" i="77"/>
  <c r="B33" i="77"/>
  <c r="T32" i="77"/>
  <c r="X32" i="77" s="1"/>
  <c r="P32" i="77"/>
  <c r="H32" i="77"/>
  <c r="D32" i="77"/>
  <c r="B32" i="77"/>
  <c r="Z31" i="77"/>
  <c r="X31" i="77"/>
  <c r="T31" i="77"/>
  <c r="P31" i="77"/>
  <c r="N31" i="77"/>
  <c r="H31" i="77"/>
  <c r="D31" i="77"/>
  <c r="L31" i="77" s="1"/>
  <c r="B31" i="77"/>
  <c r="Z30" i="77"/>
  <c r="T30" i="77"/>
  <c r="P30" i="77"/>
  <c r="X30" i="77" s="1"/>
  <c r="N30" i="77"/>
  <c r="L30" i="77"/>
  <c r="H30" i="77"/>
  <c r="D30" i="77"/>
  <c r="B30" i="77"/>
  <c r="T29" i="77"/>
  <c r="Z29" i="77" s="1"/>
  <c r="P29" i="77"/>
  <c r="X29" i="77" s="1"/>
  <c r="H29" i="77"/>
  <c r="D29" i="77"/>
  <c r="B29" i="77"/>
  <c r="T28" i="77"/>
  <c r="X28" i="77" s="1"/>
  <c r="P28" i="77"/>
  <c r="H28" i="77"/>
  <c r="D28" i="77"/>
  <c r="B28" i="77"/>
  <c r="Z27" i="77"/>
  <c r="T27" i="77"/>
  <c r="X27" i="77" s="1"/>
  <c r="P27" i="77"/>
  <c r="H27" i="77"/>
  <c r="D27" i="77"/>
  <c r="L27" i="77" s="1"/>
  <c r="N27" i="77" s="1"/>
  <c r="B27" i="77"/>
  <c r="T26" i="77"/>
  <c r="P26" i="77"/>
  <c r="X26" i="77" s="1"/>
  <c r="Z26" i="77" s="1"/>
  <c r="N26" i="77"/>
  <c r="L26" i="77"/>
  <c r="H26" i="77"/>
  <c r="D26" i="77"/>
  <c r="B26" i="77"/>
  <c r="T25" i="77"/>
  <c r="P25" i="77"/>
  <c r="X25" i="77" s="1"/>
  <c r="H25" i="77"/>
  <c r="D25" i="77"/>
  <c r="B25" i="77"/>
  <c r="T24" i="77"/>
  <c r="X24" i="77" s="1"/>
  <c r="P24" i="77"/>
  <c r="H24" i="77"/>
  <c r="D24" i="77"/>
  <c r="B24" i="77"/>
  <c r="T23" i="77"/>
  <c r="X23" i="77" s="1"/>
  <c r="Z23" i="77" s="1"/>
  <c r="P23" i="77"/>
  <c r="H23" i="77"/>
  <c r="D23" i="77"/>
  <c r="L23" i="77" s="1"/>
  <c r="N23" i="77" s="1"/>
  <c r="B23" i="77"/>
  <c r="T22" i="77"/>
  <c r="P22" i="77"/>
  <c r="X22" i="77" s="1"/>
  <c r="Z22" i="77" s="1"/>
  <c r="L22" i="77"/>
  <c r="N22" i="77" s="1"/>
  <c r="H22" i="77"/>
  <c r="D22" i="77"/>
  <c r="B22" i="77"/>
  <c r="T21" i="77"/>
  <c r="P21" i="77"/>
  <c r="X21" i="77" s="1"/>
  <c r="H21" i="77"/>
  <c r="D21" i="77"/>
  <c r="B21" i="77"/>
  <c r="T20" i="77"/>
  <c r="X20" i="77" s="1"/>
  <c r="P20" i="77"/>
  <c r="H20" i="77"/>
  <c r="D20" i="77"/>
  <c r="B20" i="77"/>
  <c r="T19" i="77"/>
  <c r="X19" i="77" s="1"/>
  <c r="Z19" i="77" s="1"/>
  <c r="P19" i="77"/>
  <c r="H19" i="77"/>
  <c r="D19" i="77"/>
  <c r="L19" i="77" s="1"/>
  <c r="N19" i="77" s="1"/>
  <c r="B19" i="77"/>
  <c r="T18" i="77"/>
  <c r="P18" i="77"/>
  <c r="X18" i="77" s="1"/>
  <c r="Z18" i="77" s="1"/>
  <c r="L18" i="77"/>
  <c r="N18" i="77" s="1"/>
  <c r="H18" i="77"/>
  <c r="D18" i="77"/>
  <c r="B18" i="77"/>
  <c r="T17" i="77"/>
  <c r="P17" i="77"/>
  <c r="X17" i="77" s="1"/>
  <c r="H17" i="77"/>
  <c r="D17" i="77"/>
  <c r="B17" i="77"/>
  <c r="T16" i="77"/>
  <c r="X16" i="77" s="1"/>
  <c r="P16" i="77"/>
  <c r="H16" i="77"/>
  <c r="N16" i="77" s="1"/>
  <c r="D16" i="77"/>
  <c r="B16" i="77"/>
  <c r="Z15" i="77"/>
  <c r="T15" i="77"/>
  <c r="X15" i="77" s="1"/>
  <c r="P15" i="77"/>
  <c r="H15" i="77"/>
  <c r="D15" i="77"/>
  <c r="L15" i="77" s="1"/>
  <c r="N15" i="77" s="1"/>
  <c r="B15" i="77"/>
  <c r="T14" i="77"/>
  <c r="P14" i="77"/>
  <c r="X14" i="77" s="1"/>
  <c r="Z14" i="77" s="1"/>
  <c r="L14" i="77"/>
  <c r="N14" i="77" s="1"/>
  <c r="H14" i="77"/>
  <c r="D14" i="77"/>
  <c r="B14" i="77"/>
  <c r="T13" i="77"/>
  <c r="T12" i="77" s="1"/>
  <c r="V71" i="77" s="1"/>
  <c r="P13" i="77"/>
  <c r="H13" i="77"/>
  <c r="D13" i="77"/>
  <c r="D12" i="77" s="1"/>
  <c r="B13" i="77"/>
  <c r="D6" i="77"/>
  <c r="D4" i="77"/>
  <c r="X68" i="76"/>
  <c r="Z68" i="76" s="1"/>
  <c r="N68" i="76"/>
  <c r="L68" i="76"/>
  <c r="T64" i="76"/>
  <c r="P64" i="76"/>
  <c r="H64" i="76"/>
  <c r="D64" i="76"/>
  <c r="L64" i="76" s="1"/>
  <c r="N64" i="76" s="1"/>
  <c r="B64" i="76"/>
  <c r="H63" i="76"/>
  <c r="N63" i="76" s="1"/>
  <c r="D63" i="76"/>
  <c r="L63" i="76" s="1"/>
  <c r="X61" i="76"/>
  <c r="Z61" i="76" s="1"/>
  <c r="N61" i="76"/>
  <c r="L61" i="76"/>
  <c r="B61" i="76"/>
  <c r="T60" i="76"/>
  <c r="P60" i="76"/>
  <c r="X60" i="76" s="1"/>
  <c r="Z60" i="76" s="1"/>
  <c r="L60" i="76"/>
  <c r="N60" i="76" s="1"/>
  <c r="H60" i="76"/>
  <c r="D60" i="76"/>
  <c r="B60" i="76"/>
  <c r="X59" i="76"/>
  <c r="Z59" i="76" s="1"/>
  <c r="N59" i="76"/>
  <c r="L59" i="76"/>
  <c r="B59" i="76"/>
  <c r="Z58" i="76"/>
  <c r="X58" i="76"/>
  <c r="N58" i="76"/>
  <c r="L58" i="76"/>
  <c r="B58" i="76"/>
  <c r="Z57" i="76"/>
  <c r="X57" i="76"/>
  <c r="L57" i="76"/>
  <c r="N57" i="76" s="1"/>
  <c r="B57" i="76"/>
  <c r="X56" i="76"/>
  <c r="Z56" i="76" s="1"/>
  <c r="L56" i="76"/>
  <c r="N56" i="76" s="1"/>
  <c r="B56" i="76"/>
  <c r="X55" i="76"/>
  <c r="T55" i="76"/>
  <c r="Z55" i="76" s="1"/>
  <c r="P55" i="76"/>
  <c r="H55" i="76"/>
  <c r="D55" i="76"/>
  <c r="L55" i="76" s="1"/>
  <c r="N55" i="76" s="1"/>
  <c r="B55" i="76"/>
  <c r="Z54" i="76"/>
  <c r="X54" i="76"/>
  <c r="L54" i="76"/>
  <c r="N54" i="76" s="1"/>
  <c r="B54" i="76"/>
  <c r="T53" i="76"/>
  <c r="Z53" i="76" s="1"/>
  <c r="P53" i="76"/>
  <c r="X53" i="76" s="1"/>
  <c r="H53" i="76"/>
  <c r="D53" i="76"/>
  <c r="L53" i="76" s="1"/>
  <c r="N53" i="76" s="1"/>
  <c r="B53" i="76"/>
  <c r="Z52" i="76"/>
  <c r="X52" i="76"/>
  <c r="L52" i="76"/>
  <c r="N52" i="76" s="1"/>
  <c r="B52" i="76"/>
  <c r="T51" i="76"/>
  <c r="P51" i="76"/>
  <c r="X51" i="76" s="1"/>
  <c r="L51" i="76"/>
  <c r="J51" i="76"/>
  <c r="H51" i="76"/>
  <c r="N51" i="76" s="1"/>
  <c r="D51" i="76"/>
  <c r="B51" i="76"/>
  <c r="Z50" i="76"/>
  <c r="X50" i="76"/>
  <c r="N50" i="76"/>
  <c r="L50" i="76"/>
  <c r="B50" i="76"/>
  <c r="T49" i="76"/>
  <c r="Z49" i="76" s="1"/>
  <c r="P49" i="76"/>
  <c r="X49" i="76" s="1"/>
  <c r="L49" i="76"/>
  <c r="H49" i="76"/>
  <c r="N49" i="76" s="1"/>
  <c r="D49" i="76"/>
  <c r="B49" i="76"/>
  <c r="Z48" i="76"/>
  <c r="X48" i="76"/>
  <c r="N48" i="76"/>
  <c r="L48" i="76"/>
  <c r="B48" i="76"/>
  <c r="Z47" i="76"/>
  <c r="T47" i="76"/>
  <c r="P47" i="76"/>
  <c r="X47" i="76" s="1"/>
  <c r="H47" i="76"/>
  <c r="N47" i="76" s="1"/>
  <c r="D47" i="76"/>
  <c r="L47" i="76" s="1"/>
  <c r="B47" i="76"/>
  <c r="X46" i="76"/>
  <c r="Z46" i="76" s="1"/>
  <c r="N46" i="76"/>
  <c r="L46" i="76"/>
  <c r="B46" i="76"/>
  <c r="X45" i="76"/>
  <c r="T45" i="76"/>
  <c r="Z45" i="76" s="1"/>
  <c r="P45" i="76"/>
  <c r="H45" i="76"/>
  <c r="D45" i="76"/>
  <c r="L45" i="76" s="1"/>
  <c r="B45" i="76"/>
  <c r="X44" i="76"/>
  <c r="Z44" i="76" s="1"/>
  <c r="N44" i="76"/>
  <c r="L44" i="76"/>
  <c r="B44" i="76"/>
  <c r="X43" i="76"/>
  <c r="Z43" i="76" s="1"/>
  <c r="N43" i="76"/>
  <c r="L43" i="76"/>
  <c r="B43" i="76"/>
  <c r="Z42" i="76"/>
  <c r="X42" i="76"/>
  <c r="N42" i="76"/>
  <c r="L42" i="76"/>
  <c r="F42" i="76"/>
  <c r="B42" i="76"/>
  <c r="Z41" i="76"/>
  <c r="X41" i="76"/>
  <c r="L41" i="76"/>
  <c r="N41" i="76" s="1"/>
  <c r="B41" i="76"/>
  <c r="X40" i="76"/>
  <c r="Z40" i="76" s="1"/>
  <c r="T40" i="76"/>
  <c r="P40" i="76"/>
  <c r="H40" i="76"/>
  <c r="D40" i="76"/>
  <c r="L40" i="76" s="1"/>
  <c r="N40" i="76" s="1"/>
  <c r="B40" i="76"/>
  <c r="Z39" i="76"/>
  <c r="X39" i="76"/>
  <c r="L39" i="76"/>
  <c r="N39" i="76" s="1"/>
  <c r="B39" i="76"/>
  <c r="Z38" i="76"/>
  <c r="X38" i="76"/>
  <c r="L38" i="76"/>
  <c r="N38" i="76" s="1"/>
  <c r="B38" i="76"/>
  <c r="X37" i="76"/>
  <c r="Z37" i="76" s="1"/>
  <c r="L37" i="76"/>
  <c r="N37" i="76" s="1"/>
  <c r="J37" i="76"/>
  <c r="B37" i="76"/>
  <c r="X36" i="76"/>
  <c r="Z36" i="76" s="1"/>
  <c r="N36" i="76"/>
  <c r="L36" i="76"/>
  <c r="J36" i="76"/>
  <c r="B36" i="76"/>
  <c r="Z35" i="76"/>
  <c r="X35" i="76"/>
  <c r="L35" i="76"/>
  <c r="N35" i="76" s="1"/>
  <c r="B35" i="76"/>
  <c r="Z34" i="76"/>
  <c r="X34" i="76"/>
  <c r="R34" i="76"/>
  <c r="L34" i="76"/>
  <c r="N34" i="76" s="1"/>
  <c r="B34" i="76"/>
  <c r="X33" i="76"/>
  <c r="Z33" i="76" s="1"/>
  <c r="L33" i="76"/>
  <c r="N33" i="76" s="1"/>
  <c r="J33" i="76"/>
  <c r="B33" i="76"/>
  <c r="X32" i="76"/>
  <c r="Z32" i="76" s="1"/>
  <c r="N32" i="76"/>
  <c r="L32" i="76"/>
  <c r="J32" i="76"/>
  <c r="B32" i="76"/>
  <c r="Z31" i="76"/>
  <c r="T31" i="76"/>
  <c r="P31" i="76"/>
  <c r="X31" i="76" s="1"/>
  <c r="H31" i="76"/>
  <c r="D31" i="76"/>
  <c r="L31" i="76" s="1"/>
  <c r="B31" i="76"/>
  <c r="X30" i="76"/>
  <c r="Z30" i="76" s="1"/>
  <c r="T30" i="76"/>
  <c r="P30" i="76"/>
  <c r="J30" i="76"/>
  <c r="H30" i="76"/>
  <c r="D30" i="76"/>
  <c r="L30" i="76" s="1"/>
  <c r="N30" i="76" s="1"/>
  <c r="D28" i="76"/>
  <c r="Z26" i="76"/>
  <c r="X26" i="76"/>
  <c r="T26" i="76"/>
  <c r="P26" i="76"/>
  <c r="N26" i="76"/>
  <c r="J26" i="76"/>
  <c r="H26" i="76"/>
  <c r="D26" i="76"/>
  <c r="L26" i="76" s="1"/>
  <c r="Z24" i="76"/>
  <c r="X24" i="76"/>
  <c r="T24" i="76"/>
  <c r="P24" i="76"/>
  <c r="N24" i="76"/>
  <c r="H24" i="76"/>
  <c r="D24" i="76"/>
  <c r="L24" i="76" s="1"/>
  <c r="B24" i="76"/>
  <c r="T23" i="76"/>
  <c r="P23" i="76"/>
  <c r="H23" i="76"/>
  <c r="D23" i="76"/>
  <c r="L23" i="76" s="1"/>
  <c r="N23" i="76" s="1"/>
  <c r="B23" i="76"/>
  <c r="T22" i="76"/>
  <c r="Z22" i="76" s="1"/>
  <c r="P22" i="76"/>
  <c r="N22" i="76"/>
  <c r="L22" i="76"/>
  <c r="H22" i="76"/>
  <c r="D22" i="76"/>
  <c r="B22" i="76"/>
  <c r="X21" i="76"/>
  <c r="Z21" i="76" s="1"/>
  <c r="T21" i="76"/>
  <c r="P21" i="76"/>
  <c r="L21" i="76"/>
  <c r="N21" i="76" s="1"/>
  <c r="H21" i="76"/>
  <c r="D21" i="76"/>
  <c r="B21" i="76"/>
  <c r="X20" i="76"/>
  <c r="Z20" i="76" s="1"/>
  <c r="T20" i="76"/>
  <c r="P20" i="76"/>
  <c r="H20" i="76"/>
  <c r="D20" i="76"/>
  <c r="L20" i="76" s="1"/>
  <c r="N20" i="76" s="1"/>
  <c r="B20" i="76"/>
  <c r="T19" i="76"/>
  <c r="P19" i="76"/>
  <c r="H19" i="76"/>
  <c r="D19" i="76"/>
  <c r="L19" i="76" s="1"/>
  <c r="N19" i="76" s="1"/>
  <c r="B19" i="76"/>
  <c r="T18" i="76"/>
  <c r="P18" i="76"/>
  <c r="L18" i="76"/>
  <c r="N18" i="76" s="1"/>
  <c r="H18" i="76"/>
  <c r="D18" i="76"/>
  <c r="B18" i="76"/>
  <c r="X17" i="76"/>
  <c r="T17" i="76"/>
  <c r="Z17" i="76" s="1"/>
  <c r="P17" i="76"/>
  <c r="L17" i="76"/>
  <c r="N17" i="76" s="1"/>
  <c r="H17" i="76"/>
  <c r="D17" i="76"/>
  <c r="B17" i="76"/>
  <c r="X16" i="76"/>
  <c r="Z16" i="76" s="1"/>
  <c r="T16" i="76"/>
  <c r="P16" i="76"/>
  <c r="H16" i="76"/>
  <c r="D16" i="76"/>
  <c r="L16" i="76" s="1"/>
  <c r="N16" i="76" s="1"/>
  <c r="B16" i="76"/>
  <c r="T15" i="76"/>
  <c r="P15" i="76"/>
  <c r="H15" i="76"/>
  <c r="D15" i="76"/>
  <c r="L15" i="76" s="1"/>
  <c r="N15" i="76" s="1"/>
  <c r="B15" i="76"/>
  <c r="T14" i="76"/>
  <c r="P14" i="76"/>
  <c r="L14" i="76"/>
  <c r="N14" i="76" s="1"/>
  <c r="H14" i="76"/>
  <c r="D14" i="76"/>
  <c r="B14" i="76"/>
  <c r="X13" i="76"/>
  <c r="T13" i="76"/>
  <c r="Z13" i="76" s="1"/>
  <c r="P13" i="76"/>
  <c r="P12" i="76" s="1"/>
  <c r="R55" i="76" s="1"/>
  <c r="L13" i="76"/>
  <c r="N13" i="76" s="1"/>
  <c r="H13" i="76"/>
  <c r="D13" i="76"/>
  <c r="D12" i="76" s="1"/>
  <c r="F58" i="76" s="1"/>
  <c r="B13" i="76"/>
  <c r="H12" i="76"/>
  <c r="J61" i="76" s="1"/>
  <c r="D6" i="76"/>
  <c r="D4" i="76"/>
  <c r="X102" i="75"/>
  <c r="Z102" i="75" s="1"/>
  <c r="L102" i="75"/>
  <c r="N102" i="75" s="1"/>
  <c r="T98" i="75"/>
  <c r="P98" i="75"/>
  <c r="L98" i="75"/>
  <c r="N98" i="75" s="1"/>
  <c r="H98" i="75"/>
  <c r="D98" i="75"/>
  <c r="B98" i="75"/>
  <c r="T97" i="75"/>
  <c r="H97" i="75"/>
  <c r="N97" i="75" s="1"/>
  <c r="D97" i="75"/>
  <c r="L97" i="75" s="1"/>
  <c r="X95" i="75"/>
  <c r="Z95" i="75" s="1"/>
  <c r="N95" i="75"/>
  <c r="L95" i="75"/>
  <c r="B95" i="75"/>
  <c r="T94" i="75"/>
  <c r="P94" i="75"/>
  <c r="X94" i="75" s="1"/>
  <c r="Z94" i="75" s="1"/>
  <c r="N94" i="75"/>
  <c r="L94" i="75"/>
  <c r="H94" i="75"/>
  <c r="D94" i="75"/>
  <c r="B94" i="75"/>
  <c r="X93" i="75"/>
  <c r="Z93" i="75" s="1"/>
  <c r="L93" i="75"/>
  <c r="N93" i="75" s="1"/>
  <c r="B93" i="75"/>
  <c r="T92" i="75"/>
  <c r="P92" i="75"/>
  <c r="X92" i="75" s="1"/>
  <c r="H92" i="75"/>
  <c r="D92" i="75"/>
  <c r="L92" i="75" s="1"/>
  <c r="B92" i="75"/>
  <c r="X91" i="75"/>
  <c r="Z91" i="75" s="1"/>
  <c r="L91" i="75"/>
  <c r="N91" i="75" s="1"/>
  <c r="B91" i="75"/>
  <c r="X90" i="75"/>
  <c r="T90" i="75"/>
  <c r="Z90" i="75" s="1"/>
  <c r="P90" i="75"/>
  <c r="H90" i="75"/>
  <c r="D90" i="75"/>
  <c r="L90" i="75" s="1"/>
  <c r="N90" i="75" s="1"/>
  <c r="B90" i="75"/>
  <c r="Z89" i="75"/>
  <c r="X89" i="75"/>
  <c r="L89" i="75"/>
  <c r="N89" i="75" s="1"/>
  <c r="B89" i="75"/>
  <c r="X88" i="75"/>
  <c r="Z88" i="75" s="1"/>
  <c r="N88" i="75"/>
  <c r="L88" i="75"/>
  <c r="B88" i="75"/>
  <c r="X87" i="75"/>
  <c r="Z87" i="75" s="1"/>
  <c r="N87" i="75"/>
  <c r="L87" i="75"/>
  <c r="B87" i="75"/>
  <c r="Z86" i="75"/>
  <c r="X86" i="75"/>
  <c r="N86" i="75"/>
  <c r="L86" i="75"/>
  <c r="B86" i="75"/>
  <c r="T85" i="75"/>
  <c r="P85" i="75"/>
  <c r="X85" i="75" s="1"/>
  <c r="L85" i="75"/>
  <c r="H85" i="75"/>
  <c r="N85" i="75" s="1"/>
  <c r="D85" i="75"/>
  <c r="B85" i="75"/>
  <c r="X84" i="75"/>
  <c r="Z84" i="75" s="1"/>
  <c r="N84" i="75"/>
  <c r="L84" i="75"/>
  <c r="B84" i="75"/>
  <c r="Z83" i="75"/>
  <c r="T83" i="75"/>
  <c r="P83" i="75"/>
  <c r="X83" i="75" s="1"/>
  <c r="H83" i="75"/>
  <c r="N83" i="75" s="1"/>
  <c r="D83" i="75"/>
  <c r="L83" i="75" s="1"/>
  <c r="B83" i="75"/>
  <c r="X82" i="75"/>
  <c r="Z82" i="75" s="1"/>
  <c r="N82" i="75"/>
  <c r="L82" i="75"/>
  <c r="B82" i="75"/>
  <c r="X81" i="75"/>
  <c r="Z81" i="75" s="1"/>
  <c r="N81" i="75"/>
  <c r="L81" i="75"/>
  <c r="B81" i="75"/>
  <c r="T80" i="75"/>
  <c r="P80" i="75"/>
  <c r="X80" i="75" s="1"/>
  <c r="Z80" i="75" s="1"/>
  <c r="L80" i="75"/>
  <c r="H80" i="75"/>
  <c r="N80" i="75" s="1"/>
  <c r="D80" i="75"/>
  <c r="B80" i="75"/>
  <c r="X79" i="75"/>
  <c r="Z79" i="75" s="1"/>
  <c r="N79" i="75"/>
  <c r="L79" i="75"/>
  <c r="B79" i="75"/>
  <c r="Z78" i="75"/>
  <c r="X78" i="75"/>
  <c r="T78" i="75"/>
  <c r="P78" i="75"/>
  <c r="N78" i="75"/>
  <c r="L78" i="75"/>
  <c r="H78" i="75"/>
  <c r="D78" i="75"/>
  <c r="B78" i="75"/>
  <c r="X77" i="75"/>
  <c r="Z77" i="75" s="1"/>
  <c r="L77" i="75"/>
  <c r="N77" i="75" s="1"/>
  <c r="J77" i="75"/>
  <c r="B77" i="75"/>
  <c r="T76" i="75"/>
  <c r="X76" i="75" s="1"/>
  <c r="P76" i="75"/>
  <c r="H76" i="75"/>
  <c r="D76" i="75"/>
  <c r="B76" i="75"/>
  <c r="X75" i="75"/>
  <c r="Z75" i="75" s="1"/>
  <c r="L75" i="75"/>
  <c r="N75" i="75" s="1"/>
  <c r="B75" i="75"/>
  <c r="T74" i="75"/>
  <c r="Z74" i="75" s="1"/>
  <c r="P74" i="75"/>
  <c r="X74" i="75" s="1"/>
  <c r="H74" i="75"/>
  <c r="D74" i="75"/>
  <c r="L74" i="75" s="1"/>
  <c r="N74" i="75" s="1"/>
  <c r="B74" i="75"/>
  <c r="Z73" i="75"/>
  <c r="X73" i="75"/>
  <c r="N73" i="75"/>
  <c r="L73" i="75"/>
  <c r="B73" i="75"/>
  <c r="X72" i="75"/>
  <c r="Z72" i="75" s="1"/>
  <c r="T72" i="75"/>
  <c r="P72" i="75"/>
  <c r="L72" i="75"/>
  <c r="N72" i="75" s="1"/>
  <c r="H72" i="75"/>
  <c r="D72" i="75"/>
  <c r="B72" i="75"/>
  <c r="Z71" i="75"/>
  <c r="X71" i="75"/>
  <c r="N71" i="75"/>
  <c r="L71" i="75"/>
  <c r="B71" i="75"/>
  <c r="T70" i="75"/>
  <c r="P70" i="75"/>
  <c r="H70" i="75"/>
  <c r="L70" i="75" s="1"/>
  <c r="D70" i="75"/>
  <c r="B70" i="75"/>
  <c r="X69" i="75"/>
  <c r="Z69" i="75" s="1"/>
  <c r="N69" i="75"/>
  <c r="L69" i="75"/>
  <c r="B69" i="75"/>
  <c r="T68" i="75"/>
  <c r="P68" i="75"/>
  <c r="X68" i="75" s="1"/>
  <c r="Z68" i="75" s="1"/>
  <c r="H68" i="75"/>
  <c r="N68" i="75" s="1"/>
  <c r="D68" i="75"/>
  <c r="L68" i="75" s="1"/>
  <c r="B68" i="75"/>
  <c r="X67" i="75"/>
  <c r="Z67" i="75" s="1"/>
  <c r="N67" i="75"/>
  <c r="L67" i="75"/>
  <c r="B67" i="75"/>
  <c r="X66" i="75"/>
  <c r="Z66" i="75" s="1"/>
  <c r="T66" i="75"/>
  <c r="P66" i="75"/>
  <c r="L66" i="75"/>
  <c r="N66" i="75" s="1"/>
  <c r="H66" i="75"/>
  <c r="D66" i="75"/>
  <c r="B66" i="75"/>
  <c r="Z65" i="75"/>
  <c r="X65" i="75"/>
  <c r="N65" i="75"/>
  <c r="L65" i="75"/>
  <c r="B65" i="75"/>
  <c r="X64" i="75"/>
  <c r="Z64" i="75" s="1"/>
  <c r="N64" i="75"/>
  <c r="L64" i="75"/>
  <c r="B64" i="75"/>
  <c r="Z63" i="75"/>
  <c r="X63" i="75"/>
  <c r="L63" i="75"/>
  <c r="N63" i="75" s="1"/>
  <c r="B63" i="75"/>
  <c r="Z62" i="75"/>
  <c r="X62" i="75"/>
  <c r="R62" i="75"/>
  <c r="L62" i="75"/>
  <c r="N62" i="75" s="1"/>
  <c r="B62" i="75"/>
  <c r="Z61" i="75"/>
  <c r="X61" i="75"/>
  <c r="L61" i="75"/>
  <c r="N61" i="75" s="1"/>
  <c r="J61" i="75"/>
  <c r="B61" i="75"/>
  <c r="T60" i="75"/>
  <c r="X60" i="75" s="1"/>
  <c r="P60" i="75"/>
  <c r="H60" i="75"/>
  <c r="D60" i="75"/>
  <c r="B60" i="75"/>
  <c r="X59" i="75"/>
  <c r="Z59" i="75" s="1"/>
  <c r="L59" i="75"/>
  <c r="N59" i="75" s="1"/>
  <c r="B59" i="75"/>
  <c r="X58" i="75"/>
  <c r="Z58" i="75" s="1"/>
  <c r="L58" i="75"/>
  <c r="N58" i="75" s="1"/>
  <c r="B58" i="75"/>
  <c r="X57" i="75"/>
  <c r="Z57" i="75" s="1"/>
  <c r="N57" i="75"/>
  <c r="L57" i="75"/>
  <c r="B57" i="75"/>
  <c r="Z56" i="75"/>
  <c r="X56" i="75"/>
  <c r="L56" i="75"/>
  <c r="N56" i="75" s="1"/>
  <c r="B56" i="75"/>
  <c r="X55" i="75"/>
  <c r="Z55" i="75" s="1"/>
  <c r="L55" i="75"/>
  <c r="N55" i="75" s="1"/>
  <c r="B55" i="75"/>
  <c r="X54" i="75"/>
  <c r="Z54" i="75" s="1"/>
  <c r="L54" i="75"/>
  <c r="N54" i="75" s="1"/>
  <c r="B54" i="75"/>
  <c r="X53" i="75"/>
  <c r="Z53" i="75" s="1"/>
  <c r="N53" i="75"/>
  <c r="L53" i="75"/>
  <c r="B53" i="75"/>
  <c r="Z52" i="75"/>
  <c r="X52" i="75"/>
  <c r="L52" i="75"/>
  <c r="N52" i="75" s="1"/>
  <c r="B52" i="75"/>
  <c r="T51" i="75"/>
  <c r="Z51" i="75" s="1"/>
  <c r="P51" i="75"/>
  <c r="X51" i="75" s="1"/>
  <c r="L51" i="75"/>
  <c r="N51" i="75" s="1"/>
  <c r="J51" i="75"/>
  <c r="H51" i="75"/>
  <c r="D51" i="75"/>
  <c r="B51" i="75"/>
  <c r="X50" i="75"/>
  <c r="Z50" i="75" s="1"/>
  <c r="T50" i="75"/>
  <c r="P50" i="75"/>
  <c r="L50" i="75"/>
  <c r="H50" i="75"/>
  <c r="N50" i="75" s="1"/>
  <c r="D50" i="75"/>
  <c r="X46" i="75"/>
  <c r="Z46" i="75" s="1"/>
  <c r="N46" i="75"/>
  <c r="L46" i="75"/>
  <c r="B46" i="75"/>
  <c r="Z45" i="75"/>
  <c r="X45" i="75"/>
  <c r="N45" i="75"/>
  <c r="L45" i="75"/>
  <c r="B45" i="75"/>
  <c r="Z44" i="75"/>
  <c r="X44" i="75"/>
  <c r="N44" i="75"/>
  <c r="L44" i="75"/>
  <c r="B44" i="75"/>
  <c r="X43" i="75"/>
  <c r="Z43" i="75" s="1"/>
  <c r="N43" i="75"/>
  <c r="L43" i="75"/>
  <c r="B43" i="75"/>
  <c r="X42" i="75"/>
  <c r="Z42" i="75" s="1"/>
  <c r="N42" i="75"/>
  <c r="L42" i="75"/>
  <c r="B42" i="75"/>
  <c r="Z41" i="75"/>
  <c r="X41" i="75"/>
  <c r="N41" i="75"/>
  <c r="L41" i="75"/>
  <c r="B41" i="75"/>
  <c r="X40" i="75"/>
  <c r="Z40" i="75" s="1"/>
  <c r="L40" i="75"/>
  <c r="N40" i="75" s="1"/>
  <c r="B40" i="75"/>
  <c r="X39" i="75"/>
  <c r="Z39" i="75" s="1"/>
  <c r="N39" i="75"/>
  <c r="L39" i="75"/>
  <c r="B39" i="75"/>
  <c r="X38" i="75"/>
  <c r="Z38" i="75" s="1"/>
  <c r="N38" i="75"/>
  <c r="L38" i="75"/>
  <c r="B38" i="75"/>
  <c r="Z37" i="75"/>
  <c r="X37" i="75"/>
  <c r="N37" i="75"/>
  <c r="L37" i="75"/>
  <c r="B37" i="75"/>
  <c r="X36" i="75"/>
  <c r="Z36" i="75" s="1"/>
  <c r="L36" i="75"/>
  <c r="N36" i="75" s="1"/>
  <c r="B36" i="75"/>
  <c r="X35" i="75"/>
  <c r="Z35" i="75" s="1"/>
  <c r="N35" i="75"/>
  <c r="L35" i="75"/>
  <c r="B35" i="75"/>
  <c r="X34" i="75"/>
  <c r="Z34" i="75" s="1"/>
  <c r="N34" i="75"/>
  <c r="L34" i="75"/>
  <c r="B34" i="75"/>
  <c r="Z33" i="75"/>
  <c r="X33" i="75"/>
  <c r="N33" i="75"/>
  <c r="L33" i="75"/>
  <c r="B33" i="75"/>
  <c r="X32" i="75"/>
  <c r="T32" i="75"/>
  <c r="Z32" i="75" s="1"/>
  <c r="P32" i="75"/>
  <c r="L32" i="75"/>
  <c r="N32" i="75" s="1"/>
  <c r="H32" i="75"/>
  <c r="D32" i="75"/>
  <c r="Z30" i="75"/>
  <c r="X30" i="75"/>
  <c r="T30" i="75"/>
  <c r="P30" i="75"/>
  <c r="H30" i="75"/>
  <c r="N30" i="75" s="1"/>
  <c r="D30" i="75"/>
  <c r="L30" i="75" s="1"/>
  <c r="B30" i="75"/>
  <c r="X29" i="75"/>
  <c r="T29" i="75"/>
  <c r="Z29" i="75" s="1"/>
  <c r="P29" i="75"/>
  <c r="H29" i="75"/>
  <c r="L29" i="75" s="1"/>
  <c r="N29" i="75" s="1"/>
  <c r="D29" i="75"/>
  <c r="B29" i="75"/>
  <c r="X28" i="75"/>
  <c r="Z28" i="75" s="1"/>
  <c r="T28" i="75"/>
  <c r="P28" i="75"/>
  <c r="H28" i="75"/>
  <c r="D28" i="75"/>
  <c r="L28" i="75" s="1"/>
  <c r="N28" i="75" s="1"/>
  <c r="B28" i="75"/>
  <c r="T27" i="75"/>
  <c r="Z27" i="75" s="1"/>
  <c r="P27" i="75"/>
  <c r="X27" i="75" s="1"/>
  <c r="H27" i="75"/>
  <c r="D27" i="75"/>
  <c r="L27" i="75" s="1"/>
  <c r="N27" i="75" s="1"/>
  <c r="B27" i="75"/>
  <c r="X26" i="75"/>
  <c r="Z26" i="75" s="1"/>
  <c r="T26" i="75"/>
  <c r="P26" i="75"/>
  <c r="H26" i="75"/>
  <c r="N26" i="75" s="1"/>
  <c r="D26" i="75"/>
  <c r="L26" i="75" s="1"/>
  <c r="B26" i="75"/>
  <c r="X25" i="75"/>
  <c r="T25" i="75"/>
  <c r="Z25" i="75" s="1"/>
  <c r="P25" i="75"/>
  <c r="H25" i="75"/>
  <c r="L25" i="75" s="1"/>
  <c r="N25" i="75" s="1"/>
  <c r="D25" i="75"/>
  <c r="B25" i="75"/>
  <c r="X24" i="75"/>
  <c r="Z24" i="75" s="1"/>
  <c r="T24" i="75"/>
  <c r="P24" i="75"/>
  <c r="H24" i="75"/>
  <c r="D24" i="75"/>
  <c r="L24" i="75" s="1"/>
  <c r="N24" i="75" s="1"/>
  <c r="B24" i="75"/>
  <c r="T23" i="75"/>
  <c r="Z23" i="75" s="1"/>
  <c r="P23" i="75"/>
  <c r="X23" i="75" s="1"/>
  <c r="H23" i="75"/>
  <c r="D23" i="75"/>
  <c r="L23" i="75" s="1"/>
  <c r="N23" i="75" s="1"/>
  <c r="B23" i="75"/>
  <c r="X22" i="75"/>
  <c r="Z22" i="75" s="1"/>
  <c r="T22" i="75"/>
  <c r="P22" i="75"/>
  <c r="H22" i="75"/>
  <c r="N22" i="75" s="1"/>
  <c r="D22" i="75"/>
  <c r="L22" i="75" s="1"/>
  <c r="B22" i="75"/>
  <c r="X21" i="75"/>
  <c r="T21" i="75"/>
  <c r="Z21" i="75" s="1"/>
  <c r="P21" i="75"/>
  <c r="H21" i="75"/>
  <c r="L21" i="75" s="1"/>
  <c r="N21" i="75" s="1"/>
  <c r="D21" i="75"/>
  <c r="B21" i="75"/>
  <c r="X20" i="75"/>
  <c r="T20" i="75"/>
  <c r="Z20" i="75" s="1"/>
  <c r="P20" i="75"/>
  <c r="H20" i="75"/>
  <c r="D20" i="75"/>
  <c r="L20" i="75" s="1"/>
  <c r="N20" i="75" s="1"/>
  <c r="B20" i="75"/>
  <c r="T19" i="75"/>
  <c r="Z19" i="75" s="1"/>
  <c r="P19" i="75"/>
  <c r="X19" i="75" s="1"/>
  <c r="H19" i="75"/>
  <c r="D19" i="75"/>
  <c r="L19" i="75" s="1"/>
  <c r="N19" i="75" s="1"/>
  <c r="B19" i="75"/>
  <c r="X18" i="75"/>
  <c r="Z18" i="75" s="1"/>
  <c r="T18" i="75"/>
  <c r="P18" i="75"/>
  <c r="H18" i="75"/>
  <c r="N18" i="75" s="1"/>
  <c r="D18" i="75"/>
  <c r="L18" i="75" s="1"/>
  <c r="B18" i="75"/>
  <c r="X17" i="75"/>
  <c r="T17" i="75"/>
  <c r="Z17" i="75" s="1"/>
  <c r="P17" i="75"/>
  <c r="H17" i="75"/>
  <c r="L17" i="75" s="1"/>
  <c r="N17" i="75" s="1"/>
  <c r="D17" i="75"/>
  <c r="B17" i="75"/>
  <c r="X16" i="75"/>
  <c r="T16" i="75"/>
  <c r="Z16" i="75" s="1"/>
  <c r="P16" i="75"/>
  <c r="H16" i="75"/>
  <c r="D16" i="75"/>
  <c r="L16" i="75" s="1"/>
  <c r="N16" i="75" s="1"/>
  <c r="B16" i="75"/>
  <c r="T15" i="75"/>
  <c r="Z15" i="75" s="1"/>
  <c r="P15" i="75"/>
  <c r="X15" i="75" s="1"/>
  <c r="H15" i="75"/>
  <c r="D15" i="75"/>
  <c r="L15" i="75" s="1"/>
  <c r="N15" i="75" s="1"/>
  <c r="B15" i="75"/>
  <c r="X14" i="75"/>
  <c r="T14" i="75"/>
  <c r="P14" i="75"/>
  <c r="P12" i="75" s="1"/>
  <c r="H14" i="75"/>
  <c r="N14" i="75" s="1"/>
  <c r="D14" i="75"/>
  <c r="L14" i="75" s="1"/>
  <c r="B14" i="75"/>
  <c r="X13" i="75"/>
  <c r="T13" i="75"/>
  <c r="T12" i="75" s="1"/>
  <c r="V57" i="75" s="1"/>
  <c r="P13" i="75"/>
  <c r="H13" i="75"/>
  <c r="H12" i="75" s="1"/>
  <c r="D13" i="75"/>
  <c r="B13" i="75"/>
  <c r="D6" i="75"/>
  <c r="D4" i="75"/>
  <c r="X83" i="74"/>
  <c r="Z83" i="74" s="1"/>
  <c r="N83" i="74"/>
  <c r="L83" i="74"/>
  <c r="X79" i="74"/>
  <c r="T79" i="74"/>
  <c r="Z79" i="74" s="1"/>
  <c r="P79" i="74"/>
  <c r="N79" i="74"/>
  <c r="L79" i="74"/>
  <c r="H79" i="74"/>
  <c r="D79" i="74"/>
  <c r="X77" i="74"/>
  <c r="Z77" i="74" s="1"/>
  <c r="L77" i="74"/>
  <c r="N77" i="74" s="1"/>
  <c r="B77" i="74"/>
  <c r="X76" i="74"/>
  <c r="Z76" i="74" s="1"/>
  <c r="T76" i="74"/>
  <c r="P76" i="74"/>
  <c r="H76" i="74"/>
  <c r="D76" i="74"/>
  <c r="L76" i="74" s="1"/>
  <c r="N76" i="74" s="1"/>
  <c r="B76" i="74"/>
  <c r="Z75" i="74"/>
  <c r="X75" i="74"/>
  <c r="L75" i="74"/>
  <c r="N75" i="74" s="1"/>
  <c r="B75" i="74"/>
  <c r="Z74" i="74"/>
  <c r="X74" i="74"/>
  <c r="N74" i="74"/>
  <c r="L74" i="74"/>
  <c r="B74" i="74"/>
  <c r="T73" i="74"/>
  <c r="X73" i="74" s="1"/>
  <c r="P73" i="74"/>
  <c r="H73" i="74"/>
  <c r="D73" i="74"/>
  <c r="L73" i="74" s="1"/>
  <c r="B73" i="74"/>
  <c r="Z72" i="74"/>
  <c r="X72" i="74"/>
  <c r="N72" i="74"/>
  <c r="L72" i="74"/>
  <c r="B72" i="74"/>
  <c r="T71" i="74"/>
  <c r="Z71" i="74" s="1"/>
  <c r="P71" i="74"/>
  <c r="X71" i="74" s="1"/>
  <c r="H71" i="74"/>
  <c r="N71" i="74" s="1"/>
  <c r="D71" i="74"/>
  <c r="L71" i="74" s="1"/>
  <c r="B71" i="74"/>
  <c r="Z70" i="74"/>
  <c r="X70" i="74"/>
  <c r="N70" i="74"/>
  <c r="L70" i="74"/>
  <c r="B70" i="74"/>
  <c r="X69" i="74"/>
  <c r="Z69" i="74" s="1"/>
  <c r="L69" i="74"/>
  <c r="N69" i="74" s="1"/>
  <c r="B69" i="74"/>
  <c r="X68" i="74"/>
  <c r="Z68" i="74" s="1"/>
  <c r="T68" i="74"/>
  <c r="P68" i="74"/>
  <c r="H68" i="74"/>
  <c r="D68" i="74"/>
  <c r="L68" i="74" s="1"/>
  <c r="N68" i="74" s="1"/>
  <c r="B68" i="74"/>
  <c r="Z67" i="74"/>
  <c r="X67" i="74"/>
  <c r="L67" i="74"/>
  <c r="N67" i="74" s="1"/>
  <c r="B67" i="74"/>
  <c r="T66" i="74"/>
  <c r="P66" i="74"/>
  <c r="N66" i="74"/>
  <c r="H66" i="74"/>
  <c r="D66" i="74"/>
  <c r="L66" i="74" s="1"/>
  <c r="B66" i="74"/>
  <c r="Z65" i="74"/>
  <c r="X65" i="74"/>
  <c r="L65" i="74"/>
  <c r="N65" i="74" s="1"/>
  <c r="B65" i="74"/>
  <c r="Z64" i="74"/>
  <c r="X64" i="74"/>
  <c r="N64" i="74"/>
  <c r="L64" i="74"/>
  <c r="B64" i="74"/>
  <c r="X63" i="74"/>
  <c r="Z63" i="74" s="1"/>
  <c r="L63" i="74"/>
  <c r="N63" i="74" s="1"/>
  <c r="B63" i="74"/>
  <c r="V62" i="74"/>
  <c r="T62" i="74"/>
  <c r="P62" i="74"/>
  <c r="H62" i="74"/>
  <c r="D62" i="74"/>
  <c r="L62" i="74" s="1"/>
  <c r="B62" i="74"/>
  <c r="X61" i="74"/>
  <c r="Z61" i="74" s="1"/>
  <c r="L61" i="74"/>
  <c r="N61" i="74" s="1"/>
  <c r="B61" i="74"/>
  <c r="X60" i="74"/>
  <c r="Z60" i="74" s="1"/>
  <c r="L60" i="74"/>
  <c r="N60" i="74" s="1"/>
  <c r="B60" i="74"/>
  <c r="X59" i="74"/>
  <c r="Z59" i="74" s="1"/>
  <c r="N59" i="74"/>
  <c r="L59" i="74"/>
  <c r="B59" i="74"/>
  <c r="Z58" i="74"/>
  <c r="X58" i="74"/>
  <c r="N58" i="74"/>
  <c r="L58" i="74"/>
  <c r="B58" i="74"/>
  <c r="X57" i="74"/>
  <c r="Z57" i="74" s="1"/>
  <c r="L57" i="74"/>
  <c r="N57" i="74" s="1"/>
  <c r="B57" i="74"/>
  <c r="X56" i="74"/>
  <c r="Z56" i="74" s="1"/>
  <c r="L56" i="74"/>
  <c r="N56" i="74" s="1"/>
  <c r="B56" i="74"/>
  <c r="X55" i="74"/>
  <c r="Z55" i="74" s="1"/>
  <c r="N55" i="74"/>
  <c r="L55" i="74"/>
  <c r="B55" i="74"/>
  <c r="T54" i="74"/>
  <c r="P54" i="74"/>
  <c r="X54" i="74" s="1"/>
  <c r="Z54" i="74" s="1"/>
  <c r="L54" i="74"/>
  <c r="N54" i="74" s="1"/>
  <c r="H54" i="74"/>
  <c r="D54" i="74"/>
  <c r="B54" i="74"/>
  <c r="T53" i="74"/>
  <c r="X53" i="74" s="1"/>
  <c r="P53" i="74"/>
  <c r="H53" i="74"/>
  <c r="D53" i="74"/>
  <c r="X49" i="74"/>
  <c r="Z49" i="74" s="1"/>
  <c r="N49" i="74"/>
  <c r="L49" i="74"/>
  <c r="B49" i="74"/>
  <c r="X48" i="74"/>
  <c r="Z48" i="74" s="1"/>
  <c r="N48" i="74"/>
  <c r="L48" i="74"/>
  <c r="B48" i="74"/>
  <c r="Z47" i="74"/>
  <c r="X47" i="74"/>
  <c r="N47" i="74"/>
  <c r="L47" i="74"/>
  <c r="B47" i="74"/>
  <c r="Z46" i="74"/>
  <c r="X46" i="74"/>
  <c r="N46" i="74"/>
  <c r="L46" i="74"/>
  <c r="B46" i="74"/>
  <c r="X45" i="74"/>
  <c r="Z45" i="74" s="1"/>
  <c r="L45" i="74"/>
  <c r="N45" i="74" s="1"/>
  <c r="B45" i="74"/>
  <c r="X44" i="74"/>
  <c r="Z44" i="74" s="1"/>
  <c r="N44" i="74"/>
  <c r="L44" i="74"/>
  <c r="B44" i="74"/>
  <c r="Z43" i="74"/>
  <c r="X43" i="74"/>
  <c r="N43" i="74"/>
  <c r="L43" i="74"/>
  <c r="B43" i="74"/>
  <c r="Z42" i="74"/>
  <c r="X42" i="74"/>
  <c r="N42" i="74"/>
  <c r="L42" i="74"/>
  <c r="B42" i="74"/>
  <c r="X41" i="74"/>
  <c r="Z41" i="74" s="1"/>
  <c r="L41" i="74"/>
  <c r="N41" i="74" s="1"/>
  <c r="B41" i="74"/>
  <c r="Z40" i="74"/>
  <c r="X40" i="74"/>
  <c r="N40" i="74"/>
  <c r="L40" i="74"/>
  <c r="B40" i="74"/>
  <c r="Z39" i="74"/>
  <c r="X39" i="74"/>
  <c r="N39" i="74"/>
  <c r="L39" i="74"/>
  <c r="B39" i="74"/>
  <c r="Z38" i="74"/>
  <c r="X38" i="74"/>
  <c r="N38" i="74"/>
  <c r="L38" i="74"/>
  <c r="B38" i="74"/>
  <c r="X37" i="74"/>
  <c r="Z37" i="74" s="1"/>
  <c r="N37" i="74"/>
  <c r="L37" i="74"/>
  <c r="B37" i="74"/>
  <c r="X36" i="74"/>
  <c r="Z36" i="74" s="1"/>
  <c r="N36" i="74"/>
  <c r="L36" i="74"/>
  <c r="B36" i="74"/>
  <c r="T35" i="74"/>
  <c r="P35" i="74"/>
  <c r="H35" i="74"/>
  <c r="D35" i="74"/>
  <c r="L35" i="74" s="1"/>
  <c r="Z33" i="74"/>
  <c r="T33" i="74"/>
  <c r="P33" i="74"/>
  <c r="X33" i="74" s="1"/>
  <c r="N33" i="74"/>
  <c r="L33" i="74"/>
  <c r="H33" i="74"/>
  <c r="D33" i="74"/>
  <c r="B33" i="74"/>
  <c r="Z32" i="74"/>
  <c r="T32" i="74"/>
  <c r="P32" i="74"/>
  <c r="X32" i="74" s="1"/>
  <c r="H32" i="74"/>
  <c r="D32" i="74"/>
  <c r="B32" i="74"/>
  <c r="T31" i="74"/>
  <c r="Z31" i="74" s="1"/>
  <c r="P31" i="74"/>
  <c r="X31" i="74" s="1"/>
  <c r="H31" i="74"/>
  <c r="D31" i="74"/>
  <c r="B31" i="74"/>
  <c r="Z30" i="74"/>
  <c r="X30" i="74"/>
  <c r="T30" i="74"/>
  <c r="P30" i="74"/>
  <c r="H30" i="74"/>
  <c r="D30" i="74"/>
  <c r="B30" i="74"/>
  <c r="Z29" i="74"/>
  <c r="T29" i="74"/>
  <c r="P29" i="74"/>
  <c r="X29" i="74" s="1"/>
  <c r="N29" i="74"/>
  <c r="L29" i="74"/>
  <c r="H29" i="74"/>
  <c r="D29" i="74"/>
  <c r="B29" i="74"/>
  <c r="T28" i="74"/>
  <c r="P28" i="74"/>
  <c r="X28" i="74" s="1"/>
  <c r="Z28" i="74" s="1"/>
  <c r="H28" i="74"/>
  <c r="D28" i="74"/>
  <c r="L28" i="74" s="1"/>
  <c r="B28" i="74"/>
  <c r="T27" i="74"/>
  <c r="P27" i="74"/>
  <c r="X27" i="74" s="1"/>
  <c r="H27" i="74"/>
  <c r="D27" i="74"/>
  <c r="B27" i="74"/>
  <c r="Z26" i="74"/>
  <c r="X26" i="74"/>
  <c r="T26" i="74"/>
  <c r="P26" i="74"/>
  <c r="H26" i="74"/>
  <c r="D26" i="74"/>
  <c r="L26" i="74" s="1"/>
  <c r="B26" i="74"/>
  <c r="T25" i="74"/>
  <c r="P25" i="74"/>
  <c r="X25" i="74" s="1"/>
  <c r="Z25" i="74" s="1"/>
  <c r="N25" i="74"/>
  <c r="L25" i="74"/>
  <c r="H25" i="74"/>
  <c r="D25" i="74"/>
  <c r="B25" i="74"/>
  <c r="T24" i="74"/>
  <c r="P24" i="74"/>
  <c r="X24" i="74" s="1"/>
  <c r="Z24" i="74" s="1"/>
  <c r="H24" i="74"/>
  <c r="D24" i="74"/>
  <c r="B24" i="74"/>
  <c r="T23" i="74"/>
  <c r="P23" i="74"/>
  <c r="X23" i="74" s="1"/>
  <c r="H23" i="74"/>
  <c r="D23" i="74"/>
  <c r="B23" i="74"/>
  <c r="Z22" i="74"/>
  <c r="X22" i="74"/>
  <c r="T22" i="74"/>
  <c r="P22" i="74"/>
  <c r="H22" i="74"/>
  <c r="D22" i="74"/>
  <c r="B22" i="74"/>
  <c r="Z21" i="74"/>
  <c r="T21" i="74"/>
  <c r="P21" i="74"/>
  <c r="X21" i="74" s="1"/>
  <c r="N21" i="74"/>
  <c r="L21" i="74"/>
  <c r="H21" i="74"/>
  <c r="D21" i="74"/>
  <c r="B21" i="74"/>
  <c r="Z20" i="74"/>
  <c r="T20" i="74"/>
  <c r="P20" i="74"/>
  <c r="X20" i="74" s="1"/>
  <c r="H20" i="74"/>
  <c r="D20" i="74"/>
  <c r="L20" i="74" s="1"/>
  <c r="B20" i="74"/>
  <c r="T19" i="74"/>
  <c r="P19" i="74"/>
  <c r="X19" i="74" s="1"/>
  <c r="H19" i="74"/>
  <c r="D19" i="74"/>
  <c r="B19" i="74"/>
  <c r="X18" i="74"/>
  <c r="Z18" i="74" s="1"/>
  <c r="T18" i="74"/>
  <c r="P18" i="74"/>
  <c r="H18" i="74"/>
  <c r="D18" i="74"/>
  <c r="B18" i="74"/>
  <c r="Z17" i="74"/>
  <c r="T17" i="74"/>
  <c r="P17" i="74"/>
  <c r="X17" i="74" s="1"/>
  <c r="N17" i="74"/>
  <c r="L17" i="74"/>
  <c r="H17" i="74"/>
  <c r="D17" i="74"/>
  <c r="B17" i="74"/>
  <c r="T16" i="74"/>
  <c r="Z16" i="74" s="1"/>
  <c r="P16" i="74"/>
  <c r="X16" i="74" s="1"/>
  <c r="H16" i="74"/>
  <c r="D16" i="74"/>
  <c r="B16" i="74"/>
  <c r="T15" i="74"/>
  <c r="P15" i="74"/>
  <c r="X15" i="74" s="1"/>
  <c r="H15" i="74"/>
  <c r="L15" i="74" s="1"/>
  <c r="D15" i="74"/>
  <c r="B15" i="74"/>
  <c r="Z14" i="74"/>
  <c r="X14" i="74"/>
  <c r="T14" i="74"/>
  <c r="P14" i="74"/>
  <c r="H14" i="74"/>
  <c r="H12" i="74" s="1"/>
  <c r="D14" i="74"/>
  <c r="B14" i="74"/>
  <c r="Z13" i="74"/>
  <c r="T13" i="74"/>
  <c r="P13" i="74"/>
  <c r="X13" i="74" s="1"/>
  <c r="N13" i="74"/>
  <c r="L13" i="74"/>
  <c r="H13" i="74"/>
  <c r="D13" i="74"/>
  <c r="B13" i="74"/>
  <c r="T12" i="74"/>
  <c r="V61" i="74" s="1"/>
  <c r="D12" i="74"/>
  <c r="D6" i="74"/>
  <c r="D4" i="74"/>
  <c r="X73" i="73"/>
  <c r="Z73" i="73" s="1"/>
  <c r="N73" i="73"/>
  <c r="L73" i="73"/>
  <c r="Z69" i="73"/>
  <c r="X69" i="73"/>
  <c r="T69" i="73"/>
  <c r="P69" i="73"/>
  <c r="H69" i="73"/>
  <c r="L69" i="73" s="1"/>
  <c r="D69" i="73"/>
  <c r="X67" i="73"/>
  <c r="Z67" i="73" s="1"/>
  <c r="N67" i="73"/>
  <c r="L67" i="73"/>
  <c r="B67" i="73"/>
  <c r="Z66" i="73"/>
  <c r="T66" i="73"/>
  <c r="P66" i="73"/>
  <c r="X66" i="73" s="1"/>
  <c r="H66" i="73"/>
  <c r="N66" i="73" s="1"/>
  <c r="D66" i="73"/>
  <c r="B66" i="73"/>
  <c r="Z65" i="73"/>
  <c r="X65" i="73"/>
  <c r="N65" i="73"/>
  <c r="L65" i="73"/>
  <c r="B65" i="73"/>
  <c r="X64" i="73"/>
  <c r="Z64" i="73" s="1"/>
  <c r="T64" i="73"/>
  <c r="P64" i="73"/>
  <c r="H64" i="73"/>
  <c r="D64" i="73"/>
  <c r="L64" i="73" s="1"/>
  <c r="N64" i="73" s="1"/>
  <c r="B64" i="73"/>
  <c r="Z63" i="73"/>
  <c r="X63" i="73"/>
  <c r="N63" i="73"/>
  <c r="L63" i="73"/>
  <c r="B63" i="73"/>
  <c r="X62" i="73"/>
  <c r="Z62" i="73" s="1"/>
  <c r="N62" i="73"/>
  <c r="L62" i="73"/>
  <c r="B62" i="73"/>
  <c r="Z61" i="73"/>
  <c r="X61" i="73"/>
  <c r="N61" i="73"/>
  <c r="L61" i="73"/>
  <c r="B61" i="73"/>
  <c r="X60" i="73"/>
  <c r="Z60" i="73" s="1"/>
  <c r="L60" i="73"/>
  <c r="N60" i="73" s="1"/>
  <c r="B60" i="73"/>
  <c r="Z59" i="73"/>
  <c r="X59" i="73"/>
  <c r="N59" i="73"/>
  <c r="L59" i="73"/>
  <c r="B59" i="73"/>
  <c r="T58" i="73"/>
  <c r="P58" i="73"/>
  <c r="L58" i="73"/>
  <c r="H58" i="73"/>
  <c r="N58" i="73" s="1"/>
  <c r="D58" i="73"/>
  <c r="B58" i="73"/>
  <c r="Z57" i="73"/>
  <c r="X57" i="73"/>
  <c r="N57" i="73"/>
  <c r="L57" i="73"/>
  <c r="B57" i="73"/>
  <c r="T56" i="73"/>
  <c r="P56" i="73"/>
  <c r="N56" i="73"/>
  <c r="H56" i="73"/>
  <c r="D56" i="73"/>
  <c r="L56" i="73" s="1"/>
  <c r="B56" i="73"/>
  <c r="X55" i="73"/>
  <c r="Z55" i="73" s="1"/>
  <c r="L55" i="73"/>
  <c r="N55" i="73" s="1"/>
  <c r="B55" i="73"/>
  <c r="Z54" i="73"/>
  <c r="X54" i="73"/>
  <c r="T54" i="73"/>
  <c r="P54" i="73"/>
  <c r="L54" i="73"/>
  <c r="N54" i="73" s="1"/>
  <c r="H54" i="73"/>
  <c r="D54" i="73"/>
  <c r="B54" i="73"/>
  <c r="Z53" i="73"/>
  <c r="X53" i="73"/>
  <c r="N53" i="73"/>
  <c r="L53" i="73"/>
  <c r="B53" i="73"/>
  <c r="X52" i="73"/>
  <c r="T52" i="73"/>
  <c r="P52" i="73"/>
  <c r="L52" i="73"/>
  <c r="H52" i="73"/>
  <c r="D52" i="73"/>
  <c r="B52" i="73"/>
  <c r="Z51" i="73"/>
  <c r="X51" i="73"/>
  <c r="L51" i="73"/>
  <c r="N51" i="73" s="1"/>
  <c r="B51" i="73"/>
  <c r="T50" i="73"/>
  <c r="P50" i="73"/>
  <c r="H50" i="73"/>
  <c r="D50" i="73"/>
  <c r="L50" i="73" s="1"/>
  <c r="B50" i="73"/>
  <c r="Z49" i="73"/>
  <c r="X49" i="73"/>
  <c r="N49" i="73"/>
  <c r="L49" i="73"/>
  <c r="B49" i="73"/>
  <c r="T48" i="73"/>
  <c r="P48" i="73"/>
  <c r="X48" i="73" s="1"/>
  <c r="Z48" i="73" s="1"/>
  <c r="N48" i="73"/>
  <c r="L48" i="73"/>
  <c r="H48" i="73"/>
  <c r="D48" i="73"/>
  <c r="B48" i="73"/>
  <c r="X47" i="73"/>
  <c r="Z47" i="73" s="1"/>
  <c r="L47" i="73"/>
  <c r="N47" i="73" s="1"/>
  <c r="B47" i="73"/>
  <c r="Z46" i="73"/>
  <c r="X46" i="73"/>
  <c r="T46" i="73"/>
  <c r="P46" i="73"/>
  <c r="H46" i="73"/>
  <c r="D46" i="73"/>
  <c r="B46" i="73"/>
  <c r="Z45" i="73"/>
  <c r="X45" i="73"/>
  <c r="N45" i="73"/>
  <c r="L45" i="73"/>
  <c r="B45" i="73"/>
  <c r="T44" i="73"/>
  <c r="P44" i="73"/>
  <c r="X44" i="73" s="1"/>
  <c r="H44" i="73"/>
  <c r="D44" i="73"/>
  <c r="B44" i="73"/>
  <c r="X43" i="73"/>
  <c r="Z43" i="73" s="1"/>
  <c r="L43" i="73"/>
  <c r="N43" i="73" s="1"/>
  <c r="B43" i="73"/>
  <c r="X42" i="73"/>
  <c r="Z42" i="73" s="1"/>
  <c r="T42" i="73"/>
  <c r="P42" i="73"/>
  <c r="L42" i="73"/>
  <c r="N42" i="73" s="1"/>
  <c r="H42" i="73"/>
  <c r="D42" i="73"/>
  <c r="B42" i="73"/>
  <c r="Z41" i="73"/>
  <c r="X41" i="73"/>
  <c r="N41" i="73"/>
  <c r="L41" i="73"/>
  <c r="B41" i="73"/>
  <c r="X40" i="73"/>
  <c r="Z40" i="73" s="1"/>
  <c r="L40" i="73"/>
  <c r="N40" i="73" s="1"/>
  <c r="B40" i="73"/>
  <c r="Z39" i="73"/>
  <c r="X39" i="73"/>
  <c r="N39" i="73"/>
  <c r="L39" i="73"/>
  <c r="B39" i="73"/>
  <c r="Z38" i="73"/>
  <c r="X38" i="73"/>
  <c r="N38" i="73"/>
  <c r="L38" i="73"/>
  <c r="B38" i="73"/>
  <c r="Z37" i="73"/>
  <c r="X37" i="73"/>
  <c r="L37" i="73"/>
  <c r="N37" i="73" s="1"/>
  <c r="B37" i="73"/>
  <c r="X36" i="73"/>
  <c r="T36" i="73"/>
  <c r="P36" i="73"/>
  <c r="N36" i="73"/>
  <c r="L36" i="73"/>
  <c r="H36" i="73"/>
  <c r="D36" i="73"/>
  <c r="B36" i="73"/>
  <c r="Z35" i="73"/>
  <c r="X35" i="73"/>
  <c r="L35" i="73"/>
  <c r="N35" i="73" s="1"/>
  <c r="B35" i="73"/>
  <c r="Z34" i="73"/>
  <c r="X34" i="73"/>
  <c r="L34" i="73"/>
  <c r="N34" i="73" s="1"/>
  <c r="B34" i="73"/>
  <c r="X33" i="73"/>
  <c r="Z33" i="73" s="1"/>
  <c r="N33" i="73"/>
  <c r="L33" i="73"/>
  <c r="B33" i="73"/>
  <c r="X32" i="73"/>
  <c r="Z32" i="73" s="1"/>
  <c r="L32" i="73"/>
  <c r="N32" i="73" s="1"/>
  <c r="B32" i="73"/>
  <c r="Z31" i="73"/>
  <c r="X31" i="73"/>
  <c r="L31" i="73"/>
  <c r="N31" i="73" s="1"/>
  <c r="B31" i="73"/>
  <c r="Z30" i="73"/>
  <c r="X30" i="73"/>
  <c r="L30" i="73"/>
  <c r="N30" i="73" s="1"/>
  <c r="B30" i="73"/>
  <c r="X29" i="73"/>
  <c r="Z29" i="73" s="1"/>
  <c r="N29" i="73"/>
  <c r="L29" i="73"/>
  <c r="B29" i="73"/>
  <c r="X28" i="73"/>
  <c r="Z28" i="73" s="1"/>
  <c r="R28" i="73"/>
  <c r="L28" i="73"/>
  <c r="N28" i="73" s="1"/>
  <c r="B28" i="73"/>
  <c r="X27" i="73"/>
  <c r="Z27" i="73" s="1"/>
  <c r="T27" i="73"/>
  <c r="P27" i="73"/>
  <c r="L27" i="73"/>
  <c r="H27" i="73"/>
  <c r="N27" i="73" s="1"/>
  <c r="D27" i="73"/>
  <c r="B27" i="73"/>
  <c r="T26" i="73"/>
  <c r="P26" i="73"/>
  <c r="X26" i="73" s="1"/>
  <c r="H26" i="73"/>
  <c r="D26" i="73"/>
  <c r="L26" i="73" s="1"/>
  <c r="N26" i="73" s="1"/>
  <c r="X22" i="73"/>
  <c r="Z22" i="73" s="1"/>
  <c r="N22" i="73"/>
  <c r="L22" i="73"/>
  <c r="B22" i="73"/>
  <c r="Z21" i="73"/>
  <c r="X21" i="73"/>
  <c r="N21" i="73"/>
  <c r="L21" i="73"/>
  <c r="B21" i="73"/>
  <c r="X20" i="73"/>
  <c r="T20" i="73"/>
  <c r="Z20" i="73" s="1"/>
  <c r="P20" i="73"/>
  <c r="L20" i="73"/>
  <c r="H20" i="73"/>
  <c r="N20" i="73" s="1"/>
  <c r="D20" i="73"/>
  <c r="T18" i="73"/>
  <c r="P18" i="73"/>
  <c r="X18" i="73" s="1"/>
  <c r="Z18" i="73" s="1"/>
  <c r="L18" i="73"/>
  <c r="H18" i="73"/>
  <c r="D18" i="73"/>
  <c r="B18" i="73"/>
  <c r="T17" i="73"/>
  <c r="P17" i="73"/>
  <c r="X17" i="73" s="1"/>
  <c r="Z17" i="73" s="1"/>
  <c r="H17" i="73"/>
  <c r="L17" i="73" s="1"/>
  <c r="N17" i="73" s="1"/>
  <c r="D17" i="73"/>
  <c r="B17" i="73"/>
  <c r="T16" i="73"/>
  <c r="P16" i="73"/>
  <c r="X16" i="73" s="1"/>
  <c r="Z16" i="73" s="1"/>
  <c r="L16" i="73"/>
  <c r="H16" i="73"/>
  <c r="N16" i="73" s="1"/>
  <c r="D16" i="73"/>
  <c r="B16" i="73"/>
  <c r="T15" i="73"/>
  <c r="Z15" i="73" s="1"/>
  <c r="P15" i="73"/>
  <c r="X15" i="73" s="1"/>
  <c r="H15" i="73"/>
  <c r="D15" i="73"/>
  <c r="B15" i="73"/>
  <c r="X14" i="73"/>
  <c r="T14" i="73"/>
  <c r="Z14" i="73" s="1"/>
  <c r="P14" i="73"/>
  <c r="P12" i="73" s="1"/>
  <c r="R21" i="73" s="1"/>
  <c r="H14" i="73"/>
  <c r="D14" i="73"/>
  <c r="L14" i="73" s="1"/>
  <c r="B14" i="73"/>
  <c r="T13" i="73"/>
  <c r="P13" i="73"/>
  <c r="N13" i="73"/>
  <c r="L13" i="73"/>
  <c r="H13" i="73"/>
  <c r="D13" i="73"/>
  <c r="B13" i="73"/>
  <c r="H12" i="73"/>
  <c r="J26" i="73" s="1"/>
  <c r="D6" i="73"/>
  <c r="D4" i="73"/>
  <c r="Z112" i="71"/>
  <c r="X112" i="71"/>
  <c r="R112" i="71"/>
  <c r="L112" i="71"/>
  <c r="N112" i="71" s="1"/>
  <c r="T108" i="71"/>
  <c r="P108" i="71"/>
  <c r="L108" i="71"/>
  <c r="H108" i="71"/>
  <c r="N108" i="71" s="1"/>
  <c r="D108" i="71"/>
  <c r="D106" i="71" s="1"/>
  <c r="L106" i="71" s="1"/>
  <c r="B108" i="71"/>
  <c r="X107" i="71"/>
  <c r="T107" i="71"/>
  <c r="Z107" i="71" s="1"/>
  <c r="P107" i="71"/>
  <c r="H107" i="71"/>
  <c r="H106" i="71" s="1"/>
  <c r="D107" i="71"/>
  <c r="B107" i="71"/>
  <c r="P106" i="71"/>
  <c r="X104" i="71"/>
  <c r="Z104" i="71" s="1"/>
  <c r="L104" i="71"/>
  <c r="N104" i="71" s="1"/>
  <c r="B104" i="71"/>
  <c r="T103" i="71"/>
  <c r="P103" i="71"/>
  <c r="X103" i="71" s="1"/>
  <c r="Z103" i="71" s="1"/>
  <c r="H103" i="71"/>
  <c r="D103" i="71"/>
  <c r="L103" i="71" s="1"/>
  <c r="N103" i="71" s="1"/>
  <c r="B103" i="71"/>
  <c r="X102" i="71"/>
  <c r="Z102" i="71" s="1"/>
  <c r="N102" i="71"/>
  <c r="L102" i="71"/>
  <c r="F102" i="71"/>
  <c r="B102" i="71"/>
  <c r="X101" i="71"/>
  <c r="Z101" i="71" s="1"/>
  <c r="T101" i="71"/>
  <c r="P101" i="71"/>
  <c r="N101" i="71"/>
  <c r="L101" i="71"/>
  <c r="H101" i="71"/>
  <c r="F101" i="71"/>
  <c r="D101" i="71"/>
  <c r="B101" i="71"/>
  <c r="Z100" i="71"/>
  <c r="X100" i="71"/>
  <c r="L100" i="71"/>
  <c r="N100" i="71" s="1"/>
  <c r="B100" i="71"/>
  <c r="Z99" i="71"/>
  <c r="X99" i="71"/>
  <c r="N99" i="71"/>
  <c r="L99" i="71"/>
  <c r="B99" i="71"/>
  <c r="T98" i="71"/>
  <c r="P98" i="71"/>
  <c r="X98" i="71" s="1"/>
  <c r="H98" i="71"/>
  <c r="D98" i="71"/>
  <c r="L98" i="71" s="1"/>
  <c r="N98" i="71" s="1"/>
  <c r="B98" i="71"/>
  <c r="Z97" i="71"/>
  <c r="X97" i="71"/>
  <c r="L97" i="71"/>
  <c r="N97" i="71" s="1"/>
  <c r="B97" i="71"/>
  <c r="X96" i="71"/>
  <c r="Z96" i="71" s="1"/>
  <c r="L96" i="71"/>
  <c r="N96" i="71" s="1"/>
  <c r="B96" i="71"/>
  <c r="Z95" i="71"/>
  <c r="X95" i="71"/>
  <c r="N95" i="71"/>
  <c r="L95" i="71"/>
  <c r="B95" i="71"/>
  <c r="X94" i="71"/>
  <c r="T94" i="71"/>
  <c r="Z94" i="71" s="1"/>
  <c r="P94" i="71"/>
  <c r="H94" i="71"/>
  <c r="D94" i="71"/>
  <c r="L94" i="71" s="1"/>
  <c r="N94" i="71" s="1"/>
  <c r="B94" i="71"/>
  <c r="X93" i="71"/>
  <c r="Z93" i="71" s="1"/>
  <c r="L93" i="71"/>
  <c r="N93" i="71" s="1"/>
  <c r="B93" i="71"/>
  <c r="X92" i="71"/>
  <c r="T92" i="71"/>
  <c r="Z92" i="71" s="1"/>
  <c r="P92" i="71"/>
  <c r="H92" i="71"/>
  <c r="D92" i="71"/>
  <c r="B92" i="71"/>
  <c r="Z91" i="71"/>
  <c r="X91" i="71"/>
  <c r="N91" i="71"/>
  <c r="L91" i="71"/>
  <c r="B91" i="71"/>
  <c r="Z90" i="71"/>
  <c r="X90" i="71"/>
  <c r="R90" i="71"/>
  <c r="L90" i="71"/>
  <c r="N90" i="71" s="1"/>
  <c r="B90" i="71"/>
  <c r="X89" i="71"/>
  <c r="Z89" i="71" s="1"/>
  <c r="T89" i="71"/>
  <c r="P89" i="71"/>
  <c r="H89" i="71"/>
  <c r="L89" i="71" s="1"/>
  <c r="N89" i="71" s="1"/>
  <c r="D89" i="71"/>
  <c r="B89" i="71"/>
  <c r="X88" i="71"/>
  <c r="Z88" i="71" s="1"/>
  <c r="L88" i="71"/>
  <c r="N88" i="71" s="1"/>
  <c r="B88" i="71"/>
  <c r="T87" i="71"/>
  <c r="P87" i="71"/>
  <c r="X87" i="71" s="1"/>
  <c r="Z87" i="71" s="1"/>
  <c r="H87" i="71"/>
  <c r="D87" i="71"/>
  <c r="L87" i="71" s="1"/>
  <c r="N87" i="71" s="1"/>
  <c r="B87" i="71"/>
  <c r="X86" i="71"/>
  <c r="Z86" i="71" s="1"/>
  <c r="N86" i="71"/>
  <c r="L86" i="71"/>
  <c r="F86" i="71"/>
  <c r="B86" i="71"/>
  <c r="X85" i="71"/>
  <c r="Z85" i="71" s="1"/>
  <c r="T85" i="71"/>
  <c r="P85" i="71"/>
  <c r="N85" i="71"/>
  <c r="L85" i="71"/>
  <c r="H85" i="71"/>
  <c r="F85" i="71"/>
  <c r="D85" i="71"/>
  <c r="B85" i="71"/>
  <c r="Z84" i="71"/>
  <c r="X84" i="71"/>
  <c r="L84" i="71"/>
  <c r="N84" i="71" s="1"/>
  <c r="B84" i="71"/>
  <c r="Z83" i="71"/>
  <c r="X83" i="71"/>
  <c r="N83" i="71"/>
  <c r="L83" i="71"/>
  <c r="B83" i="71"/>
  <c r="T82" i="71"/>
  <c r="P82" i="71"/>
  <c r="X82" i="71" s="1"/>
  <c r="H82" i="71"/>
  <c r="D82" i="71"/>
  <c r="L82" i="71" s="1"/>
  <c r="N82" i="71" s="1"/>
  <c r="B82" i="71"/>
  <c r="Z81" i="71"/>
  <c r="X81" i="71"/>
  <c r="L81" i="71"/>
  <c r="N81" i="71" s="1"/>
  <c r="B81" i="71"/>
  <c r="T80" i="71"/>
  <c r="P80" i="71"/>
  <c r="X80" i="71" s="1"/>
  <c r="Z80" i="71" s="1"/>
  <c r="H80" i="71"/>
  <c r="L80" i="71" s="1"/>
  <c r="D80" i="71"/>
  <c r="B80" i="71"/>
  <c r="Z79" i="71"/>
  <c r="X79" i="71"/>
  <c r="N79" i="71"/>
  <c r="L79" i="71"/>
  <c r="B79" i="71"/>
  <c r="T78" i="71"/>
  <c r="P78" i="71"/>
  <c r="L78" i="71"/>
  <c r="H78" i="71"/>
  <c r="D78" i="71"/>
  <c r="B78" i="71"/>
  <c r="X77" i="71"/>
  <c r="Z77" i="71" s="1"/>
  <c r="N77" i="71"/>
  <c r="L77" i="71"/>
  <c r="B77" i="71"/>
  <c r="Z76" i="71"/>
  <c r="X76" i="71"/>
  <c r="L76" i="71"/>
  <c r="N76" i="71" s="1"/>
  <c r="B76" i="71"/>
  <c r="Z75" i="71"/>
  <c r="T75" i="71"/>
  <c r="X75" i="71" s="1"/>
  <c r="P75" i="71"/>
  <c r="L75" i="71"/>
  <c r="N75" i="71" s="1"/>
  <c r="H75" i="71"/>
  <c r="D75" i="71"/>
  <c r="B75" i="71"/>
  <c r="X74" i="71"/>
  <c r="Z74" i="71" s="1"/>
  <c r="L74" i="71"/>
  <c r="N74" i="71" s="1"/>
  <c r="B74" i="71"/>
  <c r="T73" i="71"/>
  <c r="P73" i="71"/>
  <c r="X73" i="71" s="1"/>
  <c r="Z73" i="71" s="1"/>
  <c r="H73" i="71"/>
  <c r="D73" i="71"/>
  <c r="L73" i="71" s="1"/>
  <c r="N73" i="71" s="1"/>
  <c r="B73" i="71"/>
  <c r="X72" i="71"/>
  <c r="Z72" i="71" s="1"/>
  <c r="N72" i="71"/>
  <c r="L72" i="71"/>
  <c r="B72" i="71"/>
  <c r="Z71" i="71"/>
  <c r="X71" i="71"/>
  <c r="N71" i="71"/>
  <c r="L71" i="71"/>
  <c r="B71" i="71"/>
  <c r="X70" i="71"/>
  <c r="Z70" i="71" s="1"/>
  <c r="N70" i="71"/>
  <c r="L70" i="71"/>
  <c r="F70" i="71"/>
  <c r="B70" i="71"/>
  <c r="X69" i="71"/>
  <c r="Z69" i="71" s="1"/>
  <c r="L69" i="71"/>
  <c r="N69" i="71" s="1"/>
  <c r="B69" i="71"/>
  <c r="X68" i="71"/>
  <c r="Z68" i="71" s="1"/>
  <c r="N68" i="71"/>
  <c r="L68" i="71"/>
  <c r="B68" i="71"/>
  <c r="Z67" i="71"/>
  <c r="X67" i="71"/>
  <c r="T67" i="71"/>
  <c r="R67" i="71"/>
  <c r="P67" i="71"/>
  <c r="L67" i="71"/>
  <c r="N67" i="71" s="1"/>
  <c r="H67" i="71"/>
  <c r="D67" i="71"/>
  <c r="B67" i="71"/>
  <c r="Z66" i="71"/>
  <c r="X66" i="71"/>
  <c r="R66" i="71"/>
  <c r="L66" i="71"/>
  <c r="N66" i="71" s="1"/>
  <c r="B66" i="71"/>
  <c r="X65" i="71"/>
  <c r="Z65" i="71" s="1"/>
  <c r="N65" i="71"/>
  <c r="L65" i="71"/>
  <c r="B65" i="71"/>
  <c r="Z64" i="71"/>
  <c r="X64" i="71"/>
  <c r="L64" i="71"/>
  <c r="N64" i="71" s="1"/>
  <c r="B64" i="71"/>
  <c r="Z63" i="71"/>
  <c r="X63" i="71"/>
  <c r="N63" i="71"/>
  <c r="L63" i="71"/>
  <c r="B63" i="71"/>
  <c r="Z62" i="71"/>
  <c r="X62" i="71"/>
  <c r="R62" i="71"/>
  <c r="L62" i="71"/>
  <c r="N62" i="71" s="1"/>
  <c r="B62" i="71"/>
  <c r="X61" i="71"/>
  <c r="Z61" i="71" s="1"/>
  <c r="N61" i="71"/>
  <c r="L61" i="71"/>
  <c r="B61" i="71"/>
  <c r="Z60" i="71"/>
  <c r="X60" i="71"/>
  <c r="L60" i="71"/>
  <c r="N60" i="71" s="1"/>
  <c r="B60" i="71"/>
  <c r="Z59" i="71"/>
  <c r="X59" i="71"/>
  <c r="N59" i="71"/>
  <c r="L59" i="71"/>
  <c r="B59" i="71"/>
  <c r="Z58" i="71"/>
  <c r="X58" i="71"/>
  <c r="R58" i="71"/>
  <c r="L58" i="71"/>
  <c r="N58" i="71" s="1"/>
  <c r="B58" i="71"/>
  <c r="X57" i="71"/>
  <c r="Z57" i="71" s="1"/>
  <c r="T57" i="71"/>
  <c r="P57" i="71"/>
  <c r="N57" i="71"/>
  <c r="H57" i="71"/>
  <c r="L57" i="71" s="1"/>
  <c r="D57" i="71"/>
  <c r="B57" i="71"/>
  <c r="T56" i="71"/>
  <c r="P56" i="71"/>
  <c r="X56" i="71" s="1"/>
  <c r="Z56" i="71" s="1"/>
  <c r="H56" i="71"/>
  <c r="L56" i="71" s="1"/>
  <c r="D56" i="71"/>
  <c r="P54" i="71"/>
  <c r="X52" i="71"/>
  <c r="Z52" i="71" s="1"/>
  <c r="N52" i="71"/>
  <c r="L52" i="71"/>
  <c r="B52" i="71"/>
  <c r="Z51" i="71"/>
  <c r="X51" i="71"/>
  <c r="N51" i="71"/>
  <c r="L51" i="71"/>
  <c r="B51" i="71"/>
  <c r="X50" i="71"/>
  <c r="Z50" i="71" s="1"/>
  <c r="L50" i="71"/>
  <c r="N50" i="71" s="1"/>
  <c r="B50" i="71"/>
  <c r="Z49" i="71"/>
  <c r="X49" i="71"/>
  <c r="L49" i="71"/>
  <c r="N49" i="71" s="1"/>
  <c r="B49" i="71"/>
  <c r="X48" i="71"/>
  <c r="Z48" i="71" s="1"/>
  <c r="L48" i="71"/>
  <c r="N48" i="71" s="1"/>
  <c r="B48" i="71"/>
  <c r="Z47" i="71"/>
  <c r="X47" i="71"/>
  <c r="N47" i="71"/>
  <c r="L47" i="71"/>
  <c r="B47" i="71"/>
  <c r="X46" i="71"/>
  <c r="Z46" i="71" s="1"/>
  <c r="L46" i="71"/>
  <c r="N46" i="71" s="1"/>
  <c r="B46" i="71"/>
  <c r="Z45" i="71"/>
  <c r="X45" i="71"/>
  <c r="L45" i="71"/>
  <c r="N45" i="71" s="1"/>
  <c r="B45" i="71"/>
  <c r="X44" i="71"/>
  <c r="Z44" i="71" s="1"/>
  <c r="L44" i="71"/>
  <c r="N44" i="71" s="1"/>
  <c r="B44" i="71"/>
  <c r="Z43" i="71"/>
  <c r="X43" i="71"/>
  <c r="N43" i="71"/>
  <c r="L43" i="71"/>
  <c r="B43" i="71"/>
  <c r="X42" i="71"/>
  <c r="Z42" i="71" s="1"/>
  <c r="L42" i="71"/>
  <c r="N42" i="71" s="1"/>
  <c r="B42" i="71"/>
  <c r="Z41" i="71"/>
  <c r="X41" i="71"/>
  <c r="L41" i="71"/>
  <c r="N41" i="71" s="1"/>
  <c r="B41" i="71"/>
  <c r="X40" i="71"/>
  <c r="Z40" i="71" s="1"/>
  <c r="L40" i="71"/>
  <c r="N40" i="71" s="1"/>
  <c r="B40" i="71"/>
  <c r="Z39" i="71"/>
  <c r="X39" i="71"/>
  <c r="N39" i="71"/>
  <c r="L39" i="71"/>
  <c r="B39" i="71"/>
  <c r="X38" i="71"/>
  <c r="Z38" i="71" s="1"/>
  <c r="L38" i="71"/>
  <c r="N38" i="71" s="1"/>
  <c r="B38" i="71"/>
  <c r="T37" i="71"/>
  <c r="P37" i="71"/>
  <c r="X37" i="71" s="1"/>
  <c r="Z37" i="71" s="1"/>
  <c r="H37" i="71"/>
  <c r="D37" i="71"/>
  <c r="L37" i="71" s="1"/>
  <c r="N37" i="71" s="1"/>
  <c r="T35" i="71"/>
  <c r="P35" i="71"/>
  <c r="X35" i="71" s="1"/>
  <c r="H35" i="71"/>
  <c r="D35" i="71"/>
  <c r="B35" i="71"/>
  <c r="X34" i="71"/>
  <c r="Z34" i="71" s="1"/>
  <c r="T34" i="71"/>
  <c r="P34" i="71"/>
  <c r="L34" i="71"/>
  <c r="H34" i="71"/>
  <c r="N34" i="71" s="1"/>
  <c r="D34" i="71"/>
  <c r="B34" i="71"/>
  <c r="T33" i="71"/>
  <c r="P33" i="71"/>
  <c r="X33" i="71" s="1"/>
  <c r="Z33" i="71" s="1"/>
  <c r="H33" i="71"/>
  <c r="L33" i="71" s="1"/>
  <c r="N33" i="71" s="1"/>
  <c r="D33" i="71"/>
  <c r="B33" i="71"/>
  <c r="T32" i="71"/>
  <c r="P32" i="71"/>
  <c r="X32" i="71" s="1"/>
  <c r="H32" i="71"/>
  <c r="D32" i="71"/>
  <c r="L32" i="71" s="1"/>
  <c r="B32" i="71"/>
  <c r="T31" i="71"/>
  <c r="P31" i="71"/>
  <c r="X31" i="71" s="1"/>
  <c r="H31" i="71"/>
  <c r="N31" i="71" s="1"/>
  <c r="D31" i="71"/>
  <c r="B31" i="71"/>
  <c r="X30" i="71"/>
  <c r="Z30" i="71" s="1"/>
  <c r="T30" i="71"/>
  <c r="P30" i="71"/>
  <c r="L30" i="71"/>
  <c r="H30" i="71"/>
  <c r="D30" i="71"/>
  <c r="B30" i="71"/>
  <c r="T29" i="71"/>
  <c r="P29" i="71"/>
  <c r="X29" i="71" s="1"/>
  <c r="Z29" i="71" s="1"/>
  <c r="N29" i="71"/>
  <c r="L29" i="71"/>
  <c r="H29" i="71"/>
  <c r="D29" i="71"/>
  <c r="B29" i="71"/>
  <c r="T28" i="71"/>
  <c r="P28" i="71"/>
  <c r="X28" i="71" s="1"/>
  <c r="H28" i="71"/>
  <c r="D28" i="71"/>
  <c r="L28" i="71" s="1"/>
  <c r="B28" i="71"/>
  <c r="T27" i="71"/>
  <c r="P27" i="71"/>
  <c r="X27" i="71" s="1"/>
  <c r="H27" i="71"/>
  <c r="D27" i="71"/>
  <c r="B27" i="71"/>
  <c r="X26" i="71"/>
  <c r="Z26" i="71" s="1"/>
  <c r="T26" i="71"/>
  <c r="P26" i="71"/>
  <c r="L26" i="71"/>
  <c r="H26" i="71"/>
  <c r="D26" i="71"/>
  <c r="B26" i="71"/>
  <c r="T25" i="71"/>
  <c r="P25" i="71"/>
  <c r="X25" i="71" s="1"/>
  <c r="Z25" i="71" s="1"/>
  <c r="N25" i="71"/>
  <c r="L25" i="71"/>
  <c r="H25" i="71"/>
  <c r="D25" i="71"/>
  <c r="B25" i="71"/>
  <c r="T24" i="71"/>
  <c r="P24" i="71"/>
  <c r="X24" i="71" s="1"/>
  <c r="H24" i="71"/>
  <c r="D24" i="71"/>
  <c r="L24" i="71" s="1"/>
  <c r="B24" i="71"/>
  <c r="T23" i="71"/>
  <c r="P23" i="71"/>
  <c r="X23" i="71" s="1"/>
  <c r="L23" i="71"/>
  <c r="H23" i="71"/>
  <c r="N23" i="71" s="1"/>
  <c r="D23" i="71"/>
  <c r="B23" i="71"/>
  <c r="X22" i="71"/>
  <c r="Z22" i="71" s="1"/>
  <c r="T22" i="71"/>
  <c r="P22" i="71"/>
  <c r="L22" i="71"/>
  <c r="H22" i="71"/>
  <c r="N22" i="71" s="1"/>
  <c r="D22" i="71"/>
  <c r="B22" i="71"/>
  <c r="T21" i="71"/>
  <c r="P21" i="71"/>
  <c r="X21" i="71" s="1"/>
  <c r="Z21" i="71" s="1"/>
  <c r="N21" i="71"/>
  <c r="L21" i="71"/>
  <c r="H21" i="71"/>
  <c r="D21" i="71"/>
  <c r="B21" i="71"/>
  <c r="T20" i="71"/>
  <c r="Z20" i="71" s="1"/>
  <c r="P20" i="71"/>
  <c r="X20" i="71" s="1"/>
  <c r="H20" i="71"/>
  <c r="D20" i="71"/>
  <c r="L20" i="71" s="1"/>
  <c r="B20" i="71"/>
  <c r="T19" i="71"/>
  <c r="P19" i="71"/>
  <c r="L19" i="71"/>
  <c r="H19" i="71"/>
  <c r="N19" i="71" s="1"/>
  <c r="D19" i="71"/>
  <c r="B19" i="71"/>
  <c r="X18" i="71"/>
  <c r="Z18" i="71" s="1"/>
  <c r="T18" i="71"/>
  <c r="P18" i="71"/>
  <c r="L18" i="71"/>
  <c r="H18" i="71"/>
  <c r="N18" i="71" s="1"/>
  <c r="D18" i="71"/>
  <c r="B18" i="71"/>
  <c r="T17" i="71"/>
  <c r="P17" i="71"/>
  <c r="X17" i="71" s="1"/>
  <c r="N17" i="71"/>
  <c r="L17" i="71"/>
  <c r="H17" i="71"/>
  <c r="D17" i="71"/>
  <c r="B17" i="71"/>
  <c r="T16" i="71"/>
  <c r="P16" i="71"/>
  <c r="X16" i="71" s="1"/>
  <c r="H16" i="71"/>
  <c r="D16" i="71"/>
  <c r="L16" i="71" s="1"/>
  <c r="B16" i="71"/>
  <c r="T15" i="71"/>
  <c r="P15" i="71"/>
  <c r="X15" i="71" s="1"/>
  <c r="L15" i="71"/>
  <c r="H15" i="71"/>
  <c r="N15" i="71" s="1"/>
  <c r="D15" i="71"/>
  <c r="B15" i="71"/>
  <c r="X14" i="71"/>
  <c r="Z14" i="71" s="1"/>
  <c r="T14" i="71"/>
  <c r="P14" i="71"/>
  <c r="L14" i="71"/>
  <c r="H14" i="71"/>
  <c r="N14" i="71" s="1"/>
  <c r="D14" i="71"/>
  <c r="B14" i="71"/>
  <c r="T13" i="71"/>
  <c r="Z13" i="71" s="1"/>
  <c r="P13" i="71"/>
  <c r="X13" i="71" s="1"/>
  <c r="N13" i="71"/>
  <c r="L13" i="71"/>
  <c r="H13" i="71"/>
  <c r="D13" i="71"/>
  <c r="B13" i="71"/>
  <c r="P12" i="71"/>
  <c r="R73" i="71" s="1"/>
  <c r="D12" i="71"/>
  <c r="F104" i="71" s="1"/>
  <c r="D6" i="71"/>
  <c r="D4" i="71"/>
  <c r="X69" i="70"/>
  <c r="Z69" i="70" s="1"/>
  <c r="N69" i="70"/>
  <c r="L69" i="70"/>
  <c r="Z65" i="70"/>
  <c r="T65" i="70"/>
  <c r="P65" i="70"/>
  <c r="X65" i="70" s="1"/>
  <c r="H65" i="70"/>
  <c r="N65" i="70" s="1"/>
  <c r="D65" i="70"/>
  <c r="L65" i="70" s="1"/>
  <c r="X63" i="70"/>
  <c r="Z63" i="70" s="1"/>
  <c r="L63" i="70"/>
  <c r="N63" i="70" s="1"/>
  <c r="B63" i="70"/>
  <c r="T62" i="70"/>
  <c r="P62" i="70"/>
  <c r="X62" i="70" s="1"/>
  <c r="Z62" i="70" s="1"/>
  <c r="H62" i="70"/>
  <c r="D62" i="70"/>
  <c r="L62" i="70" s="1"/>
  <c r="N62" i="70" s="1"/>
  <c r="B62" i="70"/>
  <c r="X61" i="70"/>
  <c r="Z61" i="70" s="1"/>
  <c r="N61" i="70"/>
  <c r="L61" i="70"/>
  <c r="B61" i="70"/>
  <c r="X60" i="70"/>
  <c r="Z60" i="70" s="1"/>
  <c r="N60" i="70"/>
  <c r="L60" i="70"/>
  <c r="B60" i="70"/>
  <c r="X59" i="70"/>
  <c r="Z59" i="70" s="1"/>
  <c r="N59" i="70"/>
  <c r="L59" i="70"/>
  <c r="B59" i="70"/>
  <c r="Z58" i="70"/>
  <c r="X58" i="70"/>
  <c r="N58" i="70"/>
  <c r="L58" i="70"/>
  <c r="B58" i="70"/>
  <c r="X57" i="70"/>
  <c r="Z57" i="70" s="1"/>
  <c r="N57" i="70"/>
  <c r="L57" i="70"/>
  <c r="B57" i="70"/>
  <c r="X56" i="70"/>
  <c r="Z56" i="70" s="1"/>
  <c r="N56" i="70"/>
  <c r="L56" i="70"/>
  <c r="B56" i="70"/>
  <c r="X55" i="70"/>
  <c r="T55" i="70"/>
  <c r="P55" i="70"/>
  <c r="L55" i="70"/>
  <c r="H55" i="70"/>
  <c r="N55" i="70" s="1"/>
  <c r="D55" i="70"/>
  <c r="B55" i="70"/>
  <c r="Z54" i="70"/>
  <c r="X54" i="70"/>
  <c r="N54" i="70"/>
  <c r="L54" i="70"/>
  <c r="B54" i="70"/>
  <c r="T53" i="70"/>
  <c r="P53" i="70"/>
  <c r="N53" i="70"/>
  <c r="H53" i="70"/>
  <c r="D53" i="70"/>
  <c r="L53" i="70" s="1"/>
  <c r="B53" i="70"/>
  <c r="Z52" i="70"/>
  <c r="X52" i="70"/>
  <c r="L52" i="70"/>
  <c r="N52" i="70" s="1"/>
  <c r="B52" i="70"/>
  <c r="X51" i="70"/>
  <c r="Z51" i="70" s="1"/>
  <c r="L51" i="70"/>
  <c r="N51" i="70" s="1"/>
  <c r="B51" i="70"/>
  <c r="T50" i="70"/>
  <c r="P50" i="70"/>
  <c r="X50" i="70" s="1"/>
  <c r="Z50" i="70" s="1"/>
  <c r="H50" i="70"/>
  <c r="D50" i="70"/>
  <c r="L50" i="70" s="1"/>
  <c r="N50" i="70" s="1"/>
  <c r="B50" i="70"/>
  <c r="X49" i="70"/>
  <c r="Z49" i="70" s="1"/>
  <c r="N49" i="70"/>
  <c r="L49" i="70"/>
  <c r="B49" i="70"/>
  <c r="X48" i="70"/>
  <c r="Z48" i="70" s="1"/>
  <c r="T48" i="70"/>
  <c r="P48" i="70"/>
  <c r="N48" i="70"/>
  <c r="L48" i="70"/>
  <c r="H48" i="70"/>
  <c r="D48" i="70"/>
  <c r="B48" i="70"/>
  <c r="Z47" i="70"/>
  <c r="X47" i="70"/>
  <c r="N47" i="70"/>
  <c r="L47" i="70"/>
  <c r="B47" i="70"/>
  <c r="Z46" i="70"/>
  <c r="T46" i="70"/>
  <c r="X46" i="70" s="1"/>
  <c r="P46" i="70"/>
  <c r="N46" i="70"/>
  <c r="L46" i="70"/>
  <c r="H46" i="70"/>
  <c r="D46" i="70"/>
  <c r="B46" i="70"/>
  <c r="Z45" i="70"/>
  <c r="X45" i="70"/>
  <c r="N45" i="70"/>
  <c r="L45" i="70"/>
  <c r="B45" i="70"/>
  <c r="Z44" i="70"/>
  <c r="T44" i="70"/>
  <c r="P44" i="70"/>
  <c r="X44" i="70" s="1"/>
  <c r="N44" i="70"/>
  <c r="H44" i="70"/>
  <c r="D44" i="70"/>
  <c r="L44" i="70" s="1"/>
  <c r="B44" i="70"/>
  <c r="X43" i="70"/>
  <c r="Z43" i="70" s="1"/>
  <c r="N43" i="70"/>
  <c r="L43" i="70"/>
  <c r="B43" i="70"/>
  <c r="Z42" i="70"/>
  <c r="X42" i="70"/>
  <c r="T42" i="70"/>
  <c r="R42" i="70"/>
  <c r="P42" i="70"/>
  <c r="L42" i="70"/>
  <c r="N42" i="70" s="1"/>
  <c r="H42" i="70"/>
  <c r="D42" i="70"/>
  <c r="B42" i="70"/>
  <c r="Z41" i="70"/>
  <c r="X41" i="70"/>
  <c r="R41" i="70"/>
  <c r="L41" i="70"/>
  <c r="N41" i="70" s="1"/>
  <c r="B41" i="70"/>
  <c r="Z40" i="70"/>
  <c r="X40" i="70"/>
  <c r="T40" i="70"/>
  <c r="P40" i="70"/>
  <c r="H40" i="70"/>
  <c r="L40" i="70" s="1"/>
  <c r="N40" i="70" s="1"/>
  <c r="D40" i="70"/>
  <c r="B40" i="70"/>
  <c r="X39" i="70"/>
  <c r="Z39" i="70" s="1"/>
  <c r="L39" i="70"/>
  <c r="N39" i="70" s="1"/>
  <c r="B39" i="70"/>
  <c r="T38" i="70"/>
  <c r="P38" i="70"/>
  <c r="X38" i="70" s="1"/>
  <c r="Z38" i="70" s="1"/>
  <c r="H38" i="70"/>
  <c r="D38" i="70"/>
  <c r="L38" i="70" s="1"/>
  <c r="N38" i="70" s="1"/>
  <c r="B38" i="70"/>
  <c r="X37" i="70"/>
  <c r="Z37" i="70" s="1"/>
  <c r="N37" i="70"/>
  <c r="L37" i="70"/>
  <c r="F37" i="70"/>
  <c r="B37" i="70"/>
  <c r="X36" i="70"/>
  <c r="Z36" i="70" s="1"/>
  <c r="N36" i="70"/>
  <c r="L36" i="70"/>
  <c r="B36" i="70"/>
  <c r="X35" i="70"/>
  <c r="Z35" i="70" s="1"/>
  <c r="N35" i="70"/>
  <c r="L35" i="70"/>
  <c r="B35" i="70"/>
  <c r="Z34" i="70"/>
  <c r="X34" i="70"/>
  <c r="N34" i="70"/>
  <c r="L34" i="70"/>
  <c r="B34" i="70"/>
  <c r="X33" i="70"/>
  <c r="Z33" i="70" s="1"/>
  <c r="N33" i="70"/>
  <c r="L33" i="70"/>
  <c r="B33" i="70"/>
  <c r="X32" i="70"/>
  <c r="Z32" i="70" s="1"/>
  <c r="T32" i="70"/>
  <c r="P32" i="70"/>
  <c r="N32" i="70"/>
  <c r="L32" i="70"/>
  <c r="H32" i="70"/>
  <c r="D32" i="70"/>
  <c r="B32" i="70"/>
  <c r="Z31" i="70"/>
  <c r="X31" i="70"/>
  <c r="L31" i="70"/>
  <c r="N31" i="70" s="1"/>
  <c r="B31" i="70"/>
  <c r="Z30" i="70"/>
  <c r="X30" i="70"/>
  <c r="N30" i="70"/>
  <c r="L30" i="70"/>
  <c r="B30" i="70"/>
  <c r="Z29" i="70"/>
  <c r="X29" i="70"/>
  <c r="R29" i="70"/>
  <c r="L29" i="70"/>
  <c r="N29" i="70" s="1"/>
  <c r="B29" i="70"/>
  <c r="Z28" i="70"/>
  <c r="X28" i="70"/>
  <c r="N28" i="70"/>
  <c r="L28" i="70"/>
  <c r="B28" i="70"/>
  <c r="Z27" i="70"/>
  <c r="X27" i="70"/>
  <c r="R27" i="70"/>
  <c r="L27" i="70"/>
  <c r="N27" i="70" s="1"/>
  <c r="B27" i="70"/>
  <c r="Z26" i="70"/>
  <c r="X26" i="70"/>
  <c r="N26" i="70"/>
  <c r="L26" i="70"/>
  <c r="B26" i="70"/>
  <c r="Z25" i="70"/>
  <c r="X25" i="70"/>
  <c r="R25" i="70"/>
  <c r="L25" i="70"/>
  <c r="N25" i="70" s="1"/>
  <c r="B25" i="70"/>
  <c r="Z24" i="70"/>
  <c r="X24" i="70"/>
  <c r="N24" i="70"/>
  <c r="L24" i="70"/>
  <c r="B24" i="70"/>
  <c r="T23" i="70"/>
  <c r="Z23" i="70" s="1"/>
  <c r="P23" i="70"/>
  <c r="X23" i="70" s="1"/>
  <c r="H23" i="70"/>
  <c r="D23" i="70"/>
  <c r="B23" i="70"/>
  <c r="T22" i="70"/>
  <c r="R22" i="70"/>
  <c r="P22" i="70"/>
  <c r="X22" i="70" s="1"/>
  <c r="Z22" i="70" s="1"/>
  <c r="H22" i="70"/>
  <c r="D22" i="70"/>
  <c r="L22" i="70" s="1"/>
  <c r="N22" i="70" s="1"/>
  <c r="D20" i="70"/>
  <c r="Z18" i="70"/>
  <c r="X18" i="70"/>
  <c r="N18" i="70"/>
  <c r="L18" i="70"/>
  <c r="B18" i="70"/>
  <c r="X17" i="70"/>
  <c r="Z17" i="70" s="1"/>
  <c r="R17" i="70"/>
  <c r="L17" i="70"/>
  <c r="N17" i="70" s="1"/>
  <c r="B17" i="70"/>
  <c r="T16" i="70"/>
  <c r="P16" i="70"/>
  <c r="X16" i="70" s="1"/>
  <c r="Z16" i="70" s="1"/>
  <c r="H16" i="70"/>
  <c r="D16" i="70"/>
  <c r="L16" i="70" s="1"/>
  <c r="N16" i="70" s="1"/>
  <c r="T14" i="70"/>
  <c r="P14" i="70"/>
  <c r="L14" i="70"/>
  <c r="H14" i="70"/>
  <c r="N14" i="70" s="1"/>
  <c r="D14" i="70"/>
  <c r="B14" i="70"/>
  <c r="X13" i="70"/>
  <c r="Z13" i="70" s="1"/>
  <c r="T13" i="70"/>
  <c r="P13" i="70"/>
  <c r="L13" i="70"/>
  <c r="H13" i="70"/>
  <c r="N13" i="70" s="1"/>
  <c r="D13" i="70"/>
  <c r="D12" i="70" s="1"/>
  <c r="F32" i="70" s="1"/>
  <c r="B13" i="70"/>
  <c r="P12" i="70"/>
  <c r="R69" i="70" s="1"/>
  <c r="D6" i="70"/>
  <c r="D4" i="70"/>
  <c r="X101" i="69"/>
  <c r="Z101" i="69" s="1"/>
  <c r="N101" i="69"/>
  <c r="L101" i="69"/>
  <c r="T97" i="69"/>
  <c r="Z97" i="69" s="1"/>
  <c r="P97" i="69"/>
  <c r="X97" i="69" s="1"/>
  <c r="N97" i="69"/>
  <c r="H97" i="69"/>
  <c r="D97" i="69"/>
  <c r="L97" i="69" s="1"/>
  <c r="Z95" i="69"/>
  <c r="X95" i="69"/>
  <c r="L95" i="69"/>
  <c r="N95" i="69" s="1"/>
  <c r="B95" i="69"/>
  <c r="T94" i="69"/>
  <c r="P94" i="69"/>
  <c r="X94" i="69" s="1"/>
  <c r="Z94" i="69" s="1"/>
  <c r="H94" i="69"/>
  <c r="D94" i="69"/>
  <c r="L94" i="69" s="1"/>
  <c r="B94" i="69"/>
  <c r="Z93" i="69"/>
  <c r="X93" i="69"/>
  <c r="N93" i="69"/>
  <c r="L93" i="69"/>
  <c r="B93" i="69"/>
  <c r="T92" i="69"/>
  <c r="P92" i="69"/>
  <c r="L92" i="69"/>
  <c r="H92" i="69"/>
  <c r="N92" i="69" s="1"/>
  <c r="D92" i="69"/>
  <c r="B92" i="69"/>
  <c r="Z91" i="69"/>
  <c r="X91" i="69"/>
  <c r="N91" i="69"/>
  <c r="L91" i="69"/>
  <c r="B91" i="69"/>
  <c r="Z90" i="69"/>
  <c r="X90" i="69"/>
  <c r="N90" i="69"/>
  <c r="L90" i="69"/>
  <c r="B90" i="69"/>
  <c r="Z89" i="69"/>
  <c r="T89" i="69"/>
  <c r="X89" i="69" s="1"/>
  <c r="P89" i="69"/>
  <c r="N89" i="69"/>
  <c r="L89" i="69"/>
  <c r="H89" i="69"/>
  <c r="D89" i="69"/>
  <c r="B89" i="69"/>
  <c r="X88" i="69"/>
  <c r="Z88" i="69" s="1"/>
  <c r="N88" i="69"/>
  <c r="L88" i="69"/>
  <c r="B88" i="69"/>
  <c r="T87" i="69"/>
  <c r="P87" i="69"/>
  <c r="X87" i="69" s="1"/>
  <c r="N87" i="69"/>
  <c r="H87" i="69"/>
  <c r="D87" i="69"/>
  <c r="L87" i="69" s="1"/>
  <c r="B87" i="69"/>
  <c r="X86" i="69"/>
  <c r="Z86" i="69" s="1"/>
  <c r="L86" i="69"/>
  <c r="N86" i="69" s="1"/>
  <c r="B86" i="69"/>
  <c r="Z85" i="69"/>
  <c r="X85" i="69"/>
  <c r="T85" i="69"/>
  <c r="P85" i="69"/>
  <c r="H85" i="69"/>
  <c r="D85" i="69"/>
  <c r="L85" i="69" s="1"/>
  <c r="N85" i="69" s="1"/>
  <c r="B85" i="69"/>
  <c r="Z84" i="69"/>
  <c r="X84" i="69"/>
  <c r="N84" i="69"/>
  <c r="L84" i="69"/>
  <c r="B84" i="69"/>
  <c r="Z83" i="69"/>
  <c r="X83" i="69"/>
  <c r="T83" i="69"/>
  <c r="P83" i="69"/>
  <c r="N83" i="69"/>
  <c r="H83" i="69"/>
  <c r="L83" i="69" s="1"/>
  <c r="D83" i="69"/>
  <c r="B83" i="69"/>
  <c r="Z82" i="69"/>
  <c r="X82" i="69"/>
  <c r="N82" i="69"/>
  <c r="L82" i="69"/>
  <c r="B82" i="69"/>
  <c r="Z81" i="69"/>
  <c r="X81" i="69"/>
  <c r="N81" i="69"/>
  <c r="L81" i="69"/>
  <c r="B81" i="69"/>
  <c r="T80" i="69"/>
  <c r="P80" i="69"/>
  <c r="X80" i="69" s="1"/>
  <c r="H80" i="69"/>
  <c r="D80" i="69"/>
  <c r="L80" i="69" s="1"/>
  <c r="N80" i="69" s="1"/>
  <c r="B80" i="69"/>
  <c r="X79" i="69"/>
  <c r="Z79" i="69" s="1"/>
  <c r="V79" i="69"/>
  <c r="N79" i="69"/>
  <c r="L79" i="69"/>
  <c r="B79" i="69"/>
  <c r="X78" i="69"/>
  <c r="T78" i="69"/>
  <c r="P78" i="69"/>
  <c r="L78" i="69"/>
  <c r="H78" i="69"/>
  <c r="D78" i="69"/>
  <c r="B78" i="69"/>
  <c r="Z77" i="69"/>
  <c r="X77" i="69"/>
  <c r="N77" i="69"/>
  <c r="L77" i="69"/>
  <c r="B77" i="69"/>
  <c r="T76" i="69"/>
  <c r="Z76" i="69" s="1"/>
  <c r="P76" i="69"/>
  <c r="N76" i="69"/>
  <c r="L76" i="69"/>
  <c r="H76" i="69"/>
  <c r="D76" i="69"/>
  <c r="B76" i="69"/>
  <c r="Z75" i="69"/>
  <c r="X75" i="69"/>
  <c r="L75" i="69"/>
  <c r="N75" i="69" s="1"/>
  <c r="B75" i="69"/>
  <c r="Z74" i="69"/>
  <c r="X74" i="69"/>
  <c r="L74" i="69"/>
  <c r="N74" i="69" s="1"/>
  <c r="B74" i="69"/>
  <c r="Z73" i="69"/>
  <c r="X73" i="69"/>
  <c r="N73" i="69"/>
  <c r="L73" i="69"/>
  <c r="B73" i="69"/>
  <c r="T72" i="69"/>
  <c r="P72" i="69"/>
  <c r="H72" i="69"/>
  <c r="D72" i="69"/>
  <c r="L72" i="69" s="1"/>
  <c r="N72" i="69" s="1"/>
  <c r="B72" i="69"/>
  <c r="X71" i="69"/>
  <c r="Z71" i="69" s="1"/>
  <c r="L71" i="69"/>
  <c r="N71" i="69" s="1"/>
  <c r="B71" i="69"/>
  <c r="X70" i="69"/>
  <c r="Z70" i="69" s="1"/>
  <c r="N70" i="69"/>
  <c r="L70" i="69"/>
  <c r="B70" i="69"/>
  <c r="Z69" i="69"/>
  <c r="X69" i="69"/>
  <c r="N69" i="69"/>
  <c r="L69" i="69"/>
  <c r="B69" i="69"/>
  <c r="X68" i="69"/>
  <c r="Z68" i="69" s="1"/>
  <c r="N68" i="69"/>
  <c r="L68" i="69"/>
  <c r="B68" i="69"/>
  <c r="X67" i="69"/>
  <c r="Z67" i="69" s="1"/>
  <c r="L67" i="69"/>
  <c r="N67" i="69" s="1"/>
  <c r="B67" i="69"/>
  <c r="X66" i="69"/>
  <c r="Z66" i="69" s="1"/>
  <c r="N66" i="69"/>
  <c r="L66" i="69"/>
  <c r="B66" i="69"/>
  <c r="Z65" i="69"/>
  <c r="X65" i="69"/>
  <c r="N65" i="69"/>
  <c r="L65" i="69"/>
  <c r="B65" i="69"/>
  <c r="X64" i="69"/>
  <c r="Z64" i="69" s="1"/>
  <c r="N64" i="69"/>
  <c r="L64" i="69"/>
  <c r="B64" i="69"/>
  <c r="X63" i="69"/>
  <c r="Z63" i="69" s="1"/>
  <c r="T63" i="69"/>
  <c r="P63" i="69"/>
  <c r="N63" i="69"/>
  <c r="L63" i="69"/>
  <c r="H63" i="69"/>
  <c r="D63" i="69"/>
  <c r="B63" i="69"/>
  <c r="T62" i="69"/>
  <c r="P62" i="69"/>
  <c r="X62" i="69" s="1"/>
  <c r="H62" i="69"/>
  <c r="D62" i="69"/>
  <c r="L62" i="69" s="1"/>
  <c r="X58" i="69"/>
  <c r="Z58" i="69" s="1"/>
  <c r="L58" i="69"/>
  <c r="N58" i="69" s="1"/>
  <c r="B58" i="69"/>
  <c r="Z57" i="69"/>
  <c r="X57" i="69"/>
  <c r="N57" i="69"/>
  <c r="L57" i="69"/>
  <c r="B57" i="69"/>
  <c r="Z56" i="69"/>
  <c r="X56" i="69"/>
  <c r="L56" i="69"/>
  <c r="N56" i="69" s="1"/>
  <c r="B56" i="69"/>
  <c r="X55" i="69"/>
  <c r="Z55" i="69" s="1"/>
  <c r="N55" i="69"/>
  <c r="L55" i="69"/>
  <c r="B55" i="69"/>
  <c r="Z54" i="69"/>
  <c r="X54" i="69"/>
  <c r="L54" i="69"/>
  <c r="N54" i="69" s="1"/>
  <c r="B54" i="69"/>
  <c r="Z53" i="69"/>
  <c r="X53" i="69"/>
  <c r="N53" i="69"/>
  <c r="L53" i="69"/>
  <c r="B53" i="69"/>
  <c r="Z52" i="69"/>
  <c r="X52" i="69"/>
  <c r="L52" i="69"/>
  <c r="N52" i="69" s="1"/>
  <c r="B52" i="69"/>
  <c r="X51" i="69"/>
  <c r="Z51" i="69" s="1"/>
  <c r="N51" i="69"/>
  <c r="L51" i="69"/>
  <c r="B51" i="69"/>
  <c r="X50" i="69"/>
  <c r="Z50" i="69" s="1"/>
  <c r="L50" i="69"/>
  <c r="N50" i="69" s="1"/>
  <c r="B50" i="69"/>
  <c r="Z49" i="69"/>
  <c r="X49" i="69"/>
  <c r="N49" i="69"/>
  <c r="L49" i="69"/>
  <c r="B49" i="69"/>
  <c r="Z48" i="69"/>
  <c r="X48" i="69"/>
  <c r="L48" i="69"/>
  <c r="N48" i="69" s="1"/>
  <c r="B48" i="69"/>
  <c r="X47" i="69"/>
  <c r="Z47" i="69" s="1"/>
  <c r="N47" i="69"/>
  <c r="L47" i="69"/>
  <c r="B47" i="69"/>
  <c r="X46" i="69"/>
  <c r="Z46" i="69" s="1"/>
  <c r="N46" i="69"/>
  <c r="L46" i="69"/>
  <c r="B46" i="69"/>
  <c r="Z45" i="69"/>
  <c r="X45" i="69"/>
  <c r="N45" i="69"/>
  <c r="L45" i="69"/>
  <c r="B45" i="69"/>
  <c r="Z44" i="69"/>
  <c r="X44" i="69"/>
  <c r="L44" i="69"/>
  <c r="N44" i="69" s="1"/>
  <c r="B44" i="69"/>
  <c r="X43" i="69"/>
  <c r="Z43" i="69" s="1"/>
  <c r="N43" i="69"/>
  <c r="L43" i="69"/>
  <c r="B43" i="69"/>
  <c r="Z42" i="69"/>
  <c r="X42" i="69"/>
  <c r="L42" i="69"/>
  <c r="N42" i="69" s="1"/>
  <c r="B42" i="69"/>
  <c r="Z41" i="69"/>
  <c r="X41" i="69"/>
  <c r="T41" i="69"/>
  <c r="P41" i="69"/>
  <c r="H41" i="69"/>
  <c r="D41" i="69"/>
  <c r="X39" i="69"/>
  <c r="T39" i="69"/>
  <c r="Z39" i="69" s="1"/>
  <c r="P39" i="69"/>
  <c r="H39" i="69"/>
  <c r="N39" i="69" s="1"/>
  <c r="D39" i="69"/>
  <c r="L39" i="69" s="1"/>
  <c r="B39" i="69"/>
  <c r="T38" i="69"/>
  <c r="P38" i="69"/>
  <c r="X38" i="69" s="1"/>
  <c r="Z38" i="69" s="1"/>
  <c r="H38" i="69"/>
  <c r="D38" i="69"/>
  <c r="L38" i="69" s="1"/>
  <c r="B38" i="69"/>
  <c r="T37" i="69"/>
  <c r="X37" i="69" s="1"/>
  <c r="P37" i="69"/>
  <c r="H37" i="69"/>
  <c r="N37" i="69" s="1"/>
  <c r="D37" i="69"/>
  <c r="L37" i="69" s="1"/>
  <c r="B37" i="69"/>
  <c r="T36" i="69"/>
  <c r="P36" i="69"/>
  <c r="X36" i="69" s="1"/>
  <c r="Z36" i="69" s="1"/>
  <c r="H36" i="69"/>
  <c r="D36" i="69"/>
  <c r="B36" i="69"/>
  <c r="T35" i="69"/>
  <c r="Z35" i="69" s="1"/>
  <c r="P35" i="69"/>
  <c r="X35" i="69" s="1"/>
  <c r="H35" i="69"/>
  <c r="D35" i="69"/>
  <c r="B35" i="69"/>
  <c r="T34" i="69"/>
  <c r="P34" i="69"/>
  <c r="X34" i="69" s="1"/>
  <c r="Z34" i="69" s="1"/>
  <c r="H34" i="69"/>
  <c r="N34" i="69" s="1"/>
  <c r="D34" i="69"/>
  <c r="L34" i="69" s="1"/>
  <c r="B34" i="69"/>
  <c r="X33" i="69"/>
  <c r="T33" i="69"/>
  <c r="P33" i="69"/>
  <c r="H33" i="69"/>
  <c r="D33" i="69"/>
  <c r="L33" i="69" s="1"/>
  <c r="B33" i="69"/>
  <c r="T32" i="69"/>
  <c r="P32" i="69"/>
  <c r="X32" i="69" s="1"/>
  <c r="Z32" i="69" s="1"/>
  <c r="H32" i="69"/>
  <c r="D32" i="69"/>
  <c r="L32" i="69" s="1"/>
  <c r="B32" i="69"/>
  <c r="T31" i="69"/>
  <c r="X31" i="69" s="1"/>
  <c r="P31" i="69"/>
  <c r="H31" i="69"/>
  <c r="N31" i="69" s="1"/>
  <c r="D31" i="69"/>
  <c r="L31" i="69" s="1"/>
  <c r="B31" i="69"/>
  <c r="X30" i="69"/>
  <c r="Z30" i="69" s="1"/>
  <c r="T30" i="69"/>
  <c r="P30" i="69"/>
  <c r="H30" i="69"/>
  <c r="L30" i="69" s="1"/>
  <c r="D30" i="69"/>
  <c r="B30" i="69"/>
  <c r="T29" i="69"/>
  <c r="P29" i="69"/>
  <c r="H29" i="69"/>
  <c r="D29" i="69"/>
  <c r="B29" i="69"/>
  <c r="X28" i="69"/>
  <c r="Z28" i="69" s="1"/>
  <c r="T28" i="69"/>
  <c r="P28" i="69"/>
  <c r="H28" i="69"/>
  <c r="D28" i="69"/>
  <c r="B28" i="69"/>
  <c r="T27" i="69"/>
  <c r="P27" i="69"/>
  <c r="X27" i="69" s="1"/>
  <c r="Z27" i="69" s="1"/>
  <c r="N27" i="69"/>
  <c r="H27" i="69"/>
  <c r="D27" i="69"/>
  <c r="L27" i="69" s="1"/>
  <c r="B27" i="69"/>
  <c r="T26" i="69"/>
  <c r="P26" i="69"/>
  <c r="X26" i="69" s="1"/>
  <c r="Z26" i="69" s="1"/>
  <c r="H26" i="69"/>
  <c r="D26" i="69"/>
  <c r="L26" i="69" s="1"/>
  <c r="N26" i="69" s="1"/>
  <c r="B26" i="69"/>
  <c r="T25" i="69"/>
  <c r="Z25" i="69" s="1"/>
  <c r="P25" i="69"/>
  <c r="X25" i="69" s="1"/>
  <c r="H25" i="69"/>
  <c r="D25" i="69"/>
  <c r="L25" i="69" s="1"/>
  <c r="N25" i="69" s="1"/>
  <c r="B25" i="69"/>
  <c r="T24" i="69"/>
  <c r="P24" i="69"/>
  <c r="X24" i="69" s="1"/>
  <c r="Z24" i="69" s="1"/>
  <c r="H24" i="69"/>
  <c r="N24" i="69" s="1"/>
  <c r="D24" i="69"/>
  <c r="L24" i="69" s="1"/>
  <c r="B24" i="69"/>
  <c r="X23" i="69"/>
  <c r="T23" i="69"/>
  <c r="Z23" i="69" s="1"/>
  <c r="P23" i="69"/>
  <c r="H23" i="69"/>
  <c r="N23" i="69" s="1"/>
  <c r="D23" i="69"/>
  <c r="L23" i="69" s="1"/>
  <c r="B23" i="69"/>
  <c r="T22" i="69"/>
  <c r="P22" i="69"/>
  <c r="X22" i="69" s="1"/>
  <c r="Z22" i="69" s="1"/>
  <c r="L22" i="69"/>
  <c r="H22" i="69"/>
  <c r="N22" i="69" s="1"/>
  <c r="D22" i="69"/>
  <c r="B22" i="69"/>
  <c r="X21" i="69"/>
  <c r="Z21" i="69" s="1"/>
  <c r="T21" i="69"/>
  <c r="P21" i="69"/>
  <c r="H21" i="69"/>
  <c r="N21" i="69" s="1"/>
  <c r="D21" i="69"/>
  <c r="L21" i="69" s="1"/>
  <c r="B21" i="69"/>
  <c r="Z20" i="69"/>
  <c r="X20" i="69"/>
  <c r="T20" i="69"/>
  <c r="P20" i="69"/>
  <c r="L20" i="69"/>
  <c r="N20" i="69" s="1"/>
  <c r="H20" i="69"/>
  <c r="D20" i="69"/>
  <c r="B20" i="69"/>
  <c r="T19" i="69"/>
  <c r="P19" i="69"/>
  <c r="X19" i="69" s="1"/>
  <c r="Z19" i="69" s="1"/>
  <c r="H19" i="69"/>
  <c r="D19" i="69"/>
  <c r="B19" i="69"/>
  <c r="T18" i="69"/>
  <c r="P18" i="69"/>
  <c r="X18" i="69" s="1"/>
  <c r="Z18" i="69" s="1"/>
  <c r="H18" i="69"/>
  <c r="D18" i="69"/>
  <c r="L18" i="69" s="1"/>
  <c r="N18" i="69" s="1"/>
  <c r="B18" i="69"/>
  <c r="T17" i="69"/>
  <c r="P17" i="69"/>
  <c r="X17" i="69" s="1"/>
  <c r="H17" i="69"/>
  <c r="N17" i="69" s="1"/>
  <c r="D17" i="69"/>
  <c r="L17" i="69" s="1"/>
  <c r="B17" i="69"/>
  <c r="T16" i="69"/>
  <c r="P16" i="69"/>
  <c r="X16" i="69" s="1"/>
  <c r="Z16" i="69" s="1"/>
  <c r="H16" i="69"/>
  <c r="N16" i="69" s="1"/>
  <c r="D16" i="69"/>
  <c r="L16" i="69" s="1"/>
  <c r="B16" i="69"/>
  <c r="T15" i="69"/>
  <c r="P15" i="69"/>
  <c r="X15" i="69" s="1"/>
  <c r="H15" i="69"/>
  <c r="D15" i="69"/>
  <c r="B15" i="69"/>
  <c r="X14" i="69"/>
  <c r="Z14" i="69" s="1"/>
  <c r="T14" i="69"/>
  <c r="P14" i="69"/>
  <c r="H14" i="69"/>
  <c r="D14" i="69"/>
  <c r="L14" i="69" s="1"/>
  <c r="B14" i="69"/>
  <c r="Z13" i="69"/>
  <c r="X13" i="69"/>
  <c r="T13" i="69"/>
  <c r="P13" i="69"/>
  <c r="H13" i="69"/>
  <c r="N13" i="69" s="1"/>
  <c r="D13" i="69"/>
  <c r="B13" i="69"/>
  <c r="T12" i="69"/>
  <c r="V72" i="69" s="1"/>
  <c r="D6" i="69"/>
  <c r="D4" i="69"/>
  <c r="Z54" i="68"/>
  <c r="X54" i="68"/>
  <c r="N54" i="68"/>
  <c r="L54" i="68"/>
  <c r="J54" i="68"/>
  <c r="F54" i="68"/>
  <c r="F52" i="68"/>
  <c r="T50" i="68"/>
  <c r="Z50" i="68" s="1"/>
  <c r="P50" i="68"/>
  <c r="X50" i="68" s="1"/>
  <c r="N50" i="68"/>
  <c r="H50" i="68"/>
  <c r="F50" i="68"/>
  <c r="D50" i="68"/>
  <c r="L50" i="68" s="1"/>
  <c r="Z48" i="68"/>
  <c r="X48" i="68"/>
  <c r="N48" i="68"/>
  <c r="L48" i="68"/>
  <c r="B48" i="68"/>
  <c r="X47" i="68"/>
  <c r="V47" i="68"/>
  <c r="T47" i="68"/>
  <c r="P47" i="68"/>
  <c r="N47" i="68"/>
  <c r="H47" i="68"/>
  <c r="D47" i="68"/>
  <c r="L47" i="68" s="1"/>
  <c r="B47" i="68"/>
  <c r="Z46" i="68"/>
  <c r="X46" i="68"/>
  <c r="L46" i="68"/>
  <c r="N46" i="68" s="1"/>
  <c r="B46" i="68"/>
  <c r="T45" i="68"/>
  <c r="P45" i="68"/>
  <c r="L45" i="68"/>
  <c r="N45" i="68" s="1"/>
  <c r="H45" i="68"/>
  <c r="D45" i="68"/>
  <c r="B45" i="68"/>
  <c r="Z44" i="68"/>
  <c r="X44" i="68"/>
  <c r="V44" i="68"/>
  <c r="N44" i="68"/>
  <c r="L44" i="68"/>
  <c r="F44" i="68"/>
  <c r="B44" i="68"/>
  <c r="X43" i="68"/>
  <c r="Z43" i="68" s="1"/>
  <c r="V43" i="68"/>
  <c r="R43" i="68"/>
  <c r="L43" i="68"/>
  <c r="N43" i="68" s="1"/>
  <c r="B43" i="68"/>
  <c r="X42" i="68"/>
  <c r="Z42" i="68" s="1"/>
  <c r="L42" i="68"/>
  <c r="N42" i="68" s="1"/>
  <c r="B42" i="68"/>
  <c r="Z41" i="68"/>
  <c r="X41" i="68"/>
  <c r="T41" i="68"/>
  <c r="P41" i="68"/>
  <c r="H41" i="68"/>
  <c r="N41" i="68" s="1"/>
  <c r="D41" i="68"/>
  <c r="L41" i="68" s="1"/>
  <c r="B41" i="68"/>
  <c r="Z40" i="68"/>
  <c r="X40" i="68"/>
  <c r="V40" i="68"/>
  <c r="L40" i="68"/>
  <c r="N40" i="68" s="1"/>
  <c r="F40" i="68"/>
  <c r="B40" i="68"/>
  <c r="X39" i="68"/>
  <c r="V39" i="68"/>
  <c r="T39" i="68"/>
  <c r="P39" i="68"/>
  <c r="H39" i="68"/>
  <c r="F39" i="68"/>
  <c r="D39" i="68"/>
  <c r="L39" i="68" s="1"/>
  <c r="N39" i="68" s="1"/>
  <c r="B39" i="68"/>
  <c r="Z38" i="68"/>
  <c r="X38" i="68"/>
  <c r="V38" i="68"/>
  <c r="L38" i="68"/>
  <c r="N38" i="68" s="1"/>
  <c r="B38" i="68"/>
  <c r="T37" i="68"/>
  <c r="P37" i="68"/>
  <c r="L37" i="68"/>
  <c r="N37" i="68" s="1"/>
  <c r="H37" i="68"/>
  <c r="D37" i="68"/>
  <c r="B37" i="68"/>
  <c r="Z36" i="68"/>
  <c r="X36" i="68"/>
  <c r="V36" i="68"/>
  <c r="N36" i="68"/>
  <c r="L36" i="68"/>
  <c r="F36" i="68"/>
  <c r="B36" i="68"/>
  <c r="V35" i="68"/>
  <c r="T35" i="68"/>
  <c r="Z35" i="68" s="1"/>
  <c r="P35" i="68"/>
  <c r="X35" i="68" s="1"/>
  <c r="N35" i="68"/>
  <c r="L35" i="68"/>
  <c r="H35" i="68"/>
  <c r="F35" i="68"/>
  <c r="D35" i="68"/>
  <c r="B35" i="68"/>
  <c r="X34" i="68"/>
  <c r="Z34" i="68" s="1"/>
  <c r="V34" i="68"/>
  <c r="N34" i="68"/>
  <c r="L34" i="68"/>
  <c r="B34" i="68"/>
  <c r="Z33" i="68"/>
  <c r="X33" i="68"/>
  <c r="L33" i="68"/>
  <c r="N33" i="68" s="1"/>
  <c r="F33" i="68"/>
  <c r="B33" i="68"/>
  <c r="Z32" i="68"/>
  <c r="X32" i="68"/>
  <c r="V32" i="68"/>
  <c r="R32" i="68"/>
  <c r="L32" i="68"/>
  <c r="N32" i="68" s="1"/>
  <c r="F32" i="68"/>
  <c r="B32" i="68"/>
  <c r="X31" i="68"/>
  <c r="Z31" i="68" s="1"/>
  <c r="V31" i="68"/>
  <c r="L31" i="68"/>
  <c r="N31" i="68" s="1"/>
  <c r="B31" i="68"/>
  <c r="X30" i="68"/>
  <c r="Z30" i="68" s="1"/>
  <c r="V30" i="68"/>
  <c r="N30" i="68"/>
  <c r="L30" i="68"/>
  <c r="B30" i="68"/>
  <c r="V29" i="68"/>
  <c r="T29" i="68"/>
  <c r="P29" i="68"/>
  <c r="X29" i="68" s="1"/>
  <c r="Z29" i="68" s="1"/>
  <c r="L29" i="68"/>
  <c r="H29" i="68"/>
  <c r="N29" i="68" s="1"/>
  <c r="D29" i="68"/>
  <c r="B29" i="68"/>
  <c r="X28" i="68"/>
  <c r="Z28" i="68" s="1"/>
  <c r="V28" i="68"/>
  <c r="N28" i="68"/>
  <c r="L28" i="68"/>
  <c r="J28" i="68"/>
  <c r="F28" i="68"/>
  <c r="B28" i="68"/>
  <c r="X27" i="68"/>
  <c r="Z27" i="68" s="1"/>
  <c r="V27" i="68"/>
  <c r="L27" i="68"/>
  <c r="N27" i="68" s="1"/>
  <c r="F27" i="68"/>
  <c r="B27" i="68"/>
  <c r="Z26" i="68"/>
  <c r="X26" i="68"/>
  <c r="V26" i="68"/>
  <c r="L26" i="68"/>
  <c r="N26" i="68" s="1"/>
  <c r="F26" i="68"/>
  <c r="B26" i="68"/>
  <c r="X25" i="68"/>
  <c r="Z25" i="68" s="1"/>
  <c r="R25" i="68"/>
  <c r="N25" i="68"/>
  <c r="L25" i="68"/>
  <c r="F25" i="68"/>
  <c r="B25" i="68"/>
  <c r="X24" i="68"/>
  <c r="Z24" i="68" s="1"/>
  <c r="V24" i="68"/>
  <c r="N24" i="68"/>
  <c r="L24" i="68"/>
  <c r="J24" i="68"/>
  <c r="F24" i="68"/>
  <c r="B24" i="68"/>
  <c r="X23" i="68"/>
  <c r="Z23" i="68" s="1"/>
  <c r="V23" i="68"/>
  <c r="L23" i="68"/>
  <c r="N23" i="68" s="1"/>
  <c r="F23" i="68"/>
  <c r="B23" i="68"/>
  <c r="Z22" i="68"/>
  <c r="X22" i="68"/>
  <c r="V22" i="68"/>
  <c r="L22" i="68"/>
  <c r="N22" i="68" s="1"/>
  <c r="F22" i="68"/>
  <c r="B22" i="68"/>
  <c r="X21" i="68"/>
  <c r="Z21" i="68" s="1"/>
  <c r="V21" i="68"/>
  <c r="R21" i="68"/>
  <c r="N21" i="68"/>
  <c r="L21" i="68"/>
  <c r="F21" i="68"/>
  <c r="B21" i="68"/>
  <c r="X20" i="68"/>
  <c r="Z20" i="68" s="1"/>
  <c r="V20" i="68"/>
  <c r="R20" i="68"/>
  <c r="N20" i="68"/>
  <c r="L20" i="68"/>
  <c r="J20" i="68"/>
  <c r="F20" i="68"/>
  <c r="B20" i="68"/>
  <c r="X19" i="68"/>
  <c r="Z19" i="68" s="1"/>
  <c r="V19" i="68"/>
  <c r="T19" i="68"/>
  <c r="P19" i="68"/>
  <c r="H19" i="68"/>
  <c r="F19" i="68"/>
  <c r="D19" i="68"/>
  <c r="B19" i="68"/>
  <c r="X18" i="68"/>
  <c r="Z18" i="68" s="1"/>
  <c r="T18" i="68"/>
  <c r="P18" i="68"/>
  <c r="J18" i="68"/>
  <c r="H18" i="68"/>
  <c r="F18" i="68"/>
  <c r="D18" i="68"/>
  <c r="L18" i="68" s="1"/>
  <c r="N18" i="68" s="1"/>
  <c r="J16" i="68"/>
  <c r="F16" i="68"/>
  <c r="Z14" i="68"/>
  <c r="X14" i="68"/>
  <c r="T14" i="68"/>
  <c r="T16" i="68" s="1"/>
  <c r="P14" i="68"/>
  <c r="P16" i="68" s="1"/>
  <c r="N14" i="68"/>
  <c r="J14" i="68"/>
  <c r="H14" i="68"/>
  <c r="F14" i="68"/>
  <c r="D14" i="68"/>
  <c r="L14" i="68" s="1"/>
  <c r="Z12" i="68"/>
  <c r="X12" i="68"/>
  <c r="T12" i="68"/>
  <c r="V52" i="68" s="1"/>
  <c r="P12" i="68"/>
  <c r="R48" i="68" s="1"/>
  <c r="H12" i="68"/>
  <c r="J44" i="68" s="1"/>
  <c r="D12" i="68"/>
  <c r="F59" i="68" s="1"/>
  <c r="D6" i="68"/>
  <c r="D4" i="68"/>
  <c r="R98" i="64"/>
  <c r="R95" i="64"/>
  <c r="Z93" i="64"/>
  <c r="X93" i="64"/>
  <c r="N93" i="64"/>
  <c r="L93" i="64"/>
  <c r="J91" i="64"/>
  <c r="X89" i="64"/>
  <c r="T89" i="64"/>
  <c r="Z89" i="64" s="1"/>
  <c r="P89" i="64"/>
  <c r="J89" i="64"/>
  <c r="H89" i="64"/>
  <c r="D89" i="64"/>
  <c r="L89" i="64" s="1"/>
  <c r="N89" i="64" s="1"/>
  <c r="B89" i="64"/>
  <c r="T88" i="64"/>
  <c r="P88" i="64"/>
  <c r="X88" i="64" s="1"/>
  <c r="Z88" i="64" s="1"/>
  <c r="L88" i="64"/>
  <c r="H88" i="64"/>
  <c r="N88" i="64" s="1"/>
  <c r="D88" i="64"/>
  <c r="B88" i="64"/>
  <c r="T87" i="64"/>
  <c r="D87" i="64"/>
  <c r="X85" i="64"/>
  <c r="Z85" i="64" s="1"/>
  <c r="N85" i="64"/>
  <c r="L85" i="64"/>
  <c r="J85" i="64"/>
  <c r="B85" i="64"/>
  <c r="X84" i="64"/>
  <c r="Z84" i="64" s="1"/>
  <c r="T84" i="64"/>
  <c r="P84" i="64"/>
  <c r="H84" i="64"/>
  <c r="D84" i="64"/>
  <c r="B84" i="64"/>
  <c r="X83" i="64"/>
  <c r="Z83" i="64" s="1"/>
  <c r="L83" i="64"/>
  <c r="N83" i="64" s="1"/>
  <c r="B83" i="64"/>
  <c r="Z82" i="64"/>
  <c r="X82" i="64"/>
  <c r="N82" i="64"/>
  <c r="L82" i="64"/>
  <c r="B82" i="64"/>
  <c r="V81" i="64"/>
  <c r="T81" i="64"/>
  <c r="P81" i="64"/>
  <c r="X81" i="64" s="1"/>
  <c r="Z81" i="64" s="1"/>
  <c r="L81" i="64"/>
  <c r="H81" i="64"/>
  <c r="N81" i="64" s="1"/>
  <c r="D81" i="64"/>
  <c r="B81" i="64"/>
  <c r="X80" i="64"/>
  <c r="Z80" i="64" s="1"/>
  <c r="L80" i="64"/>
  <c r="N80" i="64" s="1"/>
  <c r="B80" i="64"/>
  <c r="T79" i="64"/>
  <c r="R79" i="64"/>
  <c r="P79" i="64"/>
  <c r="X79" i="64" s="1"/>
  <c r="Z79" i="64" s="1"/>
  <c r="H79" i="64"/>
  <c r="D79" i="64"/>
  <c r="L79" i="64" s="1"/>
  <c r="B79" i="64"/>
  <c r="X78" i="64"/>
  <c r="Z78" i="64" s="1"/>
  <c r="R78" i="64"/>
  <c r="N78" i="64"/>
  <c r="L78" i="64"/>
  <c r="B78" i="64"/>
  <c r="T77" i="64"/>
  <c r="P77" i="64"/>
  <c r="N77" i="64"/>
  <c r="H77" i="64"/>
  <c r="D77" i="64"/>
  <c r="L77" i="64" s="1"/>
  <c r="B77" i="64"/>
  <c r="Z76" i="64"/>
  <c r="X76" i="64"/>
  <c r="L76" i="64"/>
  <c r="N76" i="64" s="1"/>
  <c r="B76" i="64"/>
  <c r="X75" i="64"/>
  <c r="Z75" i="64" s="1"/>
  <c r="N75" i="64"/>
  <c r="L75" i="64"/>
  <c r="B75" i="64"/>
  <c r="Z74" i="64"/>
  <c r="X74" i="64"/>
  <c r="N74" i="64"/>
  <c r="L74" i="64"/>
  <c r="B74" i="64"/>
  <c r="Z73" i="64"/>
  <c r="X73" i="64"/>
  <c r="V73" i="64"/>
  <c r="N73" i="64"/>
  <c r="L73" i="64"/>
  <c r="B73" i="64"/>
  <c r="Z72" i="64"/>
  <c r="X72" i="64"/>
  <c r="N72" i="64"/>
  <c r="L72" i="64"/>
  <c r="B72" i="64"/>
  <c r="X71" i="64"/>
  <c r="T71" i="64"/>
  <c r="Z71" i="64" s="1"/>
  <c r="P71" i="64"/>
  <c r="J71" i="64"/>
  <c r="H71" i="64"/>
  <c r="D71" i="64"/>
  <c r="L71" i="64" s="1"/>
  <c r="N71" i="64" s="1"/>
  <c r="B71" i="64"/>
  <c r="Z70" i="64"/>
  <c r="X70" i="64"/>
  <c r="N70" i="64"/>
  <c r="L70" i="64"/>
  <c r="F70" i="64"/>
  <c r="B70" i="64"/>
  <c r="T69" i="64"/>
  <c r="P69" i="64"/>
  <c r="X69" i="64" s="1"/>
  <c r="N69" i="64"/>
  <c r="H69" i="64"/>
  <c r="F69" i="64"/>
  <c r="D69" i="64"/>
  <c r="L69" i="64" s="1"/>
  <c r="B69" i="64"/>
  <c r="X68" i="64"/>
  <c r="Z68" i="64" s="1"/>
  <c r="N68" i="64"/>
  <c r="L68" i="64"/>
  <c r="B68" i="64"/>
  <c r="Z67" i="64"/>
  <c r="X67" i="64"/>
  <c r="L67" i="64"/>
  <c r="N67" i="64" s="1"/>
  <c r="B67" i="64"/>
  <c r="X66" i="64"/>
  <c r="Z66" i="64" s="1"/>
  <c r="R66" i="64"/>
  <c r="N66" i="64"/>
  <c r="L66" i="64"/>
  <c r="B66" i="64"/>
  <c r="T65" i="64"/>
  <c r="P65" i="64"/>
  <c r="N65" i="64"/>
  <c r="H65" i="64"/>
  <c r="D65" i="64"/>
  <c r="L65" i="64" s="1"/>
  <c r="B65" i="64"/>
  <c r="Z64" i="64"/>
  <c r="X64" i="64"/>
  <c r="L64" i="64"/>
  <c r="N64" i="64" s="1"/>
  <c r="B64" i="64"/>
  <c r="X63" i="64"/>
  <c r="Z63" i="64" s="1"/>
  <c r="L63" i="64"/>
  <c r="N63" i="64" s="1"/>
  <c r="B63" i="64"/>
  <c r="Z62" i="64"/>
  <c r="X62" i="64"/>
  <c r="N62" i="64"/>
  <c r="L62" i="64"/>
  <c r="B62" i="64"/>
  <c r="V61" i="64"/>
  <c r="T61" i="64"/>
  <c r="P61" i="64"/>
  <c r="X61" i="64" s="1"/>
  <c r="Z61" i="64" s="1"/>
  <c r="L61" i="64"/>
  <c r="H61" i="64"/>
  <c r="N61" i="64" s="1"/>
  <c r="D61" i="64"/>
  <c r="B61" i="64"/>
  <c r="X60" i="64"/>
  <c r="Z60" i="64" s="1"/>
  <c r="N60" i="64"/>
  <c r="L60" i="64"/>
  <c r="B60" i="64"/>
  <c r="T59" i="64"/>
  <c r="R59" i="64"/>
  <c r="P59" i="64"/>
  <c r="X59" i="64" s="1"/>
  <c r="Z59" i="64" s="1"/>
  <c r="H59" i="64"/>
  <c r="N59" i="64" s="1"/>
  <c r="D59" i="64"/>
  <c r="L59" i="64" s="1"/>
  <c r="B59" i="64"/>
  <c r="X58" i="64"/>
  <c r="Z58" i="64" s="1"/>
  <c r="R58" i="64"/>
  <c r="N58" i="64"/>
  <c r="L58" i="64"/>
  <c r="B58" i="64"/>
  <c r="T57" i="64"/>
  <c r="P57" i="64"/>
  <c r="N57" i="64"/>
  <c r="H57" i="64"/>
  <c r="D57" i="64"/>
  <c r="L57" i="64" s="1"/>
  <c r="B57" i="64"/>
  <c r="Z56" i="64"/>
  <c r="X56" i="64"/>
  <c r="L56" i="64"/>
  <c r="N56" i="64" s="1"/>
  <c r="B56" i="64"/>
  <c r="X55" i="64"/>
  <c r="T55" i="64"/>
  <c r="Z55" i="64" s="1"/>
  <c r="P55" i="64"/>
  <c r="J55" i="64"/>
  <c r="H55" i="64"/>
  <c r="D55" i="64"/>
  <c r="L55" i="64" s="1"/>
  <c r="N55" i="64" s="1"/>
  <c r="B55" i="64"/>
  <c r="Z54" i="64"/>
  <c r="X54" i="64"/>
  <c r="L54" i="64"/>
  <c r="N54" i="64" s="1"/>
  <c r="F54" i="64"/>
  <c r="B54" i="64"/>
  <c r="T53" i="64"/>
  <c r="Z53" i="64" s="1"/>
  <c r="P53" i="64"/>
  <c r="X53" i="64" s="1"/>
  <c r="H53" i="64"/>
  <c r="F53" i="64"/>
  <c r="D53" i="64"/>
  <c r="L53" i="64" s="1"/>
  <c r="N53" i="64" s="1"/>
  <c r="B53" i="64"/>
  <c r="Z52" i="64"/>
  <c r="X52" i="64"/>
  <c r="N52" i="64"/>
  <c r="L52" i="64"/>
  <c r="F52" i="64"/>
  <c r="B52" i="64"/>
  <c r="Z51" i="64"/>
  <c r="T51" i="64"/>
  <c r="P51" i="64"/>
  <c r="X51" i="64" s="1"/>
  <c r="H51" i="64"/>
  <c r="N51" i="64" s="1"/>
  <c r="F51" i="64"/>
  <c r="D51" i="64"/>
  <c r="B51" i="64"/>
  <c r="Z50" i="64"/>
  <c r="X50" i="64"/>
  <c r="N50" i="64"/>
  <c r="L50" i="64"/>
  <c r="B50" i="64"/>
  <c r="V49" i="64"/>
  <c r="T49" i="64"/>
  <c r="Z49" i="64" s="1"/>
  <c r="P49" i="64"/>
  <c r="X49" i="64" s="1"/>
  <c r="L49" i="64"/>
  <c r="H49" i="64"/>
  <c r="N49" i="64" s="1"/>
  <c r="D49" i="64"/>
  <c r="B49" i="64"/>
  <c r="X48" i="64"/>
  <c r="Z48" i="64" s="1"/>
  <c r="N48" i="64"/>
  <c r="L48" i="64"/>
  <c r="B48" i="64"/>
  <c r="T47" i="64"/>
  <c r="R47" i="64"/>
  <c r="P47" i="64"/>
  <c r="X47" i="64" s="1"/>
  <c r="Z47" i="64" s="1"/>
  <c r="H47" i="64"/>
  <c r="D47" i="64"/>
  <c r="L47" i="64" s="1"/>
  <c r="B47" i="64"/>
  <c r="X46" i="64"/>
  <c r="Z46" i="64" s="1"/>
  <c r="R46" i="64"/>
  <c r="N46" i="64"/>
  <c r="L46" i="64"/>
  <c r="B46" i="64"/>
  <c r="Z45" i="64"/>
  <c r="X45" i="64"/>
  <c r="N45" i="64"/>
  <c r="L45" i="64"/>
  <c r="J45" i="64"/>
  <c r="F45" i="64"/>
  <c r="B45" i="64"/>
  <c r="Z44" i="64"/>
  <c r="X44" i="64"/>
  <c r="V44" i="64"/>
  <c r="T44" i="64"/>
  <c r="P44" i="64"/>
  <c r="H44" i="64"/>
  <c r="F44" i="64"/>
  <c r="D44" i="64"/>
  <c r="B44" i="64"/>
  <c r="X43" i="64"/>
  <c r="Z43" i="64" s="1"/>
  <c r="L43" i="64"/>
  <c r="N43" i="64" s="1"/>
  <c r="B43" i="64"/>
  <c r="Z42" i="64"/>
  <c r="X42" i="64"/>
  <c r="N42" i="64"/>
  <c r="L42" i="64"/>
  <c r="B42" i="64"/>
  <c r="V41" i="64"/>
  <c r="T41" i="64"/>
  <c r="P41" i="64"/>
  <c r="X41" i="64" s="1"/>
  <c r="L41" i="64"/>
  <c r="H41" i="64"/>
  <c r="N41" i="64" s="1"/>
  <c r="D41" i="64"/>
  <c r="B41" i="64"/>
  <c r="X40" i="64"/>
  <c r="Z40" i="64" s="1"/>
  <c r="V40" i="64"/>
  <c r="N40" i="64"/>
  <c r="L40" i="64"/>
  <c r="B40" i="64"/>
  <c r="V39" i="64"/>
  <c r="T39" i="64"/>
  <c r="R39" i="64"/>
  <c r="P39" i="64"/>
  <c r="X39" i="64" s="1"/>
  <c r="Z39" i="64" s="1"/>
  <c r="H39" i="64"/>
  <c r="D39" i="64"/>
  <c r="L39" i="64" s="1"/>
  <c r="B39" i="64"/>
  <c r="X38" i="64"/>
  <c r="Z38" i="64" s="1"/>
  <c r="R38" i="64"/>
  <c r="N38" i="64"/>
  <c r="L38" i="64"/>
  <c r="B38" i="64"/>
  <c r="T37" i="64"/>
  <c r="P37" i="64"/>
  <c r="N37" i="64"/>
  <c r="H37" i="64"/>
  <c r="D37" i="64"/>
  <c r="L37" i="64" s="1"/>
  <c r="B37" i="64"/>
  <c r="Z36" i="64"/>
  <c r="X36" i="64"/>
  <c r="V36" i="64"/>
  <c r="L36" i="64"/>
  <c r="N36" i="64" s="1"/>
  <c r="B36" i="64"/>
  <c r="X35" i="64"/>
  <c r="T35" i="64"/>
  <c r="Z35" i="64" s="1"/>
  <c r="P35" i="64"/>
  <c r="J35" i="64"/>
  <c r="H35" i="64"/>
  <c r="N35" i="64" s="1"/>
  <c r="D35" i="64"/>
  <c r="L35" i="64" s="1"/>
  <c r="B35" i="64"/>
  <c r="Z34" i="64"/>
  <c r="X34" i="64"/>
  <c r="V34" i="64"/>
  <c r="N34" i="64"/>
  <c r="L34" i="64"/>
  <c r="F34" i="64"/>
  <c r="B34" i="64"/>
  <c r="X33" i="64"/>
  <c r="Z33" i="64" s="1"/>
  <c r="L33" i="64"/>
  <c r="N33" i="64" s="1"/>
  <c r="F33" i="64"/>
  <c r="B33" i="64"/>
  <c r="X32" i="64"/>
  <c r="Z32" i="64" s="1"/>
  <c r="V32" i="64"/>
  <c r="N32" i="64"/>
  <c r="L32" i="64"/>
  <c r="B32" i="64"/>
  <c r="X31" i="64"/>
  <c r="Z31" i="64" s="1"/>
  <c r="V31" i="64"/>
  <c r="N31" i="64"/>
  <c r="L31" i="64"/>
  <c r="F31" i="64"/>
  <c r="B31" i="64"/>
  <c r="Z30" i="64"/>
  <c r="X30" i="64"/>
  <c r="V30" i="64"/>
  <c r="L30" i="64"/>
  <c r="N30" i="64" s="1"/>
  <c r="F30" i="64"/>
  <c r="B30" i="64"/>
  <c r="X29" i="64"/>
  <c r="Z29" i="64" s="1"/>
  <c r="L29" i="64"/>
  <c r="N29" i="64" s="1"/>
  <c r="F29" i="64"/>
  <c r="B29" i="64"/>
  <c r="X28" i="64"/>
  <c r="V28" i="64"/>
  <c r="T28" i="64"/>
  <c r="P28" i="64"/>
  <c r="H28" i="64"/>
  <c r="F28" i="64"/>
  <c r="D28" i="64"/>
  <c r="L28" i="64" s="1"/>
  <c r="N28" i="64" s="1"/>
  <c r="B28" i="64"/>
  <c r="Z27" i="64"/>
  <c r="X27" i="64"/>
  <c r="L27" i="64"/>
  <c r="N27" i="64" s="1"/>
  <c r="F27" i="64"/>
  <c r="B27" i="64"/>
  <c r="X26" i="64"/>
  <c r="Z26" i="64" s="1"/>
  <c r="R26" i="64"/>
  <c r="N26" i="64"/>
  <c r="L26" i="64"/>
  <c r="F26" i="64"/>
  <c r="B26" i="64"/>
  <c r="X25" i="64"/>
  <c r="Z25" i="64" s="1"/>
  <c r="N25" i="64"/>
  <c r="L25" i="64"/>
  <c r="J25" i="64"/>
  <c r="F25" i="64"/>
  <c r="B25" i="64"/>
  <c r="Z24" i="64"/>
  <c r="X24" i="64"/>
  <c r="V24" i="64"/>
  <c r="N24" i="64"/>
  <c r="L24" i="64"/>
  <c r="F24" i="64"/>
  <c r="B24" i="64"/>
  <c r="Z23" i="64"/>
  <c r="X23" i="64"/>
  <c r="L23" i="64"/>
  <c r="N23" i="64" s="1"/>
  <c r="F23" i="64"/>
  <c r="B23" i="64"/>
  <c r="X22" i="64"/>
  <c r="Z22" i="64" s="1"/>
  <c r="R22" i="64"/>
  <c r="N22" i="64"/>
  <c r="L22" i="64"/>
  <c r="F22" i="64"/>
  <c r="B22" i="64"/>
  <c r="X21" i="64"/>
  <c r="Z21" i="64" s="1"/>
  <c r="N21" i="64"/>
  <c r="L21" i="64"/>
  <c r="J21" i="64"/>
  <c r="F21" i="64"/>
  <c r="B21" i="64"/>
  <c r="Z20" i="64"/>
  <c r="X20" i="64"/>
  <c r="V20" i="64"/>
  <c r="N20" i="64"/>
  <c r="L20" i="64"/>
  <c r="F20" i="64"/>
  <c r="B20" i="64"/>
  <c r="T19" i="64"/>
  <c r="P19" i="64"/>
  <c r="X19" i="64" s="1"/>
  <c r="Z19" i="64" s="1"/>
  <c r="H19" i="64"/>
  <c r="F19" i="64"/>
  <c r="D19" i="64"/>
  <c r="B19" i="64"/>
  <c r="T18" i="64"/>
  <c r="R18" i="64"/>
  <c r="P18" i="64"/>
  <c r="X18" i="64" s="1"/>
  <c r="Z18" i="64" s="1"/>
  <c r="J18" i="64"/>
  <c r="H18" i="64"/>
  <c r="D18" i="64"/>
  <c r="L18" i="64" s="1"/>
  <c r="R16" i="64"/>
  <c r="J16" i="64"/>
  <c r="D16" i="64"/>
  <c r="Z14" i="64"/>
  <c r="T14" i="64"/>
  <c r="T16" i="64" s="1"/>
  <c r="R14" i="64"/>
  <c r="P14" i="64"/>
  <c r="X14" i="64" s="1"/>
  <c r="J14" i="64"/>
  <c r="H14" i="64"/>
  <c r="N14" i="64" s="1"/>
  <c r="D14" i="64"/>
  <c r="L14" i="64" s="1"/>
  <c r="Z12" i="64"/>
  <c r="T12" i="64"/>
  <c r="V69" i="64" s="1"/>
  <c r="P12" i="64"/>
  <c r="R82" i="64" s="1"/>
  <c r="N12" i="64"/>
  <c r="H12" i="64"/>
  <c r="J98" i="64" s="1"/>
  <c r="D12" i="64"/>
  <c r="F87" i="64" s="1"/>
  <c r="D6" i="64"/>
  <c r="D4" i="64"/>
  <c r="Z51" i="61"/>
  <c r="X51" i="61"/>
  <c r="N51" i="61"/>
  <c r="L51" i="61"/>
  <c r="J51" i="61"/>
  <c r="T47" i="61"/>
  <c r="Z47" i="61" s="1"/>
  <c r="P47" i="61"/>
  <c r="H47" i="61"/>
  <c r="N47" i="61" s="1"/>
  <c r="D47" i="61"/>
  <c r="L47" i="61" s="1"/>
  <c r="Z45" i="61"/>
  <c r="X45" i="61"/>
  <c r="L45" i="61"/>
  <c r="N45" i="61" s="1"/>
  <c r="J45" i="61"/>
  <c r="B45" i="61"/>
  <c r="X44" i="61"/>
  <c r="Z44" i="61" s="1"/>
  <c r="T44" i="61"/>
  <c r="P44" i="61"/>
  <c r="J44" i="61"/>
  <c r="H44" i="61"/>
  <c r="D44" i="61"/>
  <c r="L44" i="61" s="1"/>
  <c r="N44" i="61" s="1"/>
  <c r="B44" i="61"/>
  <c r="Z43" i="61"/>
  <c r="X43" i="61"/>
  <c r="L43" i="61"/>
  <c r="N43" i="61" s="1"/>
  <c r="B43" i="61"/>
  <c r="T42" i="61"/>
  <c r="P42" i="61"/>
  <c r="X42" i="61" s="1"/>
  <c r="J42" i="61"/>
  <c r="H42" i="61"/>
  <c r="D42" i="61"/>
  <c r="L42" i="61" s="1"/>
  <c r="B42" i="61"/>
  <c r="Z41" i="61"/>
  <c r="X41" i="61"/>
  <c r="N41" i="61"/>
  <c r="L41" i="61"/>
  <c r="J41" i="61"/>
  <c r="B41" i="61"/>
  <c r="Z40" i="61"/>
  <c r="X40" i="61"/>
  <c r="L40" i="61"/>
  <c r="N40" i="61" s="1"/>
  <c r="B40" i="61"/>
  <c r="T39" i="61"/>
  <c r="X39" i="61" s="1"/>
  <c r="P39" i="61"/>
  <c r="L39" i="61"/>
  <c r="N39" i="61" s="1"/>
  <c r="J39" i="61"/>
  <c r="H39" i="61"/>
  <c r="D39" i="61"/>
  <c r="B39" i="61"/>
  <c r="Z38" i="61"/>
  <c r="X38" i="61"/>
  <c r="V38" i="61"/>
  <c r="L38" i="61"/>
  <c r="N38" i="61" s="1"/>
  <c r="J38" i="61"/>
  <c r="B38" i="61"/>
  <c r="T37" i="61"/>
  <c r="P37" i="61"/>
  <c r="X37" i="61" s="1"/>
  <c r="H37" i="61"/>
  <c r="N37" i="61" s="1"/>
  <c r="D37" i="61"/>
  <c r="L37" i="61" s="1"/>
  <c r="B37" i="61"/>
  <c r="X36" i="61"/>
  <c r="Z36" i="61" s="1"/>
  <c r="N36" i="61"/>
  <c r="L36" i="61"/>
  <c r="B36" i="61"/>
  <c r="T35" i="61"/>
  <c r="P35" i="61"/>
  <c r="X35" i="61" s="1"/>
  <c r="Z35" i="61" s="1"/>
  <c r="L35" i="61"/>
  <c r="J35" i="61"/>
  <c r="H35" i="61"/>
  <c r="N35" i="61" s="1"/>
  <c r="D35" i="61"/>
  <c r="B35" i="61"/>
  <c r="Z34" i="61"/>
  <c r="X34" i="61"/>
  <c r="N34" i="61"/>
  <c r="L34" i="61"/>
  <c r="J34" i="61"/>
  <c r="B34" i="61"/>
  <c r="X33" i="61"/>
  <c r="Z33" i="61" s="1"/>
  <c r="N33" i="61"/>
  <c r="L33" i="61"/>
  <c r="J33" i="61"/>
  <c r="B33" i="61"/>
  <c r="Z32" i="61"/>
  <c r="X32" i="61"/>
  <c r="N32" i="61"/>
  <c r="L32" i="61"/>
  <c r="B32" i="61"/>
  <c r="X31" i="61"/>
  <c r="Z31" i="61" s="1"/>
  <c r="N31" i="61"/>
  <c r="L31" i="61"/>
  <c r="B31" i="61"/>
  <c r="X30" i="61"/>
  <c r="Z30" i="61" s="1"/>
  <c r="N30" i="61"/>
  <c r="L30" i="61"/>
  <c r="J30" i="61"/>
  <c r="B30" i="61"/>
  <c r="X29" i="61"/>
  <c r="Z29" i="61" s="1"/>
  <c r="V29" i="61"/>
  <c r="N29" i="61"/>
  <c r="L29" i="61"/>
  <c r="J29" i="61"/>
  <c r="B29" i="61"/>
  <c r="T28" i="61"/>
  <c r="P28" i="61"/>
  <c r="X28" i="61" s="1"/>
  <c r="Z28" i="61" s="1"/>
  <c r="H28" i="61"/>
  <c r="D28" i="61"/>
  <c r="B28" i="61"/>
  <c r="Z27" i="61"/>
  <c r="X27" i="61"/>
  <c r="N27" i="61"/>
  <c r="L27" i="61"/>
  <c r="J27" i="61"/>
  <c r="B27" i="61"/>
  <c r="Z26" i="61"/>
  <c r="X26" i="61"/>
  <c r="V26" i="61"/>
  <c r="L26" i="61"/>
  <c r="N26" i="61" s="1"/>
  <c r="J26" i="61"/>
  <c r="B26" i="61"/>
  <c r="Z25" i="61"/>
  <c r="X25" i="61"/>
  <c r="V25" i="61"/>
  <c r="R25" i="61"/>
  <c r="L25" i="61"/>
  <c r="N25" i="61" s="1"/>
  <c r="J25" i="61"/>
  <c r="B25" i="61"/>
  <c r="X24" i="61"/>
  <c r="Z24" i="61" s="1"/>
  <c r="L24" i="61"/>
  <c r="N24" i="61" s="1"/>
  <c r="J24" i="61"/>
  <c r="B24" i="61"/>
  <c r="Z23" i="61"/>
  <c r="X23" i="61"/>
  <c r="R23" i="61"/>
  <c r="N23" i="61"/>
  <c r="L23" i="61"/>
  <c r="J23" i="61"/>
  <c r="B23" i="61"/>
  <c r="Z22" i="61"/>
  <c r="X22" i="61"/>
  <c r="V22" i="61"/>
  <c r="L22" i="61"/>
  <c r="N22" i="61" s="1"/>
  <c r="J22" i="61"/>
  <c r="B22" i="61"/>
  <c r="Z21" i="61"/>
  <c r="X21" i="61"/>
  <c r="V21" i="61"/>
  <c r="R21" i="61"/>
  <c r="L21" i="61"/>
  <c r="N21" i="61" s="1"/>
  <c r="J21" i="61"/>
  <c r="B21" i="61"/>
  <c r="X20" i="61"/>
  <c r="Z20" i="61" s="1"/>
  <c r="L20" i="61"/>
  <c r="N20" i="61" s="1"/>
  <c r="J20" i="61"/>
  <c r="B20" i="61"/>
  <c r="T19" i="61"/>
  <c r="P19" i="61"/>
  <c r="J19" i="61"/>
  <c r="H19" i="61"/>
  <c r="D19" i="61"/>
  <c r="B19" i="61"/>
  <c r="V18" i="61"/>
  <c r="T18" i="61"/>
  <c r="P18" i="61"/>
  <c r="L18" i="61"/>
  <c r="J18" i="61"/>
  <c r="H18" i="61"/>
  <c r="N18" i="61" s="1"/>
  <c r="D18" i="61"/>
  <c r="V16" i="61"/>
  <c r="J16" i="61"/>
  <c r="V14" i="61"/>
  <c r="T14" i="61"/>
  <c r="Z14" i="61" s="1"/>
  <c r="P14" i="61"/>
  <c r="X14" i="61" s="1"/>
  <c r="J14" i="61"/>
  <c r="H14" i="61"/>
  <c r="N14" i="61" s="1"/>
  <c r="D14" i="61"/>
  <c r="L14" i="61" s="1"/>
  <c r="T12" i="61"/>
  <c r="V36" i="61" s="1"/>
  <c r="P12" i="61"/>
  <c r="R28" i="61" s="1"/>
  <c r="N12" i="61"/>
  <c r="H12" i="61"/>
  <c r="J40" i="61" s="1"/>
  <c r="D12" i="61"/>
  <c r="F18" i="61" s="1"/>
  <c r="D6" i="61"/>
  <c r="D4" i="61"/>
  <c r="Z49" i="60"/>
  <c r="X49" i="60"/>
  <c r="N49" i="60"/>
  <c r="L49" i="60"/>
  <c r="T47" i="60"/>
  <c r="T45" i="60"/>
  <c r="Z45" i="60" s="1"/>
  <c r="P45" i="60"/>
  <c r="X45" i="60" s="1"/>
  <c r="H45" i="60"/>
  <c r="N45" i="60" s="1"/>
  <c r="D45" i="60"/>
  <c r="X43" i="60"/>
  <c r="Z43" i="60" s="1"/>
  <c r="N43" i="60"/>
  <c r="L43" i="60"/>
  <c r="B43" i="60"/>
  <c r="T42" i="60"/>
  <c r="P42" i="60"/>
  <c r="X42" i="60" s="1"/>
  <c r="Z42" i="60" s="1"/>
  <c r="L42" i="60"/>
  <c r="N42" i="60" s="1"/>
  <c r="H42" i="60"/>
  <c r="D42" i="60"/>
  <c r="B42" i="60"/>
  <c r="X41" i="60"/>
  <c r="Z41" i="60" s="1"/>
  <c r="N41" i="60"/>
  <c r="L41" i="60"/>
  <c r="J41" i="60"/>
  <c r="B41" i="60"/>
  <c r="X40" i="60"/>
  <c r="Z40" i="60" s="1"/>
  <c r="N40" i="60"/>
  <c r="L40" i="60"/>
  <c r="B40" i="60"/>
  <c r="X39" i="60"/>
  <c r="Z39" i="60" s="1"/>
  <c r="T39" i="60"/>
  <c r="P39" i="60"/>
  <c r="H39" i="60"/>
  <c r="F39" i="60"/>
  <c r="D39" i="60"/>
  <c r="L39" i="60" s="1"/>
  <c r="N39" i="60" s="1"/>
  <c r="B39" i="60"/>
  <c r="Z38" i="60"/>
  <c r="X38" i="60"/>
  <c r="V38" i="60"/>
  <c r="N38" i="60"/>
  <c r="L38" i="60"/>
  <c r="B38" i="60"/>
  <c r="T37" i="60"/>
  <c r="P37" i="60"/>
  <c r="X37" i="60" s="1"/>
  <c r="Z37" i="60" s="1"/>
  <c r="L37" i="60"/>
  <c r="H37" i="60"/>
  <c r="N37" i="60" s="1"/>
  <c r="D37" i="60"/>
  <c r="B37" i="60"/>
  <c r="Z36" i="60"/>
  <c r="X36" i="60"/>
  <c r="N36" i="60"/>
  <c r="L36" i="60"/>
  <c r="J36" i="60"/>
  <c r="F36" i="60"/>
  <c r="B36" i="60"/>
  <c r="X35" i="60"/>
  <c r="Z35" i="60" s="1"/>
  <c r="V35" i="60"/>
  <c r="L35" i="60"/>
  <c r="N35" i="60" s="1"/>
  <c r="B35" i="60"/>
  <c r="V34" i="60"/>
  <c r="T34" i="60"/>
  <c r="R34" i="60"/>
  <c r="P34" i="60"/>
  <c r="X34" i="60" s="1"/>
  <c r="Z34" i="60" s="1"/>
  <c r="H34" i="60"/>
  <c r="D34" i="60"/>
  <c r="L34" i="60" s="1"/>
  <c r="N34" i="60" s="1"/>
  <c r="B34" i="60"/>
  <c r="X33" i="60"/>
  <c r="Z33" i="60" s="1"/>
  <c r="N33" i="60"/>
  <c r="L33" i="60"/>
  <c r="J33" i="60"/>
  <c r="B33" i="60"/>
  <c r="T32" i="60"/>
  <c r="P32" i="60"/>
  <c r="L32" i="60"/>
  <c r="H32" i="60"/>
  <c r="N32" i="60" s="1"/>
  <c r="D32" i="60"/>
  <c r="B32" i="60"/>
  <c r="X31" i="60"/>
  <c r="Z31" i="60" s="1"/>
  <c r="N31" i="60"/>
  <c r="L31" i="60"/>
  <c r="J31" i="60"/>
  <c r="B31" i="60"/>
  <c r="T30" i="60"/>
  <c r="P30" i="60"/>
  <c r="X30" i="60" s="1"/>
  <c r="Z30" i="60" s="1"/>
  <c r="J30" i="60"/>
  <c r="H30" i="60"/>
  <c r="N30" i="60" s="1"/>
  <c r="F30" i="60"/>
  <c r="D30" i="60"/>
  <c r="B30" i="60"/>
  <c r="X29" i="60"/>
  <c r="Z29" i="60" s="1"/>
  <c r="N29" i="60"/>
  <c r="L29" i="60"/>
  <c r="F29" i="60"/>
  <c r="B29" i="60"/>
  <c r="V28" i="60"/>
  <c r="T28" i="60"/>
  <c r="P28" i="60"/>
  <c r="X28" i="60" s="1"/>
  <c r="Z28" i="60" s="1"/>
  <c r="L28" i="60"/>
  <c r="N28" i="60" s="1"/>
  <c r="H28" i="60"/>
  <c r="F28" i="60"/>
  <c r="D28" i="60"/>
  <c r="B28" i="60"/>
  <c r="X27" i="60"/>
  <c r="Z27" i="60" s="1"/>
  <c r="N27" i="60"/>
  <c r="L27" i="60"/>
  <c r="J27" i="60"/>
  <c r="F27" i="60"/>
  <c r="B27" i="60"/>
  <c r="Z26" i="60"/>
  <c r="X26" i="60"/>
  <c r="V26" i="60"/>
  <c r="N26" i="60"/>
  <c r="L26" i="60"/>
  <c r="F26" i="60"/>
  <c r="B26" i="60"/>
  <c r="Z25" i="60"/>
  <c r="X25" i="60"/>
  <c r="L25" i="60"/>
  <c r="N25" i="60" s="1"/>
  <c r="F25" i="60"/>
  <c r="B25" i="60"/>
  <c r="X24" i="60"/>
  <c r="Z24" i="60" s="1"/>
  <c r="N24" i="60"/>
  <c r="L24" i="60"/>
  <c r="J24" i="60"/>
  <c r="F24" i="60"/>
  <c r="B24" i="60"/>
  <c r="X23" i="60"/>
  <c r="Z23" i="60" s="1"/>
  <c r="N23" i="60"/>
  <c r="L23" i="60"/>
  <c r="J23" i="60"/>
  <c r="F23" i="60"/>
  <c r="B23" i="60"/>
  <c r="Z22" i="60"/>
  <c r="X22" i="60"/>
  <c r="V22" i="60"/>
  <c r="N22" i="60"/>
  <c r="L22" i="60"/>
  <c r="F22" i="60"/>
  <c r="B22" i="60"/>
  <c r="Z21" i="60"/>
  <c r="X21" i="60"/>
  <c r="R21" i="60"/>
  <c r="L21" i="60"/>
  <c r="N21" i="60" s="1"/>
  <c r="F21" i="60"/>
  <c r="B21" i="60"/>
  <c r="X20" i="60"/>
  <c r="Z20" i="60" s="1"/>
  <c r="N20" i="60"/>
  <c r="L20" i="60"/>
  <c r="J20" i="60"/>
  <c r="F20" i="60"/>
  <c r="B20" i="60"/>
  <c r="X19" i="60"/>
  <c r="T19" i="60"/>
  <c r="Z19" i="60" s="1"/>
  <c r="P19" i="60"/>
  <c r="H19" i="60"/>
  <c r="N19" i="60" s="1"/>
  <c r="F19" i="60"/>
  <c r="D19" i="60"/>
  <c r="L19" i="60" s="1"/>
  <c r="B19" i="60"/>
  <c r="T18" i="60"/>
  <c r="P18" i="60"/>
  <c r="X18" i="60" s="1"/>
  <c r="Z18" i="60" s="1"/>
  <c r="J18" i="60"/>
  <c r="H18" i="60"/>
  <c r="N18" i="60" s="1"/>
  <c r="F18" i="60"/>
  <c r="D18" i="60"/>
  <c r="L18" i="60" s="1"/>
  <c r="J16" i="60"/>
  <c r="F16" i="60"/>
  <c r="Z14" i="60"/>
  <c r="T14" i="60"/>
  <c r="T16" i="60" s="1"/>
  <c r="Z16" i="60" s="1"/>
  <c r="P14" i="60"/>
  <c r="X14" i="60" s="1"/>
  <c r="J14" i="60"/>
  <c r="H14" i="60"/>
  <c r="N14" i="60" s="1"/>
  <c r="F14" i="60"/>
  <c r="D14" i="60"/>
  <c r="L14" i="60" s="1"/>
  <c r="Z12" i="60"/>
  <c r="T12" i="60"/>
  <c r="V40" i="60" s="1"/>
  <c r="P12" i="60"/>
  <c r="R29" i="60" s="1"/>
  <c r="L12" i="60"/>
  <c r="H12" i="60"/>
  <c r="J29" i="60" s="1"/>
  <c r="D12" i="60"/>
  <c r="F41" i="60" s="1"/>
  <c r="D6" i="60"/>
  <c r="D4" i="60"/>
  <c r="Z64" i="59"/>
  <c r="X64" i="59"/>
  <c r="N64" i="59"/>
  <c r="L64" i="59"/>
  <c r="R62" i="59"/>
  <c r="T60" i="59"/>
  <c r="Z60" i="59" s="1"/>
  <c r="R60" i="59"/>
  <c r="P60" i="59"/>
  <c r="X60" i="59" s="1"/>
  <c r="N60" i="59"/>
  <c r="H60" i="59"/>
  <c r="D60" i="59"/>
  <c r="L60" i="59" s="1"/>
  <c r="Z58" i="59"/>
  <c r="X58" i="59"/>
  <c r="N58" i="59"/>
  <c r="L58" i="59"/>
  <c r="B58" i="59"/>
  <c r="Z57" i="59"/>
  <c r="X57" i="59"/>
  <c r="L57" i="59"/>
  <c r="N57" i="59" s="1"/>
  <c r="F57" i="59"/>
  <c r="B57" i="59"/>
  <c r="T56" i="59"/>
  <c r="P56" i="59"/>
  <c r="X56" i="59" s="1"/>
  <c r="H56" i="59"/>
  <c r="N56" i="59" s="1"/>
  <c r="F56" i="59"/>
  <c r="D56" i="59"/>
  <c r="L56" i="59" s="1"/>
  <c r="B56" i="59"/>
  <c r="X55" i="59"/>
  <c r="Z55" i="59" s="1"/>
  <c r="N55" i="59"/>
  <c r="L55" i="59"/>
  <c r="B55" i="59"/>
  <c r="Z54" i="59"/>
  <c r="T54" i="59"/>
  <c r="P54" i="59"/>
  <c r="X54" i="59" s="1"/>
  <c r="H54" i="59"/>
  <c r="D54" i="59"/>
  <c r="L54" i="59" s="1"/>
  <c r="N54" i="59" s="1"/>
  <c r="B54" i="59"/>
  <c r="X53" i="59"/>
  <c r="Z53" i="59" s="1"/>
  <c r="N53" i="59"/>
  <c r="L53" i="59"/>
  <c r="B53" i="59"/>
  <c r="X52" i="59"/>
  <c r="Z52" i="59" s="1"/>
  <c r="V52" i="59"/>
  <c r="N52" i="59"/>
  <c r="L52" i="59"/>
  <c r="B52" i="59"/>
  <c r="T51" i="59"/>
  <c r="P51" i="59"/>
  <c r="X51" i="59" s="1"/>
  <c r="L51" i="59"/>
  <c r="N51" i="59" s="1"/>
  <c r="H51" i="59"/>
  <c r="D51" i="59"/>
  <c r="B51" i="59"/>
  <c r="Z50" i="59"/>
  <c r="X50" i="59"/>
  <c r="N50" i="59"/>
  <c r="L50" i="59"/>
  <c r="B50" i="59"/>
  <c r="Z49" i="59"/>
  <c r="X49" i="59"/>
  <c r="N49" i="59"/>
  <c r="L49" i="59"/>
  <c r="F49" i="59"/>
  <c r="B49" i="59"/>
  <c r="T48" i="59"/>
  <c r="P48" i="59"/>
  <c r="X48" i="59" s="1"/>
  <c r="Z48" i="59" s="1"/>
  <c r="H48" i="59"/>
  <c r="N48" i="59" s="1"/>
  <c r="F48" i="59"/>
  <c r="D48" i="59"/>
  <c r="L48" i="59" s="1"/>
  <c r="B48" i="59"/>
  <c r="X47" i="59"/>
  <c r="Z47" i="59" s="1"/>
  <c r="N47" i="59"/>
  <c r="L47" i="59"/>
  <c r="B47" i="59"/>
  <c r="Z46" i="59"/>
  <c r="X46" i="59"/>
  <c r="L46" i="59"/>
  <c r="N46" i="59" s="1"/>
  <c r="B46" i="59"/>
  <c r="X45" i="59"/>
  <c r="Z45" i="59" s="1"/>
  <c r="V45" i="59"/>
  <c r="R45" i="59"/>
  <c r="L45" i="59"/>
  <c r="N45" i="59" s="1"/>
  <c r="B45" i="59"/>
  <c r="T44" i="59"/>
  <c r="P44" i="59"/>
  <c r="X44" i="59" s="1"/>
  <c r="Z44" i="59" s="1"/>
  <c r="N44" i="59"/>
  <c r="H44" i="59"/>
  <c r="D44" i="59"/>
  <c r="L44" i="59" s="1"/>
  <c r="B44" i="59"/>
  <c r="Z43" i="59"/>
  <c r="X43" i="59"/>
  <c r="L43" i="59"/>
  <c r="N43" i="59" s="1"/>
  <c r="B43" i="59"/>
  <c r="T42" i="59"/>
  <c r="P42" i="59"/>
  <c r="L42" i="59"/>
  <c r="N42" i="59" s="1"/>
  <c r="J42" i="59"/>
  <c r="H42" i="59"/>
  <c r="D42" i="59"/>
  <c r="B42" i="59"/>
  <c r="Z41" i="59"/>
  <c r="X41" i="59"/>
  <c r="V41" i="59"/>
  <c r="N41" i="59"/>
  <c r="L41" i="59"/>
  <c r="F41" i="59"/>
  <c r="B41" i="59"/>
  <c r="T40" i="59"/>
  <c r="P40" i="59"/>
  <c r="X40" i="59" s="1"/>
  <c r="H40" i="59"/>
  <c r="N40" i="59" s="1"/>
  <c r="F40" i="59"/>
  <c r="D40" i="59"/>
  <c r="L40" i="59" s="1"/>
  <c r="B40" i="59"/>
  <c r="X39" i="59"/>
  <c r="Z39" i="59" s="1"/>
  <c r="V39" i="59"/>
  <c r="N39" i="59"/>
  <c r="L39" i="59"/>
  <c r="B39" i="59"/>
  <c r="Z38" i="59"/>
  <c r="X38" i="59"/>
  <c r="V38" i="59"/>
  <c r="L38" i="59"/>
  <c r="N38" i="59" s="1"/>
  <c r="B38" i="59"/>
  <c r="V37" i="59"/>
  <c r="T37" i="59"/>
  <c r="P37" i="59"/>
  <c r="H37" i="59"/>
  <c r="N37" i="59" s="1"/>
  <c r="D37" i="59"/>
  <c r="L37" i="59" s="1"/>
  <c r="B37" i="59"/>
  <c r="X36" i="59"/>
  <c r="Z36" i="59" s="1"/>
  <c r="V36" i="59"/>
  <c r="N36" i="59"/>
  <c r="L36" i="59"/>
  <c r="B36" i="59"/>
  <c r="T35" i="59"/>
  <c r="Z35" i="59" s="1"/>
  <c r="P35" i="59"/>
  <c r="X35" i="59" s="1"/>
  <c r="N35" i="59"/>
  <c r="L35" i="59"/>
  <c r="H35" i="59"/>
  <c r="D35" i="59"/>
  <c r="B35" i="59"/>
  <c r="Z34" i="59"/>
  <c r="X34" i="59"/>
  <c r="V34" i="59"/>
  <c r="N34" i="59"/>
  <c r="L34" i="59"/>
  <c r="B34" i="59"/>
  <c r="Z33" i="59"/>
  <c r="X33" i="59"/>
  <c r="V33" i="59"/>
  <c r="L33" i="59"/>
  <c r="N33" i="59" s="1"/>
  <c r="F33" i="59"/>
  <c r="B33" i="59"/>
  <c r="Z32" i="59"/>
  <c r="X32" i="59"/>
  <c r="L32" i="59"/>
  <c r="N32" i="59" s="1"/>
  <c r="B32" i="59"/>
  <c r="X31" i="59"/>
  <c r="Z31" i="59" s="1"/>
  <c r="V31" i="59"/>
  <c r="L31" i="59"/>
  <c r="N31" i="59" s="1"/>
  <c r="B31" i="59"/>
  <c r="Z30" i="59"/>
  <c r="X30" i="59"/>
  <c r="V30" i="59"/>
  <c r="N30" i="59"/>
  <c r="L30" i="59"/>
  <c r="B30" i="59"/>
  <c r="V29" i="59"/>
  <c r="T29" i="59"/>
  <c r="P29" i="59"/>
  <c r="X29" i="59" s="1"/>
  <c r="Z29" i="59" s="1"/>
  <c r="L29" i="59"/>
  <c r="N29" i="59" s="1"/>
  <c r="H29" i="59"/>
  <c r="D29" i="59"/>
  <c r="B29" i="59"/>
  <c r="X28" i="59"/>
  <c r="Z28" i="59" s="1"/>
  <c r="N28" i="59"/>
  <c r="L28" i="59"/>
  <c r="J28" i="59"/>
  <c r="B28" i="59"/>
  <c r="X27" i="59"/>
  <c r="Z27" i="59" s="1"/>
  <c r="V27" i="59"/>
  <c r="N27" i="59"/>
  <c r="L27" i="59"/>
  <c r="B27" i="59"/>
  <c r="Z26" i="59"/>
  <c r="X26" i="59"/>
  <c r="V26" i="59"/>
  <c r="L26" i="59"/>
  <c r="N26" i="59" s="1"/>
  <c r="B26" i="59"/>
  <c r="Z25" i="59"/>
  <c r="X25" i="59"/>
  <c r="V25" i="59"/>
  <c r="R25" i="59"/>
  <c r="N25" i="59"/>
  <c r="L25" i="59"/>
  <c r="B25" i="59"/>
  <c r="X24" i="59"/>
  <c r="Z24" i="59" s="1"/>
  <c r="V24" i="59"/>
  <c r="L24" i="59"/>
  <c r="N24" i="59" s="1"/>
  <c r="J24" i="59"/>
  <c r="B24" i="59"/>
  <c r="X23" i="59"/>
  <c r="Z23" i="59" s="1"/>
  <c r="V23" i="59"/>
  <c r="N23" i="59"/>
  <c r="L23" i="59"/>
  <c r="B23" i="59"/>
  <c r="Z22" i="59"/>
  <c r="X22" i="59"/>
  <c r="V22" i="59"/>
  <c r="L22" i="59"/>
  <c r="N22" i="59" s="1"/>
  <c r="B22" i="59"/>
  <c r="X21" i="59"/>
  <c r="Z21" i="59" s="1"/>
  <c r="V21" i="59"/>
  <c r="R21" i="59"/>
  <c r="L21" i="59"/>
  <c r="N21" i="59" s="1"/>
  <c r="B21" i="59"/>
  <c r="X20" i="59"/>
  <c r="Z20" i="59" s="1"/>
  <c r="V20" i="59"/>
  <c r="L20" i="59"/>
  <c r="N20" i="59" s="1"/>
  <c r="J20" i="59"/>
  <c r="B20" i="59"/>
  <c r="V19" i="59"/>
  <c r="T19" i="59"/>
  <c r="Z19" i="59" s="1"/>
  <c r="P19" i="59"/>
  <c r="X19" i="59" s="1"/>
  <c r="J19" i="59"/>
  <c r="H19" i="59"/>
  <c r="D19" i="59"/>
  <c r="B19" i="59"/>
  <c r="T18" i="59"/>
  <c r="P18" i="59"/>
  <c r="L18" i="59"/>
  <c r="N18" i="59" s="1"/>
  <c r="J18" i="59"/>
  <c r="H18" i="59"/>
  <c r="D18" i="59"/>
  <c r="J16" i="59"/>
  <c r="T14" i="59"/>
  <c r="Z14" i="59" s="1"/>
  <c r="P14" i="59"/>
  <c r="N14" i="59"/>
  <c r="L14" i="59"/>
  <c r="J14" i="59"/>
  <c r="H14" i="59"/>
  <c r="D14" i="59"/>
  <c r="Z12" i="59"/>
  <c r="T12" i="59"/>
  <c r="V69" i="59" s="1"/>
  <c r="P12" i="59"/>
  <c r="R31" i="59" s="1"/>
  <c r="H12" i="59"/>
  <c r="J58" i="59" s="1"/>
  <c r="D12" i="59"/>
  <c r="F43" i="59" s="1"/>
  <c r="D6" i="59"/>
  <c r="D4" i="59"/>
  <c r="F74" i="58"/>
  <c r="F71" i="58"/>
  <c r="Z69" i="58"/>
  <c r="X69" i="58"/>
  <c r="N69" i="58"/>
  <c r="L69" i="58"/>
  <c r="V67" i="58"/>
  <c r="V65" i="58"/>
  <c r="T65" i="58"/>
  <c r="Z65" i="58" s="1"/>
  <c r="P65" i="58"/>
  <c r="H65" i="58"/>
  <c r="N65" i="58" s="1"/>
  <c r="D65" i="58"/>
  <c r="X63" i="58"/>
  <c r="Z63" i="58" s="1"/>
  <c r="V63" i="58"/>
  <c r="N63" i="58"/>
  <c r="L63" i="58"/>
  <c r="B63" i="58"/>
  <c r="T62" i="58"/>
  <c r="P62" i="58"/>
  <c r="X62" i="58" s="1"/>
  <c r="Z62" i="58" s="1"/>
  <c r="N62" i="58"/>
  <c r="L62" i="58"/>
  <c r="H62" i="58"/>
  <c r="D62" i="58"/>
  <c r="B62" i="58"/>
  <c r="Z61" i="58"/>
  <c r="X61" i="58"/>
  <c r="N61" i="58"/>
  <c r="L61" i="58"/>
  <c r="B61" i="58"/>
  <c r="T60" i="58"/>
  <c r="P60" i="58"/>
  <c r="X60" i="58" s="1"/>
  <c r="Z60" i="58" s="1"/>
  <c r="L60" i="58"/>
  <c r="N60" i="58" s="1"/>
  <c r="H60" i="58"/>
  <c r="D60" i="58"/>
  <c r="B60" i="58"/>
  <c r="X59" i="58"/>
  <c r="Z59" i="58" s="1"/>
  <c r="L59" i="58"/>
  <c r="N59" i="58" s="1"/>
  <c r="J59" i="58"/>
  <c r="B59" i="58"/>
  <c r="T58" i="58"/>
  <c r="P58" i="58"/>
  <c r="X58" i="58" s="1"/>
  <c r="Z58" i="58" s="1"/>
  <c r="H58" i="58"/>
  <c r="D58" i="58"/>
  <c r="B58" i="58"/>
  <c r="X57" i="58"/>
  <c r="Z57" i="58" s="1"/>
  <c r="N57" i="58"/>
  <c r="L57" i="58"/>
  <c r="B57" i="58"/>
  <c r="Z56" i="58"/>
  <c r="X56" i="58"/>
  <c r="N56" i="58"/>
  <c r="L56" i="58"/>
  <c r="B56" i="58"/>
  <c r="X55" i="58"/>
  <c r="Z55" i="58" s="1"/>
  <c r="V55" i="58"/>
  <c r="N55" i="58"/>
  <c r="L55" i="58"/>
  <c r="B55" i="58"/>
  <c r="T54" i="58"/>
  <c r="P54" i="58"/>
  <c r="X54" i="58" s="1"/>
  <c r="Z54" i="58" s="1"/>
  <c r="N54" i="58"/>
  <c r="L54" i="58"/>
  <c r="H54" i="58"/>
  <c r="D54" i="58"/>
  <c r="B54" i="58"/>
  <c r="Z53" i="58"/>
  <c r="X53" i="58"/>
  <c r="N53" i="58"/>
  <c r="L53" i="58"/>
  <c r="B53" i="58"/>
  <c r="V52" i="58"/>
  <c r="T52" i="58"/>
  <c r="P52" i="58"/>
  <c r="X52" i="58" s="1"/>
  <c r="Z52" i="58" s="1"/>
  <c r="L52" i="58"/>
  <c r="N52" i="58" s="1"/>
  <c r="H52" i="58"/>
  <c r="D52" i="58"/>
  <c r="B52" i="58"/>
  <c r="X51" i="58"/>
  <c r="Z51" i="58" s="1"/>
  <c r="L51" i="58"/>
  <c r="N51" i="58" s="1"/>
  <c r="J51" i="58"/>
  <c r="B51" i="58"/>
  <c r="X50" i="58"/>
  <c r="Z50" i="58" s="1"/>
  <c r="N50" i="58"/>
  <c r="L50" i="58"/>
  <c r="B50" i="58"/>
  <c r="Z49" i="58"/>
  <c r="X49" i="58"/>
  <c r="T49" i="58"/>
  <c r="P49" i="58"/>
  <c r="L49" i="58"/>
  <c r="N49" i="58" s="1"/>
  <c r="H49" i="58"/>
  <c r="D49" i="58"/>
  <c r="B49" i="58"/>
  <c r="Z48" i="58"/>
  <c r="X48" i="58"/>
  <c r="N48" i="58"/>
  <c r="L48" i="58"/>
  <c r="B48" i="58"/>
  <c r="Z47" i="58"/>
  <c r="X47" i="58"/>
  <c r="V47" i="58"/>
  <c r="N47" i="58"/>
  <c r="L47" i="58"/>
  <c r="B47" i="58"/>
  <c r="T46" i="58"/>
  <c r="P46" i="58"/>
  <c r="X46" i="58" s="1"/>
  <c r="Z46" i="58" s="1"/>
  <c r="N46" i="58"/>
  <c r="L46" i="58"/>
  <c r="H46" i="58"/>
  <c r="D46" i="58"/>
  <c r="B46" i="58"/>
  <c r="Z45" i="58"/>
  <c r="X45" i="58"/>
  <c r="N45" i="58"/>
  <c r="L45" i="58"/>
  <c r="B45" i="58"/>
  <c r="V44" i="58"/>
  <c r="T44" i="58"/>
  <c r="P44" i="58"/>
  <c r="X44" i="58" s="1"/>
  <c r="Z44" i="58" s="1"/>
  <c r="L44" i="58"/>
  <c r="N44" i="58" s="1"/>
  <c r="H44" i="58"/>
  <c r="D44" i="58"/>
  <c r="B44" i="58"/>
  <c r="X43" i="58"/>
  <c r="Z43" i="58" s="1"/>
  <c r="L43" i="58"/>
  <c r="N43" i="58" s="1"/>
  <c r="J43" i="58"/>
  <c r="B43" i="58"/>
  <c r="X42" i="58"/>
  <c r="T42" i="58"/>
  <c r="Z42" i="58" s="1"/>
  <c r="P42" i="58"/>
  <c r="H42" i="58"/>
  <c r="D42" i="58"/>
  <c r="B42" i="58"/>
  <c r="X41" i="58"/>
  <c r="Z41" i="58" s="1"/>
  <c r="N41" i="58"/>
  <c r="L41" i="58"/>
  <c r="B41" i="58"/>
  <c r="Z40" i="58"/>
  <c r="X40" i="58"/>
  <c r="T40" i="58"/>
  <c r="P40" i="58"/>
  <c r="H40" i="58"/>
  <c r="D40" i="58"/>
  <c r="L40" i="58" s="1"/>
  <c r="N40" i="58" s="1"/>
  <c r="B40" i="58"/>
  <c r="Z39" i="58"/>
  <c r="X39" i="58"/>
  <c r="L39" i="58"/>
  <c r="N39" i="58" s="1"/>
  <c r="B39" i="58"/>
  <c r="X38" i="58"/>
  <c r="Z38" i="58" s="1"/>
  <c r="V38" i="58"/>
  <c r="T38" i="58"/>
  <c r="P38" i="58"/>
  <c r="H38" i="58"/>
  <c r="D38" i="58"/>
  <c r="L38" i="58" s="1"/>
  <c r="N38" i="58" s="1"/>
  <c r="B38" i="58"/>
  <c r="Z37" i="58"/>
  <c r="X37" i="58"/>
  <c r="L37" i="58"/>
  <c r="N37" i="58" s="1"/>
  <c r="F37" i="58"/>
  <c r="B37" i="58"/>
  <c r="V36" i="58"/>
  <c r="T36" i="58"/>
  <c r="P36" i="58"/>
  <c r="L36" i="58"/>
  <c r="H36" i="58"/>
  <c r="N36" i="58" s="1"/>
  <c r="F36" i="58"/>
  <c r="D36" i="58"/>
  <c r="B36" i="58"/>
  <c r="X35" i="58"/>
  <c r="Z35" i="58" s="1"/>
  <c r="V35" i="58"/>
  <c r="N35" i="58"/>
  <c r="L35" i="58"/>
  <c r="B35" i="58"/>
  <c r="T34" i="58"/>
  <c r="P34" i="58"/>
  <c r="X34" i="58" s="1"/>
  <c r="Z34" i="58" s="1"/>
  <c r="N34" i="58"/>
  <c r="L34" i="58"/>
  <c r="H34" i="58"/>
  <c r="D34" i="58"/>
  <c r="B34" i="58"/>
  <c r="Z33" i="58"/>
  <c r="X33" i="58"/>
  <c r="V33" i="58"/>
  <c r="N33" i="58"/>
  <c r="L33" i="58"/>
  <c r="B33" i="58"/>
  <c r="Z32" i="58"/>
  <c r="X32" i="58"/>
  <c r="V32" i="58"/>
  <c r="L32" i="58"/>
  <c r="N32" i="58" s="1"/>
  <c r="F32" i="58"/>
  <c r="B32" i="58"/>
  <c r="Z31" i="58"/>
  <c r="X31" i="58"/>
  <c r="L31" i="58"/>
  <c r="N31" i="58" s="1"/>
  <c r="B31" i="58"/>
  <c r="X30" i="58"/>
  <c r="Z30" i="58" s="1"/>
  <c r="V30" i="58"/>
  <c r="L30" i="58"/>
  <c r="N30" i="58" s="1"/>
  <c r="B30" i="58"/>
  <c r="V29" i="58"/>
  <c r="T29" i="58"/>
  <c r="Z29" i="58" s="1"/>
  <c r="P29" i="58"/>
  <c r="X29" i="58" s="1"/>
  <c r="H29" i="58"/>
  <c r="D29" i="58"/>
  <c r="L29" i="58" s="1"/>
  <c r="B29" i="58"/>
  <c r="X28" i="58"/>
  <c r="Z28" i="58" s="1"/>
  <c r="V28" i="58"/>
  <c r="R28" i="58"/>
  <c r="N28" i="58"/>
  <c r="L28" i="58"/>
  <c r="B28" i="58"/>
  <c r="X27" i="58"/>
  <c r="Z27" i="58" s="1"/>
  <c r="L27" i="58"/>
  <c r="N27" i="58" s="1"/>
  <c r="J27" i="58"/>
  <c r="F27" i="58"/>
  <c r="B27" i="58"/>
  <c r="X26" i="58"/>
  <c r="Z26" i="58" s="1"/>
  <c r="V26" i="58"/>
  <c r="N26" i="58"/>
  <c r="L26" i="58"/>
  <c r="F26" i="58"/>
  <c r="B26" i="58"/>
  <c r="Z25" i="58"/>
  <c r="X25" i="58"/>
  <c r="V25" i="58"/>
  <c r="L25" i="58"/>
  <c r="N25" i="58" s="1"/>
  <c r="F25" i="58"/>
  <c r="B25" i="58"/>
  <c r="X24" i="58"/>
  <c r="Z24" i="58" s="1"/>
  <c r="V24" i="58"/>
  <c r="R24" i="58"/>
  <c r="N24" i="58"/>
  <c r="L24" i="58"/>
  <c r="B24" i="58"/>
  <c r="X23" i="58"/>
  <c r="Z23" i="58" s="1"/>
  <c r="N23" i="58"/>
  <c r="L23" i="58"/>
  <c r="J23" i="58"/>
  <c r="F23" i="58"/>
  <c r="B23" i="58"/>
  <c r="X22" i="58"/>
  <c r="Z22" i="58" s="1"/>
  <c r="V22" i="58"/>
  <c r="N22" i="58"/>
  <c r="L22" i="58"/>
  <c r="F22" i="58"/>
  <c r="B22" i="58"/>
  <c r="Z21" i="58"/>
  <c r="X21" i="58"/>
  <c r="V21" i="58"/>
  <c r="L21" i="58"/>
  <c r="N21" i="58" s="1"/>
  <c r="F21" i="58"/>
  <c r="B21" i="58"/>
  <c r="X20" i="58"/>
  <c r="Z20" i="58" s="1"/>
  <c r="V20" i="58"/>
  <c r="R20" i="58"/>
  <c r="N20" i="58"/>
  <c r="L20" i="58"/>
  <c r="B20" i="58"/>
  <c r="X19" i="58"/>
  <c r="Z19" i="58" s="1"/>
  <c r="V19" i="58"/>
  <c r="T19" i="58"/>
  <c r="R19" i="58"/>
  <c r="P19" i="58"/>
  <c r="N19" i="58"/>
  <c r="L19" i="58"/>
  <c r="H19" i="58"/>
  <c r="D19" i="58"/>
  <c r="B19" i="58"/>
  <c r="T18" i="58"/>
  <c r="P18" i="58"/>
  <c r="H18" i="58"/>
  <c r="F18" i="58"/>
  <c r="D18" i="58"/>
  <c r="L18" i="58" s="1"/>
  <c r="N18" i="58" s="1"/>
  <c r="T16" i="58"/>
  <c r="F16" i="58"/>
  <c r="T14" i="58"/>
  <c r="Z14" i="58" s="1"/>
  <c r="P14" i="58"/>
  <c r="X14" i="58" s="1"/>
  <c r="N14" i="58"/>
  <c r="H14" i="58"/>
  <c r="F14" i="58"/>
  <c r="D14" i="58"/>
  <c r="L14" i="58" s="1"/>
  <c r="Z12" i="58"/>
  <c r="T12" i="58"/>
  <c r="V49" i="58" s="1"/>
  <c r="P12" i="58"/>
  <c r="P16" i="58" s="1"/>
  <c r="L12" i="58"/>
  <c r="H12" i="58"/>
  <c r="J61" i="58" s="1"/>
  <c r="D12" i="58"/>
  <c r="F61" i="58" s="1"/>
  <c r="D6" i="58"/>
  <c r="D4" i="58"/>
  <c r="V64" i="57"/>
  <c r="V61" i="57"/>
  <c r="Z59" i="57"/>
  <c r="X59" i="57"/>
  <c r="V59" i="57"/>
  <c r="N59" i="57"/>
  <c r="L59" i="57"/>
  <c r="F59" i="57"/>
  <c r="T55" i="57"/>
  <c r="Z55" i="57" s="1"/>
  <c r="P55" i="57"/>
  <c r="X55" i="57" s="1"/>
  <c r="H55" i="57"/>
  <c r="N55" i="57" s="1"/>
  <c r="D55" i="57"/>
  <c r="L55" i="57" s="1"/>
  <c r="Z53" i="57"/>
  <c r="X53" i="57"/>
  <c r="L53" i="57"/>
  <c r="N53" i="57" s="1"/>
  <c r="B53" i="57"/>
  <c r="V52" i="57"/>
  <c r="T52" i="57"/>
  <c r="X52" i="57" s="1"/>
  <c r="Z52" i="57" s="1"/>
  <c r="P52" i="57"/>
  <c r="H52" i="57"/>
  <c r="D52" i="57"/>
  <c r="B52" i="57"/>
  <c r="X51" i="57"/>
  <c r="Z51" i="57" s="1"/>
  <c r="L51" i="57"/>
  <c r="N51" i="57" s="1"/>
  <c r="B51" i="57"/>
  <c r="V50" i="57"/>
  <c r="T50" i="57"/>
  <c r="R50" i="57"/>
  <c r="P50" i="57"/>
  <c r="X50" i="57" s="1"/>
  <c r="H50" i="57"/>
  <c r="N50" i="57" s="1"/>
  <c r="D50" i="57"/>
  <c r="L50" i="57" s="1"/>
  <c r="B50" i="57"/>
  <c r="Z49" i="57"/>
  <c r="X49" i="57"/>
  <c r="R49" i="57"/>
  <c r="N49" i="57"/>
  <c r="L49" i="57"/>
  <c r="B49" i="57"/>
  <c r="X48" i="57"/>
  <c r="Z48" i="57" s="1"/>
  <c r="N48" i="57"/>
  <c r="L48" i="57"/>
  <c r="J48" i="57"/>
  <c r="B48" i="57"/>
  <c r="X47" i="57"/>
  <c r="T47" i="57"/>
  <c r="Z47" i="57" s="1"/>
  <c r="P47" i="57"/>
  <c r="L47" i="57"/>
  <c r="H47" i="57"/>
  <c r="D47" i="57"/>
  <c r="B47" i="57"/>
  <c r="Z46" i="57"/>
  <c r="X46" i="57"/>
  <c r="N46" i="57"/>
  <c r="L46" i="57"/>
  <c r="J46" i="57"/>
  <c r="B46" i="57"/>
  <c r="T45" i="57"/>
  <c r="Z45" i="57" s="1"/>
  <c r="P45" i="57"/>
  <c r="X45" i="57" s="1"/>
  <c r="H45" i="57"/>
  <c r="D45" i="57"/>
  <c r="B45" i="57"/>
  <c r="Z44" i="57"/>
  <c r="X44" i="57"/>
  <c r="L44" i="57"/>
  <c r="N44" i="57" s="1"/>
  <c r="B44" i="57"/>
  <c r="X43" i="57"/>
  <c r="Z43" i="57" s="1"/>
  <c r="T43" i="57"/>
  <c r="P43" i="57"/>
  <c r="H43" i="57"/>
  <c r="D43" i="57"/>
  <c r="L43" i="57" s="1"/>
  <c r="N43" i="57" s="1"/>
  <c r="B43" i="57"/>
  <c r="Z42" i="57"/>
  <c r="X42" i="57"/>
  <c r="N42" i="57"/>
  <c r="L42" i="57"/>
  <c r="F42" i="57"/>
  <c r="B42" i="57"/>
  <c r="X41" i="57"/>
  <c r="T41" i="57"/>
  <c r="Z41" i="57" s="1"/>
  <c r="P41" i="57"/>
  <c r="L41" i="57"/>
  <c r="H41" i="57"/>
  <c r="N41" i="57" s="1"/>
  <c r="F41" i="57"/>
  <c r="D41" i="57"/>
  <c r="B41" i="57"/>
  <c r="Z40" i="57"/>
  <c r="X40" i="57"/>
  <c r="V40" i="57"/>
  <c r="N40" i="57"/>
  <c r="L40" i="57"/>
  <c r="B40" i="57"/>
  <c r="T39" i="57"/>
  <c r="P39" i="57"/>
  <c r="H39" i="57"/>
  <c r="D39" i="57"/>
  <c r="L39" i="57" s="1"/>
  <c r="B39" i="57"/>
  <c r="Z38" i="57"/>
  <c r="X38" i="57"/>
  <c r="V38" i="57"/>
  <c r="N38" i="57"/>
  <c r="L38" i="57"/>
  <c r="B38" i="57"/>
  <c r="V37" i="57"/>
  <c r="T37" i="57"/>
  <c r="P37" i="57"/>
  <c r="X37" i="57" s="1"/>
  <c r="Z37" i="57" s="1"/>
  <c r="L37" i="57"/>
  <c r="N37" i="57" s="1"/>
  <c r="H37" i="57"/>
  <c r="D37" i="57"/>
  <c r="B37" i="57"/>
  <c r="X36" i="57"/>
  <c r="Z36" i="57" s="1"/>
  <c r="N36" i="57"/>
  <c r="L36" i="57"/>
  <c r="J36" i="57"/>
  <c r="B36" i="57"/>
  <c r="X35" i="57"/>
  <c r="T35" i="57"/>
  <c r="Z35" i="57" s="1"/>
  <c r="P35" i="57"/>
  <c r="H35" i="57"/>
  <c r="D35" i="57"/>
  <c r="B35" i="57"/>
  <c r="Z34" i="57"/>
  <c r="X34" i="57"/>
  <c r="N34" i="57"/>
  <c r="L34" i="57"/>
  <c r="J34" i="57"/>
  <c r="B34" i="57"/>
  <c r="T33" i="57"/>
  <c r="Z33" i="57" s="1"/>
  <c r="P33" i="57"/>
  <c r="X33" i="57" s="1"/>
  <c r="H33" i="57"/>
  <c r="D33" i="57"/>
  <c r="L33" i="57" s="1"/>
  <c r="B33" i="57"/>
  <c r="Z32" i="57"/>
  <c r="X32" i="57"/>
  <c r="V32" i="57"/>
  <c r="N32" i="57"/>
  <c r="L32" i="57"/>
  <c r="B32" i="57"/>
  <c r="X31" i="57"/>
  <c r="Z31" i="57" s="1"/>
  <c r="V31" i="57"/>
  <c r="L31" i="57"/>
  <c r="N31" i="57" s="1"/>
  <c r="B31" i="57"/>
  <c r="Z30" i="57"/>
  <c r="X30" i="57"/>
  <c r="V30" i="57"/>
  <c r="N30" i="57"/>
  <c r="L30" i="57"/>
  <c r="B30" i="57"/>
  <c r="Z29" i="57"/>
  <c r="X29" i="57"/>
  <c r="V29" i="57"/>
  <c r="L29" i="57"/>
  <c r="N29" i="57" s="1"/>
  <c r="F29" i="57"/>
  <c r="B29" i="57"/>
  <c r="V28" i="57"/>
  <c r="T28" i="57"/>
  <c r="P28" i="57"/>
  <c r="X28" i="57" s="1"/>
  <c r="H28" i="57"/>
  <c r="F28" i="57"/>
  <c r="D28" i="57"/>
  <c r="L28" i="57" s="1"/>
  <c r="B28" i="57"/>
  <c r="X27" i="57"/>
  <c r="Z27" i="57" s="1"/>
  <c r="N27" i="57"/>
  <c r="L27" i="57"/>
  <c r="F27" i="57"/>
  <c r="B27" i="57"/>
  <c r="Z26" i="57"/>
  <c r="X26" i="57"/>
  <c r="N26" i="57"/>
  <c r="L26" i="57"/>
  <c r="F26" i="57"/>
  <c r="B26" i="57"/>
  <c r="X25" i="57"/>
  <c r="Z25" i="57" s="1"/>
  <c r="V25" i="57"/>
  <c r="R25" i="57"/>
  <c r="N25" i="57"/>
  <c r="L25" i="57"/>
  <c r="F25" i="57"/>
  <c r="B25" i="57"/>
  <c r="X24" i="57"/>
  <c r="Z24" i="57" s="1"/>
  <c r="N24" i="57"/>
  <c r="L24" i="57"/>
  <c r="B24" i="57"/>
  <c r="X23" i="57"/>
  <c r="Z23" i="57" s="1"/>
  <c r="V23" i="57"/>
  <c r="N23" i="57"/>
  <c r="L23" i="57"/>
  <c r="F23" i="57"/>
  <c r="B23" i="57"/>
  <c r="Z22" i="57"/>
  <c r="X22" i="57"/>
  <c r="N22" i="57"/>
  <c r="L22" i="57"/>
  <c r="F22" i="57"/>
  <c r="B22" i="57"/>
  <c r="X21" i="57"/>
  <c r="Z21" i="57" s="1"/>
  <c r="V21" i="57"/>
  <c r="R21" i="57"/>
  <c r="N21" i="57"/>
  <c r="L21" i="57"/>
  <c r="F21" i="57"/>
  <c r="B21" i="57"/>
  <c r="X20" i="57"/>
  <c r="Z20" i="57" s="1"/>
  <c r="N20" i="57"/>
  <c r="L20" i="57"/>
  <c r="F20" i="57"/>
  <c r="B20" i="57"/>
  <c r="X19" i="57"/>
  <c r="V19" i="57"/>
  <c r="T19" i="57"/>
  <c r="Z19" i="57" s="1"/>
  <c r="P19" i="57"/>
  <c r="L19" i="57"/>
  <c r="H19" i="57"/>
  <c r="F19" i="57"/>
  <c r="D19" i="57"/>
  <c r="B19" i="57"/>
  <c r="T18" i="57"/>
  <c r="P18" i="57"/>
  <c r="N18" i="57"/>
  <c r="J18" i="57"/>
  <c r="H18" i="57"/>
  <c r="L18" i="57" s="1"/>
  <c r="D18" i="57"/>
  <c r="J16" i="57"/>
  <c r="T14" i="57"/>
  <c r="Z14" i="57" s="1"/>
  <c r="P14" i="57"/>
  <c r="N14" i="57"/>
  <c r="H14" i="57"/>
  <c r="L14" i="57" s="1"/>
  <c r="D14" i="57"/>
  <c r="Z12" i="57"/>
  <c r="T12" i="57"/>
  <c r="V42" i="57" s="1"/>
  <c r="P12" i="57"/>
  <c r="R52" i="57" s="1"/>
  <c r="H12" i="57"/>
  <c r="D12" i="57"/>
  <c r="F18" i="57" s="1"/>
  <c r="D6" i="57"/>
  <c r="D4" i="57"/>
  <c r="J76" i="56"/>
  <c r="J73" i="56"/>
  <c r="F73" i="56"/>
  <c r="Z71" i="56"/>
  <c r="X71" i="56"/>
  <c r="N71" i="56"/>
  <c r="L71" i="56"/>
  <c r="V69" i="56"/>
  <c r="Z67" i="56"/>
  <c r="T67" i="56"/>
  <c r="X67" i="56" s="1"/>
  <c r="P67" i="56"/>
  <c r="H67" i="56"/>
  <c r="D67" i="56"/>
  <c r="Z65" i="56"/>
  <c r="X65" i="56"/>
  <c r="V65" i="56"/>
  <c r="N65" i="56"/>
  <c r="L65" i="56"/>
  <c r="B65" i="56"/>
  <c r="Z64" i="56"/>
  <c r="X64" i="56"/>
  <c r="R64" i="56"/>
  <c r="L64" i="56"/>
  <c r="N64" i="56" s="1"/>
  <c r="B64" i="56"/>
  <c r="T63" i="56"/>
  <c r="P63" i="56"/>
  <c r="N63" i="56"/>
  <c r="J63" i="56"/>
  <c r="H63" i="56"/>
  <c r="L63" i="56" s="1"/>
  <c r="D63" i="56"/>
  <c r="B63" i="56"/>
  <c r="Z62" i="56"/>
  <c r="X62" i="56"/>
  <c r="L62" i="56"/>
  <c r="N62" i="56" s="1"/>
  <c r="F62" i="56"/>
  <c r="B62" i="56"/>
  <c r="T61" i="56"/>
  <c r="Z61" i="56" s="1"/>
  <c r="P61" i="56"/>
  <c r="X61" i="56" s="1"/>
  <c r="J61" i="56"/>
  <c r="H61" i="56"/>
  <c r="F61" i="56"/>
  <c r="D61" i="56"/>
  <c r="L61" i="56" s="1"/>
  <c r="B61" i="56"/>
  <c r="X60" i="56"/>
  <c r="Z60" i="56" s="1"/>
  <c r="N60" i="56"/>
  <c r="L60" i="56"/>
  <c r="F60" i="56"/>
  <c r="B60" i="56"/>
  <c r="Z59" i="56"/>
  <c r="X59" i="56"/>
  <c r="T59" i="56"/>
  <c r="P59" i="56"/>
  <c r="L59" i="56"/>
  <c r="H59" i="56"/>
  <c r="F59" i="56"/>
  <c r="D59" i="56"/>
  <c r="B59" i="56"/>
  <c r="Z58" i="56"/>
  <c r="X58" i="56"/>
  <c r="N58" i="56"/>
  <c r="L58" i="56"/>
  <c r="J58" i="56"/>
  <c r="B58" i="56"/>
  <c r="Z57" i="56"/>
  <c r="X57" i="56"/>
  <c r="L57" i="56"/>
  <c r="N57" i="56" s="1"/>
  <c r="B57" i="56"/>
  <c r="Z56" i="56"/>
  <c r="X56" i="56"/>
  <c r="R56" i="56"/>
  <c r="L56" i="56"/>
  <c r="N56" i="56" s="1"/>
  <c r="B56" i="56"/>
  <c r="T55" i="56"/>
  <c r="P55" i="56"/>
  <c r="J55" i="56"/>
  <c r="H55" i="56"/>
  <c r="L55" i="56" s="1"/>
  <c r="N55" i="56" s="1"/>
  <c r="D55" i="56"/>
  <c r="B55" i="56"/>
  <c r="Z54" i="56"/>
  <c r="X54" i="56"/>
  <c r="V54" i="56"/>
  <c r="L54" i="56"/>
  <c r="N54" i="56" s="1"/>
  <c r="F54" i="56"/>
  <c r="B54" i="56"/>
  <c r="T53" i="56"/>
  <c r="Z53" i="56" s="1"/>
  <c r="P53" i="56"/>
  <c r="X53" i="56" s="1"/>
  <c r="J53" i="56"/>
  <c r="H53" i="56"/>
  <c r="N53" i="56" s="1"/>
  <c r="F53" i="56"/>
  <c r="D53" i="56"/>
  <c r="L53" i="56" s="1"/>
  <c r="B53" i="56"/>
  <c r="Z52" i="56"/>
  <c r="X52" i="56"/>
  <c r="N52" i="56"/>
  <c r="L52" i="56"/>
  <c r="F52" i="56"/>
  <c r="B52" i="56"/>
  <c r="Z51" i="56"/>
  <c r="X51" i="56"/>
  <c r="N51" i="56"/>
  <c r="L51" i="56"/>
  <c r="B51" i="56"/>
  <c r="T50" i="56"/>
  <c r="P50" i="56"/>
  <c r="L50" i="56"/>
  <c r="N50" i="56" s="1"/>
  <c r="H50" i="56"/>
  <c r="F50" i="56"/>
  <c r="D50" i="56"/>
  <c r="B50" i="56"/>
  <c r="Z49" i="56"/>
  <c r="X49" i="56"/>
  <c r="N49" i="56"/>
  <c r="L49" i="56"/>
  <c r="B49" i="56"/>
  <c r="Z48" i="56"/>
  <c r="X48" i="56"/>
  <c r="R48" i="56"/>
  <c r="N48" i="56"/>
  <c r="L48" i="56"/>
  <c r="B48" i="56"/>
  <c r="T47" i="56"/>
  <c r="P47" i="56"/>
  <c r="X47" i="56" s="1"/>
  <c r="N47" i="56"/>
  <c r="J47" i="56"/>
  <c r="H47" i="56"/>
  <c r="L47" i="56" s="1"/>
  <c r="D47" i="56"/>
  <c r="B47" i="56"/>
  <c r="Z46" i="56"/>
  <c r="X46" i="56"/>
  <c r="V46" i="56"/>
  <c r="L46" i="56"/>
  <c r="N46" i="56" s="1"/>
  <c r="F46" i="56"/>
  <c r="B46" i="56"/>
  <c r="T45" i="56"/>
  <c r="Z45" i="56" s="1"/>
  <c r="P45" i="56"/>
  <c r="X45" i="56" s="1"/>
  <c r="J45" i="56"/>
  <c r="H45" i="56"/>
  <c r="F45" i="56"/>
  <c r="D45" i="56"/>
  <c r="L45" i="56" s="1"/>
  <c r="B45" i="56"/>
  <c r="X44" i="56"/>
  <c r="Z44" i="56" s="1"/>
  <c r="N44" i="56"/>
  <c r="L44" i="56"/>
  <c r="F44" i="56"/>
  <c r="B44" i="56"/>
  <c r="Z43" i="56"/>
  <c r="X43" i="56"/>
  <c r="T43" i="56"/>
  <c r="P43" i="56"/>
  <c r="L43" i="56"/>
  <c r="H43" i="56"/>
  <c r="N43" i="56" s="1"/>
  <c r="F43" i="56"/>
  <c r="D43" i="56"/>
  <c r="B43" i="56"/>
  <c r="Z42" i="56"/>
  <c r="X42" i="56"/>
  <c r="N42" i="56"/>
  <c r="L42" i="56"/>
  <c r="J42" i="56"/>
  <c r="B42" i="56"/>
  <c r="V41" i="56"/>
  <c r="T41" i="56"/>
  <c r="X41" i="56" s="1"/>
  <c r="Z41" i="56" s="1"/>
  <c r="P41" i="56"/>
  <c r="H41" i="56"/>
  <c r="D41" i="56"/>
  <c r="B41" i="56"/>
  <c r="X40" i="56"/>
  <c r="Z40" i="56" s="1"/>
  <c r="L40" i="56"/>
  <c r="N40" i="56" s="1"/>
  <c r="B40" i="56"/>
  <c r="T39" i="56"/>
  <c r="R39" i="56"/>
  <c r="P39" i="56"/>
  <c r="X39" i="56" s="1"/>
  <c r="H39" i="56"/>
  <c r="N39" i="56" s="1"/>
  <c r="D39" i="56"/>
  <c r="L39" i="56" s="1"/>
  <c r="B39" i="56"/>
  <c r="X38" i="56"/>
  <c r="Z38" i="56" s="1"/>
  <c r="R38" i="56"/>
  <c r="N38" i="56"/>
  <c r="L38" i="56"/>
  <c r="B38" i="56"/>
  <c r="X37" i="56"/>
  <c r="T37" i="56"/>
  <c r="Z37" i="56" s="1"/>
  <c r="R37" i="56"/>
  <c r="P37" i="56"/>
  <c r="N37" i="56"/>
  <c r="L37" i="56"/>
  <c r="H37" i="56"/>
  <c r="D37" i="56"/>
  <c r="B37" i="56"/>
  <c r="Z36" i="56"/>
  <c r="X36" i="56"/>
  <c r="R36" i="56"/>
  <c r="L36" i="56"/>
  <c r="N36" i="56" s="1"/>
  <c r="J36" i="56"/>
  <c r="B36" i="56"/>
  <c r="T35" i="56"/>
  <c r="P35" i="56"/>
  <c r="X35" i="56" s="1"/>
  <c r="N35" i="56"/>
  <c r="J35" i="56"/>
  <c r="H35" i="56"/>
  <c r="L35" i="56" s="1"/>
  <c r="D35" i="56"/>
  <c r="B35" i="56"/>
  <c r="Z34" i="56"/>
  <c r="X34" i="56"/>
  <c r="L34" i="56"/>
  <c r="N34" i="56" s="1"/>
  <c r="F34" i="56"/>
  <c r="B34" i="56"/>
  <c r="T33" i="56"/>
  <c r="P33" i="56"/>
  <c r="X33" i="56" s="1"/>
  <c r="J33" i="56"/>
  <c r="H33" i="56"/>
  <c r="F33" i="56"/>
  <c r="D33" i="56"/>
  <c r="L33" i="56" s="1"/>
  <c r="B33" i="56"/>
  <c r="Z32" i="56"/>
  <c r="X32" i="56"/>
  <c r="N32" i="56"/>
  <c r="L32" i="56"/>
  <c r="F32" i="56"/>
  <c r="B32" i="56"/>
  <c r="Z31" i="56"/>
  <c r="X31" i="56"/>
  <c r="N31" i="56"/>
  <c r="L31" i="56"/>
  <c r="F31" i="56"/>
  <c r="B31" i="56"/>
  <c r="X30" i="56"/>
  <c r="Z30" i="56" s="1"/>
  <c r="R30" i="56"/>
  <c r="N30" i="56"/>
  <c r="L30" i="56"/>
  <c r="B30" i="56"/>
  <c r="X29" i="56"/>
  <c r="T29" i="56"/>
  <c r="Z29" i="56" s="1"/>
  <c r="R29" i="56"/>
  <c r="P29" i="56"/>
  <c r="N29" i="56"/>
  <c r="L29" i="56"/>
  <c r="H29" i="56"/>
  <c r="D29" i="56"/>
  <c r="B29" i="56"/>
  <c r="Z28" i="56"/>
  <c r="X28" i="56"/>
  <c r="R28" i="56"/>
  <c r="L28" i="56"/>
  <c r="N28" i="56" s="1"/>
  <c r="J28" i="56"/>
  <c r="B28" i="56"/>
  <c r="Z27" i="56"/>
  <c r="X27" i="56"/>
  <c r="R27" i="56"/>
  <c r="L27" i="56"/>
  <c r="N27" i="56" s="1"/>
  <c r="J27" i="56"/>
  <c r="B27" i="56"/>
  <c r="Z26" i="56"/>
  <c r="X26" i="56"/>
  <c r="N26" i="56"/>
  <c r="L26" i="56"/>
  <c r="J26" i="56"/>
  <c r="B26" i="56"/>
  <c r="Z25" i="56"/>
  <c r="X25" i="56"/>
  <c r="V25" i="56"/>
  <c r="R25" i="56"/>
  <c r="L25" i="56"/>
  <c r="N25" i="56" s="1"/>
  <c r="B25" i="56"/>
  <c r="Z24" i="56"/>
  <c r="X24" i="56"/>
  <c r="R24" i="56"/>
  <c r="L24" i="56"/>
  <c r="N24" i="56" s="1"/>
  <c r="J24" i="56"/>
  <c r="B24" i="56"/>
  <c r="Z23" i="56"/>
  <c r="X23" i="56"/>
  <c r="R23" i="56"/>
  <c r="L23" i="56"/>
  <c r="N23" i="56" s="1"/>
  <c r="J23" i="56"/>
  <c r="B23" i="56"/>
  <c r="Z22" i="56"/>
  <c r="X22" i="56"/>
  <c r="N22" i="56"/>
  <c r="L22" i="56"/>
  <c r="J22" i="56"/>
  <c r="B22" i="56"/>
  <c r="Z21" i="56"/>
  <c r="X21" i="56"/>
  <c r="V21" i="56"/>
  <c r="R21" i="56"/>
  <c r="L21" i="56"/>
  <c r="N21" i="56" s="1"/>
  <c r="B21" i="56"/>
  <c r="Z20" i="56"/>
  <c r="X20" i="56"/>
  <c r="R20" i="56"/>
  <c r="L20" i="56"/>
  <c r="N20" i="56" s="1"/>
  <c r="J20" i="56"/>
  <c r="B20" i="56"/>
  <c r="T19" i="56"/>
  <c r="P19" i="56"/>
  <c r="N19" i="56"/>
  <c r="J19" i="56"/>
  <c r="H19" i="56"/>
  <c r="D19" i="56"/>
  <c r="L19" i="56" s="1"/>
  <c r="B19" i="56"/>
  <c r="V18" i="56"/>
  <c r="T18" i="56"/>
  <c r="P18" i="56"/>
  <c r="X18" i="56" s="1"/>
  <c r="L18" i="56"/>
  <c r="J18" i="56"/>
  <c r="H18" i="56"/>
  <c r="D18" i="56"/>
  <c r="V16" i="56"/>
  <c r="J16" i="56"/>
  <c r="V14" i="56"/>
  <c r="T14" i="56"/>
  <c r="Z14" i="56" s="1"/>
  <c r="P14" i="56"/>
  <c r="L14" i="56"/>
  <c r="J14" i="56"/>
  <c r="H14" i="56"/>
  <c r="N14" i="56" s="1"/>
  <c r="D14" i="56"/>
  <c r="T12" i="56"/>
  <c r="V57" i="56" s="1"/>
  <c r="P12" i="56"/>
  <c r="R69" i="56" s="1"/>
  <c r="L12" i="56"/>
  <c r="H12" i="56"/>
  <c r="J37" i="56" s="1"/>
  <c r="D12" i="56"/>
  <c r="D6" i="56"/>
  <c r="D4" i="56"/>
  <c r="R37" i="55"/>
  <c r="F37" i="55"/>
  <c r="R34" i="55"/>
  <c r="Z32" i="55"/>
  <c r="X32" i="55"/>
  <c r="N32" i="55"/>
  <c r="L32" i="55"/>
  <c r="F32" i="55"/>
  <c r="V30" i="55"/>
  <c r="J30" i="55"/>
  <c r="X28" i="55"/>
  <c r="V28" i="55"/>
  <c r="T28" i="55"/>
  <c r="Z28" i="55" s="1"/>
  <c r="P28" i="55"/>
  <c r="J28" i="55"/>
  <c r="H28" i="55"/>
  <c r="N28" i="55" s="1"/>
  <c r="D28" i="55"/>
  <c r="L28" i="55" s="1"/>
  <c r="X26" i="55"/>
  <c r="Z26" i="55" s="1"/>
  <c r="V26" i="55"/>
  <c r="R26" i="55"/>
  <c r="N26" i="55"/>
  <c r="L26" i="55"/>
  <c r="B26" i="55"/>
  <c r="V25" i="55"/>
  <c r="T25" i="55"/>
  <c r="R25" i="55"/>
  <c r="P25" i="55"/>
  <c r="X25" i="55" s="1"/>
  <c r="Z25" i="55" s="1"/>
  <c r="N25" i="55"/>
  <c r="J25" i="55"/>
  <c r="H25" i="55"/>
  <c r="D25" i="55"/>
  <c r="L25" i="55" s="1"/>
  <c r="B25" i="55"/>
  <c r="X24" i="55"/>
  <c r="Z24" i="55" s="1"/>
  <c r="R24" i="55"/>
  <c r="N24" i="55"/>
  <c r="L24" i="55"/>
  <c r="B24" i="55"/>
  <c r="X23" i="55"/>
  <c r="T23" i="55"/>
  <c r="R23" i="55"/>
  <c r="P23" i="55"/>
  <c r="L23" i="55"/>
  <c r="N23" i="55" s="1"/>
  <c r="J23" i="55"/>
  <c r="H23" i="55"/>
  <c r="D23" i="55"/>
  <c r="B23" i="55"/>
  <c r="Z22" i="55"/>
  <c r="X22" i="55"/>
  <c r="R22" i="55"/>
  <c r="L22" i="55"/>
  <c r="N22" i="55" s="1"/>
  <c r="J22" i="55"/>
  <c r="B22" i="55"/>
  <c r="T21" i="55"/>
  <c r="R21" i="55"/>
  <c r="P21" i="55"/>
  <c r="J21" i="55"/>
  <c r="H21" i="55"/>
  <c r="N21" i="55" s="1"/>
  <c r="D21" i="55"/>
  <c r="L21" i="55" s="1"/>
  <c r="B21" i="55"/>
  <c r="Z20" i="55"/>
  <c r="X20" i="55"/>
  <c r="V20" i="55"/>
  <c r="R20" i="55"/>
  <c r="L20" i="55"/>
  <c r="N20" i="55" s="1"/>
  <c r="F20" i="55"/>
  <c r="B20" i="55"/>
  <c r="V19" i="55"/>
  <c r="T19" i="55"/>
  <c r="P19" i="55"/>
  <c r="X19" i="55" s="1"/>
  <c r="Z19" i="55" s="1"/>
  <c r="J19" i="55"/>
  <c r="H19" i="55"/>
  <c r="D19" i="55"/>
  <c r="L19" i="55" s="1"/>
  <c r="N19" i="55" s="1"/>
  <c r="B19" i="55"/>
  <c r="X18" i="55"/>
  <c r="Z18" i="55" s="1"/>
  <c r="T18" i="55"/>
  <c r="R18" i="55"/>
  <c r="P18" i="55"/>
  <c r="H18" i="55"/>
  <c r="D18" i="55"/>
  <c r="R16" i="55"/>
  <c r="H16" i="55"/>
  <c r="F16" i="55"/>
  <c r="D16" i="55"/>
  <c r="Z14" i="55"/>
  <c r="X14" i="55"/>
  <c r="T14" i="55"/>
  <c r="R14" i="55"/>
  <c r="P14" i="55"/>
  <c r="P16" i="55" s="1"/>
  <c r="P30" i="55" s="1"/>
  <c r="P34" i="55" s="1"/>
  <c r="J14" i="55"/>
  <c r="H14" i="55"/>
  <c r="N14" i="55" s="1"/>
  <c r="D14" i="55"/>
  <c r="L14" i="55" s="1"/>
  <c r="Z12" i="55"/>
  <c r="X12" i="55"/>
  <c r="T12" i="55"/>
  <c r="V37" i="55" s="1"/>
  <c r="P12" i="55"/>
  <c r="R30" i="55" s="1"/>
  <c r="N12" i="55"/>
  <c r="L12" i="55"/>
  <c r="H12" i="55"/>
  <c r="J24" i="55" s="1"/>
  <c r="D12" i="55"/>
  <c r="F19" i="55" s="1"/>
  <c r="D6" i="55"/>
  <c r="D4" i="55"/>
  <c r="Z29" i="54"/>
  <c r="T29" i="54"/>
  <c r="X29" i="54" s="1"/>
  <c r="P29" i="54"/>
  <c r="H29" i="54"/>
  <c r="D29" i="54"/>
  <c r="L29" i="54" s="1"/>
  <c r="X28" i="54"/>
  <c r="Z28" i="54" s="1"/>
  <c r="T28" i="54"/>
  <c r="P28" i="54"/>
  <c r="N28" i="54"/>
  <c r="H28" i="54"/>
  <c r="L28" i="54" s="1"/>
  <c r="D28" i="54"/>
  <c r="T26" i="54"/>
  <c r="Z26" i="54" s="1"/>
  <c r="Z24" i="54"/>
  <c r="X24" i="54"/>
  <c r="R24" i="54"/>
  <c r="N24" i="54"/>
  <c r="L24" i="54"/>
  <c r="F24" i="54"/>
  <c r="T22" i="54"/>
  <c r="Z22" i="54" s="1"/>
  <c r="R22" i="54"/>
  <c r="P22" i="54"/>
  <c r="P26" i="54" s="1"/>
  <c r="F22" i="54"/>
  <c r="T20" i="54"/>
  <c r="Z20" i="54" s="1"/>
  <c r="P20" i="54"/>
  <c r="X20" i="54" s="1"/>
  <c r="H20" i="54"/>
  <c r="N20" i="54" s="1"/>
  <c r="F20" i="54"/>
  <c r="D20" i="54"/>
  <c r="L20" i="54" s="1"/>
  <c r="X18" i="54"/>
  <c r="T18" i="54"/>
  <c r="Z18" i="54" s="1"/>
  <c r="P18" i="54"/>
  <c r="H18" i="54"/>
  <c r="N18" i="54" s="1"/>
  <c r="D18" i="54"/>
  <c r="L18" i="54" s="1"/>
  <c r="T16" i="54"/>
  <c r="Z16" i="54" s="1"/>
  <c r="R16" i="54"/>
  <c r="P16" i="54"/>
  <c r="X16" i="54" s="1"/>
  <c r="F16" i="54"/>
  <c r="X14" i="54"/>
  <c r="T14" i="54"/>
  <c r="Z14" i="54" s="1"/>
  <c r="R14" i="54"/>
  <c r="P14" i="54"/>
  <c r="H14" i="54"/>
  <c r="N14" i="54" s="1"/>
  <c r="F14" i="54"/>
  <c r="D14" i="54"/>
  <c r="X12" i="54"/>
  <c r="T12" i="54"/>
  <c r="V31" i="54" s="1"/>
  <c r="P12" i="54"/>
  <c r="R20" i="54" s="1"/>
  <c r="N12" i="54"/>
  <c r="H12" i="54"/>
  <c r="J24" i="54" s="1"/>
  <c r="D12" i="54"/>
  <c r="D6" i="54"/>
  <c r="D4" i="54"/>
  <c r="Z94" i="51"/>
  <c r="X94" i="51"/>
  <c r="L94" i="51"/>
  <c r="N94" i="51" s="1"/>
  <c r="T90" i="51"/>
  <c r="P90" i="51"/>
  <c r="H90" i="51"/>
  <c r="D90" i="51"/>
  <c r="B90" i="51"/>
  <c r="T89" i="51"/>
  <c r="Z89" i="51" s="1"/>
  <c r="P89" i="51"/>
  <c r="N89" i="51"/>
  <c r="H89" i="51"/>
  <c r="D89" i="51"/>
  <c r="L89" i="51" s="1"/>
  <c r="B89" i="51"/>
  <c r="X88" i="51"/>
  <c r="T88" i="51"/>
  <c r="P88" i="51"/>
  <c r="H88" i="51"/>
  <c r="D88" i="51"/>
  <c r="B88" i="51"/>
  <c r="Z85" i="51"/>
  <c r="X85" i="51"/>
  <c r="N85" i="51"/>
  <c r="L85" i="51"/>
  <c r="B85" i="51"/>
  <c r="T84" i="51"/>
  <c r="P84" i="51"/>
  <c r="H84" i="51"/>
  <c r="D84" i="51"/>
  <c r="B84" i="51"/>
  <c r="X83" i="51"/>
  <c r="Z83" i="51" s="1"/>
  <c r="N83" i="51"/>
  <c r="L83" i="51"/>
  <c r="B83" i="51"/>
  <c r="X82" i="51"/>
  <c r="Z82" i="51" s="1"/>
  <c r="L82" i="51"/>
  <c r="N82" i="51" s="1"/>
  <c r="B82" i="51"/>
  <c r="T81" i="51"/>
  <c r="R81" i="51"/>
  <c r="P81" i="51"/>
  <c r="X81" i="51" s="1"/>
  <c r="Z81" i="51" s="1"/>
  <c r="H81" i="51"/>
  <c r="D81" i="51"/>
  <c r="L81" i="51" s="1"/>
  <c r="B81" i="51"/>
  <c r="Z80" i="51"/>
  <c r="X80" i="51"/>
  <c r="N80" i="51"/>
  <c r="L80" i="51"/>
  <c r="B80" i="51"/>
  <c r="Z79" i="51"/>
  <c r="X79" i="51"/>
  <c r="T79" i="51"/>
  <c r="P79" i="51"/>
  <c r="N79" i="51"/>
  <c r="H79" i="51"/>
  <c r="D79" i="51"/>
  <c r="L79" i="51" s="1"/>
  <c r="B79" i="51"/>
  <c r="Z78" i="51"/>
  <c r="X78" i="51"/>
  <c r="L78" i="51"/>
  <c r="N78" i="51" s="1"/>
  <c r="B78" i="51"/>
  <c r="T77" i="51"/>
  <c r="X77" i="51" s="1"/>
  <c r="Z77" i="51" s="1"/>
  <c r="P77" i="51"/>
  <c r="H77" i="51"/>
  <c r="D77" i="51"/>
  <c r="L77" i="51" s="1"/>
  <c r="N77" i="51" s="1"/>
  <c r="B77" i="51"/>
  <c r="X76" i="51"/>
  <c r="Z76" i="51" s="1"/>
  <c r="L76" i="51"/>
  <c r="N76" i="51" s="1"/>
  <c r="B76" i="51"/>
  <c r="T75" i="51"/>
  <c r="P75" i="51"/>
  <c r="N75" i="51"/>
  <c r="H75" i="51"/>
  <c r="D75" i="51"/>
  <c r="L75" i="51" s="1"/>
  <c r="B75" i="51"/>
  <c r="X74" i="51"/>
  <c r="Z74" i="51" s="1"/>
  <c r="N74" i="51"/>
  <c r="L74" i="51"/>
  <c r="B74" i="51"/>
  <c r="Z73" i="51"/>
  <c r="T73" i="51"/>
  <c r="P73" i="51"/>
  <c r="X73" i="51" s="1"/>
  <c r="N73" i="51"/>
  <c r="L73" i="51"/>
  <c r="H73" i="51"/>
  <c r="D73" i="51"/>
  <c r="B73" i="51"/>
  <c r="X72" i="51"/>
  <c r="Z72" i="51" s="1"/>
  <c r="N72" i="51"/>
  <c r="L72" i="51"/>
  <c r="B72" i="51"/>
  <c r="T71" i="51"/>
  <c r="P71" i="51"/>
  <c r="X71" i="51" s="1"/>
  <c r="Z71" i="51" s="1"/>
  <c r="H71" i="51"/>
  <c r="L71" i="51" s="1"/>
  <c r="D71" i="51"/>
  <c r="B71" i="51"/>
  <c r="X70" i="51"/>
  <c r="Z70" i="51" s="1"/>
  <c r="L70" i="51"/>
  <c r="N70" i="51" s="1"/>
  <c r="B70" i="51"/>
  <c r="T69" i="51"/>
  <c r="P69" i="51"/>
  <c r="X69" i="51" s="1"/>
  <c r="Z69" i="51" s="1"/>
  <c r="H69" i="51"/>
  <c r="D69" i="51"/>
  <c r="L69" i="51" s="1"/>
  <c r="B69" i="51"/>
  <c r="X68" i="51"/>
  <c r="Z68" i="51" s="1"/>
  <c r="L68" i="51"/>
  <c r="N68" i="51" s="1"/>
  <c r="B68" i="51"/>
  <c r="Z67" i="51"/>
  <c r="X67" i="51"/>
  <c r="T67" i="51"/>
  <c r="P67" i="51"/>
  <c r="H67" i="51"/>
  <c r="D67" i="51"/>
  <c r="L67" i="51" s="1"/>
  <c r="N67" i="51" s="1"/>
  <c r="B67" i="51"/>
  <c r="Z66" i="51"/>
  <c r="X66" i="51"/>
  <c r="L66" i="51"/>
  <c r="N66" i="51" s="1"/>
  <c r="B66" i="51"/>
  <c r="Z65" i="51"/>
  <c r="X65" i="51"/>
  <c r="N65" i="51"/>
  <c r="L65" i="51"/>
  <c r="B65" i="51"/>
  <c r="X64" i="51"/>
  <c r="Z64" i="51" s="1"/>
  <c r="L64" i="51"/>
  <c r="N64" i="51" s="1"/>
  <c r="B64" i="51"/>
  <c r="Z63" i="51"/>
  <c r="X63" i="51"/>
  <c r="L63" i="51"/>
  <c r="N63" i="51" s="1"/>
  <c r="B63" i="51"/>
  <c r="T62" i="51"/>
  <c r="Z62" i="51" s="1"/>
  <c r="P62" i="51"/>
  <c r="X62" i="51" s="1"/>
  <c r="H62" i="51"/>
  <c r="D62" i="51"/>
  <c r="L62" i="51" s="1"/>
  <c r="B62" i="51"/>
  <c r="Z61" i="51"/>
  <c r="X61" i="51"/>
  <c r="N61" i="51"/>
  <c r="L61" i="51"/>
  <c r="B61" i="51"/>
  <c r="Z60" i="51"/>
  <c r="X60" i="51"/>
  <c r="L60" i="51"/>
  <c r="N60" i="51" s="1"/>
  <c r="B60" i="51"/>
  <c r="X59" i="51"/>
  <c r="Z59" i="51" s="1"/>
  <c r="L59" i="51"/>
  <c r="N59" i="51" s="1"/>
  <c r="B59" i="51"/>
  <c r="X58" i="51"/>
  <c r="Z58" i="51" s="1"/>
  <c r="L58" i="51"/>
  <c r="N58" i="51" s="1"/>
  <c r="B58" i="51"/>
  <c r="Z57" i="51"/>
  <c r="X57" i="51"/>
  <c r="N57" i="51"/>
  <c r="L57" i="51"/>
  <c r="B57" i="51"/>
  <c r="Z56" i="51"/>
  <c r="X56" i="51"/>
  <c r="L56" i="51"/>
  <c r="N56" i="51" s="1"/>
  <c r="B56" i="51"/>
  <c r="X55" i="51"/>
  <c r="Z55" i="51" s="1"/>
  <c r="L55" i="51"/>
  <c r="N55" i="51" s="1"/>
  <c r="B55" i="51"/>
  <c r="X54" i="51"/>
  <c r="Z54" i="51" s="1"/>
  <c r="L54" i="51"/>
  <c r="N54" i="51" s="1"/>
  <c r="B54" i="51"/>
  <c r="Z53" i="51"/>
  <c r="X53" i="51"/>
  <c r="N53" i="51"/>
  <c r="L53" i="51"/>
  <c r="B53" i="51"/>
  <c r="X52" i="51"/>
  <c r="T52" i="51"/>
  <c r="P52" i="51"/>
  <c r="L52" i="51"/>
  <c r="H52" i="51"/>
  <c r="D52" i="51"/>
  <c r="B52" i="51"/>
  <c r="X51" i="51"/>
  <c r="Z51" i="51" s="1"/>
  <c r="T51" i="51"/>
  <c r="P51" i="51"/>
  <c r="H51" i="51"/>
  <c r="D51" i="51"/>
  <c r="L51" i="51" s="1"/>
  <c r="N51" i="51" s="1"/>
  <c r="Z47" i="51"/>
  <c r="X47" i="51"/>
  <c r="N47" i="51"/>
  <c r="L47" i="51"/>
  <c r="B47" i="51"/>
  <c r="Z46" i="51"/>
  <c r="X46" i="51"/>
  <c r="N46" i="51"/>
  <c r="L46" i="51"/>
  <c r="B46" i="51"/>
  <c r="Z45" i="51"/>
  <c r="X45" i="51"/>
  <c r="L45" i="51"/>
  <c r="N45" i="51" s="1"/>
  <c r="B45" i="51"/>
  <c r="X44" i="51"/>
  <c r="Z44" i="51" s="1"/>
  <c r="L44" i="51"/>
  <c r="N44" i="51" s="1"/>
  <c r="B44" i="51"/>
  <c r="X43" i="51"/>
  <c r="Z43" i="51" s="1"/>
  <c r="N43" i="51"/>
  <c r="L43" i="51"/>
  <c r="B43" i="51"/>
  <c r="Z42" i="51"/>
  <c r="X42" i="51"/>
  <c r="N42" i="51"/>
  <c r="L42" i="51"/>
  <c r="B42" i="51"/>
  <c r="Z41" i="51"/>
  <c r="X41" i="51"/>
  <c r="N41" i="51"/>
  <c r="L41" i="51"/>
  <c r="B41" i="51"/>
  <c r="X40" i="51"/>
  <c r="Z40" i="51" s="1"/>
  <c r="L40" i="51"/>
  <c r="N40" i="51" s="1"/>
  <c r="B40" i="51"/>
  <c r="Z39" i="51"/>
  <c r="X39" i="51"/>
  <c r="N39" i="51"/>
  <c r="L39" i="51"/>
  <c r="B39" i="51"/>
  <c r="X38" i="51"/>
  <c r="Z38" i="51" s="1"/>
  <c r="L38" i="51"/>
  <c r="N38" i="51" s="1"/>
  <c r="B38" i="51"/>
  <c r="Z37" i="51"/>
  <c r="X37" i="51"/>
  <c r="N37" i="51"/>
  <c r="L37" i="51"/>
  <c r="B37" i="51"/>
  <c r="T36" i="51"/>
  <c r="P36" i="51"/>
  <c r="H36" i="51"/>
  <c r="N36" i="51" s="1"/>
  <c r="D36" i="51"/>
  <c r="L36" i="51" s="1"/>
  <c r="T34" i="51"/>
  <c r="Z34" i="51" s="1"/>
  <c r="P34" i="51"/>
  <c r="X34" i="51" s="1"/>
  <c r="H34" i="51"/>
  <c r="N34" i="51" s="1"/>
  <c r="D34" i="51"/>
  <c r="L34" i="51" s="1"/>
  <c r="B34" i="51"/>
  <c r="T33" i="51"/>
  <c r="X33" i="51" s="1"/>
  <c r="P33" i="51"/>
  <c r="N33" i="51"/>
  <c r="H33" i="51"/>
  <c r="L33" i="51" s="1"/>
  <c r="D33" i="51"/>
  <c r="B33" i="51"/>
  <c r="T32" i="51"/>
  <c r="P32" i="51"/>
  <c r="H32" i="51"/>
  <c r="D32" i="51"/>
  <c r="L32" i="51" s="1"/>
  <c r="N32" i="51" s="1"/>
  <c r="B32" i="51"/>
  <c r="Z31" i="51"/>
  <c r="T31" i="51"/>
  <c r="P31" i="51"/>
  <c r="X31" i="51" s="1"/>
  <c r="H31" i="51"/>
  <c r="N31" i="51" s="1"/>
  <c r="D31" i="51"/>
  <c r="L31" i="51" s="1"/>
  <c r="B31" i="51"/>
  <c r="T30" i="51"/>
  <c r="Z30" i="51" s="1"/>
  <c r="P30" i="51"/>
  <c r="X30" i="51" s="1"/>
  <c r="H30" i="51"/>
  <c r="N30" i="51" s="1"/>
  <c r="D30" i="51"/>
  <c r="B30" i="51"/>
  <c r="T29" i="51"/>
  <c r="P29" i="51"/>
  <c r="N29" i="51"/>
  <c r="H29" i="51"/>
  <c r="L29" i="51" s="1"/>
  <c r="D29" i="51"/>
  <c r="B29" i="51"/>
  <c r="Z28" i="51"/>
  <c r="X28" i="51"/>
  <c r="T28" i="51"/>
  <c r="P28" i="51"/>
  <c r="H28" i="51"/>
  <c r="D28" i="51"/>
  <c r="L28" i="51" s="1"/>
  <c r="N28" i="51" s="1"/>
  <c r="B28" i="51"/>
  <c r="T27" i="51"/>
  <c r="P27" i="51"/>
  <c r="X27" i="51" s="1"/>
  <c r="Z27" i="51" s="1"/>
  <c r="N27" i="51"/>
  <c r="L27" i="51"/>
  <c r="H27" i="51"/>
  <c r="D27" i="51"/>
  <c r="B27" i="51"/>
  <c r="T26" i="51"/>
  <c r="P26" i="51"/>
  <c r="X26" i="51" s="1"/>
  <c r="H26" i="51"/>
  <c r="N26" i="51" s="1"/>
  <c r="D26" i="51"/>
  <c r="B26" i="51"/>
  <c r="X25" i="51"/>
  <c r="T25" i="51"/>
  <c r="Z25" i="51" s="1"/>
  <c r="P25" i="51"/>
  <c r="H25" i="51"/>
  <c r="L25" i="51" s="1"/>
  <c r="D25" i="51"/>
  <c r="B25" i="51"/>
  <c r="Z24" i="51"/>
  <c r="X24" i="51"/>
  <c r="T24" i="51"/>
  <c r="P24" i="51"/>
  <c r="L24" i="51"/>
  <c r="N24" i="51" s="1"/>
  <c r="H24" i="51"/>
  <c r="D24" i="51"/>
  <c r="B24" i="51"/>
  <c r="T23" i="51"/>
  <c r="P23" i="51"/>
  <c r="X23" i="51" s="1"/>
  <c r="Z23" i="51" s="1"/>
  <c r="N23" i="51"/>
  <c r="L23" i="51"/>
  <c r="H23" i="51"/>
  <c r="D23" i="51"/>
  <c r="B23" i="51"/>
  <c r="X22" i="51"/>
  <c r="T22" i="51"/>
  <c r="P22" i="51"/>
  <c r="H22" i="51"/>
  <c r="D22" i="51"/>
  <c r="L22" i="51" s="1"/>
  <c r="B22" i="51"/>
  <c r="T21" i="51"/>
  <c r="P21" i="51"/>
  <c r="H21" i="51"/>
  <c r="L21" i="51" s="1"/>
  <c r="D21" i="51"/>
  <c r="B21" i="51"/>
  <c r="T20" i="51"/>
  <c r="P20" i="51"/>
  <c r="X20" i="51" s="1"/>
  <c r="L20" i="51"/>
  <c r="N20" i="51" s="1"/>
  <c r="H20" i="51"/>
  <c r="D20" i="51"/>
  <c r="B20" i="51"/>
  <c r="Z19" i="51"/>
  <c r="T19" i="51"/>
  <c r="P19" i="51"/>
  <c r="X19" i="51" s="1"/>
  <c r="H19" i="51"/>
  <c r="N19" i="51" s="1"/>
  <c r="D19" i="51"/>
  <c r="L19" i="51" s="1"/>
  <c r="B19" i="51"/>
  <c r="X18" i="51"/>
  <c r="T18" i="51"/>
  <c r="Z18" i="51" s="1"/>
  <c r="P18" i="51"/>
  <c r="H18" i="51"/>
  <c r="D18" i="51"/>
  <c r="L18" i="51" s="1"/>
  <c r="B18" i="51"/>
  <c r="T17" i="51"/>
  <c r="X17" i="51" s="1"/>
  <c r="Z17" i="51" s="1"/>
  <c r="P17" i="51"/>
  <c r="H17" i="51"/>
  <c r="L17" i="51" s="1"/>
  <c r="D17" i="51"/>
  <c r="B17" i="51"/>
  <c r="T16" i="51"/>
  <c r="P16" i="51"/>
  <c r="X16" i="51" s="1"/>
  <c r="N16" i="51"/>
  <c r="H16" i="51"/>
  <c r="D16" i="51"/>
  <c r="L16" i="51" s="1"/>
  <c r="B16" i="51"/>
  <c r="T15" i="51"/>
  <c r="P15" i="51"/>
  <c r="X15" i="51" s="1"/>
  <c r="Z15" i="51" s="1"/>
  <c r="H15" i="51"/>
  <c r="N15" i="51" s="1"/>
  <c r="D15" i="51"/>
  <c r="L15" i="51" s="1"/>
  <c r="B15" i="51"/>
  <c r="T14" i="51"/>
  <c r="P14" i="51"/>
  <c r="X14" i="51" s="1"/>
  <c r="H14" i="51"/>
  <c r="D14" i="51"/>
  <c r="L14" i="51" s="1"/>
  <c r="B14" i="51"/>
  <c r="Z13" i="51"/>
  <c r="X13" i="51"/>
  <c r="T13" i="51"/>
  <c r="P13" i="51"/>
  <c r="H13" i="51"/>
  <c r="D13" i="51"/>
  <c r="B13" i="51"/>
  <c r="P12" i="51"/>
  <c r="R68" i="51" s="1"/>
  <c r="D4" i="51"/>
  <c r="X63" i="48"/>
  <c r="Z63" i="48" s="1"/>
  <c r="N63" i="48"/>
  <c r="L63" i="48"/>
  <c r="Z59" i="48"/>
  <c r="T59" i="48"/>
  <c r="P59" i="48"/>
  <c r="X59" i="48" s="1"/>
  <c r="H59" i="48"/>
  <c r="F59" i="48"/>
  <c r="D59" i="48"/>
  <c r="B59" i="48"/>
  <c r="T58" i="48"/>
  <c r="P58" i="48"/>
  <c r="X58" i="48" s="1"/>
  <c r="Z58" i="48" s="1"/>
  <c r="D58" i="48"/>
  <c r="X56" i="48"/>
  <c r="Z56" i="48" s="1"/>
  <c r="N56" i="48"/>
  <c r="L56" i="48"/>
  <c r="F56" i="48"/>
  <c r="B56" i="48"/>
  <c r="Z55" i="48"/>
  <c r="T55" i="48"/>
  <c r="P55" i="48"/>
  <c r="X55" i="48" s="1"/>
  <c r="H55" i="48"/>
  <c r="D55" i="48"/>
  <c r="B55" i="48"/>
  <c r="X54" i="48"/>
  <c r="Z54" i="48" s="1"/>
  <c r="N54" i="48"/>
  <c r="L54" i="48"/>
  <c r="B54" i="48"/>
  <c r="Z53" i="48"/>
  <c r="X53" i="48"/>
  <c r="N53" i="48"/>
  <c r="L53" i="48"/>
  <c r="B53" i="48"/>
  <c r="X52" i="48"/>
  <c r="Z52" i="48" s="1"/>
  <c r="L52" i="48"/>
  <c r="N52" i="48" s="1"/>
  <c r="F52" i="48"/>
  <c r="B52" i="48"/>
  <c r="Z51" i="48"/>
  <c r="X51" i="48"/>
  <c r="N51" i="48"/>
  <c r="L51" i="48"/>
  <c r="B51" i="48"/>
  <c r="T50" i="48"/>
  <c r="P50" i="48"/>
  <c r="J50" i="48"/>
  <c r="H50" i="48"/>
  <c r="N50" i="48" s="1"/>
  <c r="D50" i="48"/>
  <c r="L50" i="48" s="1"/>
  <c r="B50" i="48"/>
  <c r="Z49" i="48"/>
  <c r="X49" i="48"/>
  <c r="V49" i="48"/>
  <c r="N49" i="48"/>
  <c r="L49" i="48"/>
  <c r="B49" i="48"/>
  <c r="Z48" i="48"/>
  <c r="X48" i="48"/>
  <c r="T48" i="48"/>
  <c r="P48" i="48"/>
  <c r="H48" i="48"/>
  <c r="N48" i="48" s="1"/>
  <c r="D48" i="48"/>
  <c r="B48" i="48"/>
  <c r="Z47" i="48"/>
  <c r="X47" i="48"/>
  <c r="V47" i="48"/>
  <c r="N47" i="48"/>
  <c r="L47" i="48"/>
  <c r="B47" i="48"/>
  <c r="T46" i="48"/>
  <c r="P46" i="48"/>
  <c r="X46" i="48" s="1"/>
  <c r="N46" i="48"/>
  <c r="H46" i="48"/>
  <c r="F46" i="48"/>
  <c r="D46" i="48"/>
  <c r="L46" i="48" s="1"/>
  <c r="B46" i="48"/>
  <c r="X45" i="48"/>
  <c r="Z45" i="48" s="1"/>
  <c r="N45" i="48"/>
  <c r="L45" i="48"/>
  <c r="B45" i="48"/>
  <c r="X44" i="48"/>
  <c r="V44" i="48"/>
  <c r="T44" i="48"/>
  <c r="Z44" i="48" s="1"/>
  <c r="P44" i="48"/>
  <c r="L44" i="48"/>
  <c r="H44" i="48"/>
  <c r="D44" i="48"/>
  <c r="B44" i="48"/>
  <c r="Z43" i="48"/>
  <c r="X43" i="48"/>
  <c r="N43" i="48"/>
  <c r="L43" i="48"/>
  <c r="B43" i="48"/>
  <c r="T42" i="48"/>
  <c r="P42" i="48"/>
  <c r="X42" i="48" s="1"/>
  <c r="H42" i="48"/>
  <c r="D42" i="48"/>
  <c r="L42" i="48" s="1"/>
  <c r="N42" i="48" s="1"/>
  <c r="B42" i="48"/>
  <c r="X41" i="48"/>
  <c r="Z41" i="48" s="1"/>
  <c r="N41" i="48"/>
  <c r="L41" i="48"/>
  <c r="B41" i="48"/>
  <c r="T40" i="48"/>
  <c r="P40" i="48"/>
  <c r="X40" i="48" s="1"/>
  <c r="Z40" i="48" s="1"/>
  <c r="N40" i="48"/>
  <c r="L40" i="48"/>
  <c r="H40" i="48"/>
  <c r="D40" i="48"/>
  <c r="B40" i="48"/>
  <c r="Z39" i="48"/>
  <c r="X39" i="48"/>
  <c r="N39" i="48"/>
  <c r="L39" i="48"/>
  <c r="J39" i="48"/>
  <c r="F39" i="48"/>
  <c r="B39" i="48"/>
  <c r="T38" i="48"/>
  <c r="P38" i="48"/>
  <c r="J38" i="48"/>
  <c r="H38" i="48"/>
  <c r="D38" i="48"/>
  <c r="B38" i="48"/>
  <c r="Z37" i="48"/>
  <c r="X37" i="48"/>
  <c r="L37" i="48"/>
  <c r="N37" i="48" s="1"/>
  <c r="B37" i="48"/>
  <c r="Z36" i="48"/>
  <c r="X36" i="48"/>
  <c r="T36" i="48"/>
  <c r="P36" i="48"/>
  <c r="J36" i="48"/>
  <c r="H36" i="48"/>
  <c r="F36" i="48"/>
  <c r="D36" i="48"/>
  <c r="B36" i="48"/>
  <c r="Z35" i="48"/>
  <c r="X35" i="48"/>
  <c r="V35" i="48"/>
  <c r="N35" i="48"/>
  <c r="L35" i="48"/>
  <c r="B35" i="48"/>
  <c r="Z34" i="48"/>
  <c r="X34" i="48"/>
  <c r="V34" i="48"/>
  <c r="L34" i="48"/>
  <c r="N34" i="48" s="1"/>
  <c r="B34" i="48"/>
  <c r="X33" i="48"/>
  <c r="Z33" i="48" s="1"/>
  <c r="V33" i="48"/>
  <c r="N33" i="48"/>
  <c r="L33" i="48"/>
  <c r="B33" i="48"/>
  <c r="X32" i="48"/>
  <c r="Z32" i="48" s="1"/>
  <c r="L32" i="48"/>
  <c r="N32" i="48" s="1"/>
  <c r="B32" i="48"/>
  <c r="Z31" i="48"/>
  <c r="X31" i="48"/>
  <c r="N31" i="48"/>
  <c r="L31" i="48"/>
  <c r="F31" i="48"/>
  <c r="B31" i="48"/>
  <c r="X30" i="48"/>
  <c r="Z30" i="48" s="1"/>
  <c r="L30" i="48"/>
  <c r="N30" i="48" s="1"/>
  <c r="F30" i="48"/>
  <c r="B30" i="48"/>
  <c r="T29" i="48"/>
  <c r="P29" i="48"/>
  <c r="H29" i="48"/>
  <c r="D29" i="48"/>
  <c r="L29" i="48" s="1"/>
  <c r="N29" i="48" s="1"/>
  <c r="B29" i="48"/>
  <c r="Z28" i="48"/>
  <c r="X28" i="48"/>
  <c r="N28" i="48"/>
  <c r="L28" i="48"/>
  <c r="B28" i="48"/>
  <c r="Z27" i="48"/>
  <c r="X27" i="48"/>
  <c r="L27" i="48"/>
  <c r="N27" i="48" s="1"/>
  <c r="B27" i="48"/>
  <c r="X26" i="48"/>
  <c r="Z26" i="48" s="1"/>
  <c r="L26" i="48"/>
  <c r="N26" i="48" s="1"/>
  <c r="B26" i="48"/>
  <c r="X25" i="48"/>
  <c r="Z25" i="48" s="1"/>
  <c r="V25" i="48"/>
  <c r="N25" i="48"/>
  <c r="L25" i="48"/>
  <c r="B25" i="48"/>
  <c r="Z24" i="48"/>
  <c r="X24" i="48"/>
  <c r="L24" i="48"/>
  <c r="N24" i="48" s="1"/>
  <c r="F24" i="48"/>
  <c r="B24" i="48"/>
  <c r="Z23" i="48"/>
  <c r="X23" i="48"/>
  <c r="N23" i="48"/>
  <c r="L23" i="48"/>
  <c r="B23" i="48"/>
  <c r="X22" i="48"/>
  <c r="Z22" i="48" s="1"/>
  <c r="L22" i="48"/>
  <c r="N22" i="48" s="1"/>
  <c r="J22" i="48"/>
  <c r="B22" i="48"/>
  <c r="Z21" i="48"/>
  <c r="X21" i="48"/>
  <c r="V21" i="48"/>
  <c r="N21" i="48"/>
  <c r="L21" i="48"/>
  <c r="B21" i="48"/>
  <c r="X20" i="48"/>
  <c r="Z20" i="48" s="1"/>
  <c r="V20" i="48"/>
  <c r="T20" i="48"/>
  <c r="P20" i="48"/>
  <c r="H20" i="48"/>
  <c r="D20" i="48"/>
  <c r="B20" i="48"/>
  <c r="T19" i="48"/>
  <c r="P19" i="48"/>
  <c r="J19" i="48"/>
  <c r="H19" i="48"/>
  <c r="D19" i="48"/>
  <c r="L19" i="48" s="1"/>
  <c r="N19" i="48" s="1"/>
  <c r="X15" i="48"/>
  <c r="T15" i="48"/>
  <c r="Z15" i="48" s="1"/>
  <c r="P15" i="48"/>
  <c r="N15" i="48"/>
  <c r="H15" i="48"/>
  <c r="D15" i="48"/>
  <c r="L15" i="48" s="1"/>
  <c r="T13" i="48"/>
  <c r="P13" i="48"/>
  <c r="H13" i="48"/>
  <c r="D13" i="48"/>
  <c r="B13" i="48"/>
  <c r="T12" i="48"/>
  <c r="V45" i="48" s="1"/>
  <c r="L12" i="48"/>
  <c r="H12" i="48"/>
  <c r="D12" i="48"/>
  <c r="D4" i="48"/>
  <c r="Z90" i="45"/>
  <c r="X90" i="45"/>
  <c r="L90" i="45"/>
  <c r="N90" i="45" s="1"/>
  <c r="T86" i="45"/>
  <c r="Z86" i="45" s="1"/>
  <c r="P86" i="45"/>
  <c r="X86" i="45" s="1"/>
  <c r="L86" i="45"/>
  <c r="H86" i="45"/>
  <c r="N86" i="45" s="1"/>
  <c r="D86" i="45"/>
  <c r="X84" i="45"/>
  <c r="Z84" i="45" s="1"/>
  <c r="N84" i="45"/>
  <c r="L84" i="45"/>
  <c r="B84" i="45"/>
  <c r="Z83" i="45"/>
  <c r="X83" i="45"/>
  <c r="L83" i="45"/>
  <c r="N83" i="45" s="1"/>
  <c r="B83" i="45"/>
  <c r="X82" i="45"/>
  <c r="T82" i="45"/>
  <c r="P82" i="45"/>
  <c r="H82" i="45"/>
  <c r="D82" i="45"/>
  <c r="B82" i="45"/>
  <c r="Z81" i="45"/>
  <c r="X81" i="45"/>
  <c r="N81" i="45"/>
  <c r="L81" i="45"/>
  <c r="B81" i="45"/>
  <c r="T80" i="45"/>
  <c r="P80" i="45"/>
  <c r="X80" i="45" s="1"/>
  <c r="Z80" i="45" s="1"/>
  <c r="H80" i="45"/>
  <c r="N80" i="45" s="1"/>
  <c r="D80" i="45"/>
  <c r="L80" i="45" s="1"/>
  <c r="B80" i="45"/>
  <c r="Z79" i="45"/>
  <c r="X79" i="45"/>
  <c r="N79" i="45"/>
  <c r="L79" i="45"/>
  <c r="B79" i="45"/>
  <c r="X78" i="45"/>
  <c r="Z78" i="45" s="1"/>
  <c r="T78" i="45"/>
  <c r="P78" i="45"/>
  <c r="L78" i="45"/>
  <c r="N78" i="45" s="1"/>
  <c r="H78" i="45"/>
  <c r="D78" i="45"/>
  <c r="B78" i="45"/>
  <c r="Z77" i="45"/>
  <c r="X77" i="45"/>
  <c r="N77" i="45"/>
  <c r="L77" i="45"/>
  <c r="B77" i="45"/>
  <c r="X76" i="45"/>
  <c r="Z76" i="45" s="1"/>
  <c r="N76" i="45"/>
  <c r="L76" i="45"/>
  <c r="B76" i="45"/>
  <c r="Z75" i="45"/>
  <c r="X75" i="45"/>
  <c r="N75" i="45"/>
  <c r="L75" i="45"/>
  <c r="B75" i="45"/>
  <c r="X74" i="45"/>
  <c r="Z74" i="45" s="1"/>
  <c r="L74" i="45"/>
  <c r="N74" i="45" s="1"/>
  <c r="B74" i="45"/>
  <c r="Z73" i="45"/>
  <c r="X73" i="45"/>
  <c r="N73" i="45"/>
  <c r="L73" i="45"/>
  <c r="B73" i="45"/>
  <c r="X72" i="45"/>
  <c r="Z72" i="45" s="1"/>
  <c r="N72" i="45"/>
  <c r="L72" i="45"/>
  <c r="B72" i="45"/>
  <c r="Z71" i="45"/>
  <c r="X71" i="45"/>
  <c r="L71" i="45"/>
  <c r="N71" i="45" s="1"/>
  <c r="B71" i="45"/>
  <c r="X70" i="45"/>
  <c r="T70" i="45"/>
  <c r="P70" i="45"/>
  <c r="H70" i="45"/>
  <c r="D70" i="45"/>
  <c r="L70" i="45" s="1"/>
  <c r="B70" i="45"/>
  <c r="Z69" i="45"/>
  <c r="X69" i="45"/>
  <c r="N69" i="45"/>
  <c r="L69" i="45"/>
  <c r="B69" i="45"/>
  <c r="Z68" i="45"/>
  <c r="X68" i="45"/>
  <c r="L68" i="45"/>
  <c r="N68" i="45" s="1"/>
  <c r="B68" i="45"/>
  <c r="X67" i="45"/>
  <c r="Z67" i="45" s="1"/>
  <c r="N67" i="45"/>
  <c r="L67" i="45"/>
  <c r="B67" i="45"/>
  <c r="T66" i="45"/>
  <c r="Z66" i="45" s="1"/>
  <c r="P66" i="45"/>
  <c r="X66" i="45" s="1"/>
  <c r="N66" i="45"/>
  <c r="H66" i="45"/>
  <c r="D66" i="45"/>
  <c r="L66" i="45" s="1"/>
  <c r="B66" i="45"/>
  <c r="Z65" i="45"/>
  <c r="X65" i="45"/>
  <c r="L65" i="45"/>
  <c r="N65" i="45" s="1"/>
  <c r="B65" i="45"/>
  <c r="X64" i="45"/>
  <c r="Z64" i="45" s="1"/>
  <c r="L64" i="45"/>
  <c r="N64" i="45" s="1"/>
  <c r="B64" i="45"/>
  <c r="T63" i="45"/>
  <c r="X63" i="45" s="1"/>
  <c r="P63" i="45"/>
  <c r="H63" i="45"/>
  <c r="N63" i="45" s="1"/>
  <c r="D63" i="45"/>
  <c r="L63" i="45" s="1"/>
  <c r="B63" i="45"/>
  <c r="X62" i="45"/>
  <c r="Z62" i="45" s="1"/>
  <c r="L62" i="45"/>
  <c r="N62" i="45" s="1"/>
  <c r="B62" i="45"/>
  <c r="X61" i="45"/>
  <c r="Z61" i="45" s="1"/>
  <c r="T61" i="45"/>
  <c r="P61" i="45"/>
  <c r="H61" i="45"/>
  <c r="D61" i="45"/>
  <c r="L61" i="45" s="1"/>
  <c r="N61" i="45" s="1"/>
  <c r="B61" i="45"/>
  <c r="Z60" i="45"/>
  <c r="X60" i="45"/>
  <c r="N60" i="45"/>
  <c r="L60" i="45"/>
  <c r="B60" i="45"/>
  <c r="T59" i="45"/>
  <c r="P59" i="45"/>
  <c r="N59" i="45"/>
  <c r="L59" i="45"/>
  <c r="H59" i="45"/>
  <c r="D59" i="45"/>
  <c r="B59" i="45"/>
  <c r="X58" i="45"/>
  <c r="Z58" i="45" s="1"/>
  <c r="L58" i="45"/>
  <c r="N58" i="45" s="1"/>
  <c r="B58" i="45"/>
  <c r="T57" i="45"/>
  <c r="P57" i="45"/>
  <c r="X57" i="45" s="1"/>
  <c r="H57" i="45"/>
  <c r="N57" i="45" s="1"/>
  <c r="D57" i="45"/>
  <c r="L57" i="45" s="1"/>
  <c r="B57" i="45"/>
  <c r="X56" i="45"/>
  <c r="Z56" i="45" s="1"/>
  <c r="N56" i="45"/>
  <c r="L56" i="45"/>
  <c r="B56" i="45"/>
  <c r="T55" i="45"/>
  <c r="P55" i="45"/>
  <c r="X55" i="45" s="1"/>
  <c r="Z55" i="45" s="1"/>
  <c r="L55" i="45"/>
  <c r="N55" i="45" s="1"/>
  <c r="H55" i="45"/>
  <c r="D55" i="45"/>
  <c r="B55" i="45"/>
  <c r="X54" i="45"/>
  <c r="Z54" i="45" s="1"/>
  <c r="L54" i="45"/>
  <c r="N54" i="45" s="1"/>
  <c r="B54" i="45"/>
  <c r="Z53" i="45"/>
  <c r="X53" i="45"/>
  <c r="T53" i="45"/>
  <c r="P53" i="45"/>
  <c r="H53" i="45"/>
  <c r="D53" i="45"/>
  <c r="B53" i="45"/>
  <c r="Z52" i="45"/>
  <c r="X52" i="45"/>
  <c r="L52" i="45"/>
  <c r="N52" i="45" s="1"/>
  <c r="B52" i="45"/>
  <c r="T51" i="45"/>
  <c r="X51" i="45" s="1"/>
  <c r="P51" i="45"/>
  <c r="H51" i="45"/>
  <c r="D51" i="45"/>
  <c r="L51" i="45" s="1"/>
  <c r="B51" i="45"/>
  <c r="X50" i="45"/>
  <c r="Z50" i="45" s="1"/>
  <c r="L50" i="45"/>
  <c r="N50" i="45" s="1"/>
  <c r="B50" i="45"/>
  <c r="X49" i="45"/>
  <c r="Z49" i="45" s="1"/>
  <c r="T49" i="45"/>
  <c r="P49" i="45"/>
  <c r="H49" i="45"/>
  <c r="D49" i="45"/>
  <c r="L49" i="45" s="1"/>
  <c r="N49" i="45" s="1"/>
  <c r="B49" i="45"/>
  <c r="Z48" i="45"/>
  <c r="X48" i="45"/>
  <c r="N48" i="45"/>
  <c r="L48" i="45"/>
  <c r="B48" i="45"/>
  <c r="T47" i="45"/>
  <c r="P47" i="45"/>
  <c r="N47" i="45"/>
  <c r="L47" i="45"/>
  <c r="H47" i="45"/>
  <c r="D47" i="45"/>
  <c r="B47" i="45"/>
  <c r="X46" i="45"/>
  <c r="Z46" i="45" s="1"/>
  <c r="L46" i="45"/>
  <c r="N46" i="45" s="1"/>
  <c r="B46" i="45"/>
  <c r="T45" i="45"/>
  <c r="P45" i="45"/>
  <c r="X45" i="45" s="1"/>
  <c r="H45" i="45"/>
  <c r="L45" i="45" s="1"/>
  <c r="D45" i="45"/>
  <c r="B45" i="45"/>
  <c r="Z44" i="45"/>
  <c r="X44" i="45"/>
  <c r="N44" i="45"/>
  <c r="L44" i="45"/>
  <c r="B44" i="45"/>
  <c r="Z43" i="45"/>
  <c r="X43" i="45"/>
  <c r="L43" i="45"/>
  <c r="N43" i="45" s="1"/>
  <c r="B43" i="45"/>
  <c r="X42" i="45"/>
  <c r="Z42" i="45" s="1"/>
  <c r="L42" i="45"/>
  <c r="N42" i="45" s="1"/>
  <c r="B42" i="45"/>
  <c r="Z41" i="45"/>
  <c r="X41" i="45"/>
  <c r="N41" i="45"/>
  <c r="L41" i="45"/>
  <c r="B41" i="45"/>
  <c r="Z40" i="45"/>
  <c r="X40" i="45"/>
  <c r="N40" i="45"/>
  <c r="L40" i="45"/>
  <c r="B40" i="45"/>
  <c r="Z39" i="45"/>
  <c r="X39" i="45"/>
  <c r="L39" i="45"/>
  <c r="N39" i="45" s="1"/>
  <c r="B39" i="45"/>
  <c r="X38" i="45"/>
  <c r="Z38" i="45" s="1"/>
  <c r="L38" i="45"/>
  <c r="N38" i="45" s="1"/>
  <c r="B38" i="45"/>
  <c r="X37" i="45"/>
  <c r="Z37" i="45" s="1"/>
  <c r="T37" i="45"/>
  <c r="P37" i="45"/>
  <c r="H37" i="45"/>
  <c r="D37" i="45"/>
  <c r="L37" i="45" s="1"/>
  <c r="N37" i="45" s="1"/>
  <c r="B37" i="45"/>
  <c r="Z36" i="45"/>
  <c r="X36" i="45"/>
  <c r="N36" i="45"/>
  <c r="L36" i="45"/>
  <c r="B36" i="45"/>
  <c r="X35" i="45"/>
  <c r="Z35" i="45" s="1"/>
  <c r="N35" i="45"/>
  <c r="L35" i="45"/>
  <c r="B35" i="45"/>
  <c r="X34" i="45"/>
  <c r="Z34" i="45" s="1"/>
  <c r="L34" i="45"/>
  <c r="N34" i="45" s="1"/>
  <c r="B34" i="45"/>
  <c r="Z33" i="45"/>
  <c r="X33" i="45"/>
  <c r="N33" i="45"/>
  <c r="L33" i="45"/>
  <c r="B33" i="45"/>
  <c r="Z32" i="45"/>
  <c r="X32" i="45"/>
  <c r="N32" i="45"/>
  <c r="L32" i="45"/>
  <c r="B32" i="45"/>
  <c r="X31" i="45"/>
  <c r="Z31" i="45" s="1"/>
  <c r="N31" i="45"/>
  <c r="L31" i="45"/>
  <c r="B31" i="45"/>
  <c r="X30" i="45"/>
  <c r="Z30" i="45" s="1"/>
  <c r="L30" i="45"/>
  <c r="N30" i="45" s="1"/>
  <c r="B30" i="45"/>
  <c r="Z29" i="45"/>
  <c r="X29" i="45"/>
  <c r="N29" i="45"/>
  <c r="L29" i="45"/>
  <c r="B29" i="45"/>
  <c r="Z28" i="45"/>
  <c r="X28" i="45"/>
  <c r="L28" i="45"/>
  <c r="N28" i="45" s="1"/>
  <c r="B28" i="45"/>
  <c r="T27" i="45"/>
  <c r="P27" i="45"/>
  <c r="N27" i="45"/>
  <c r="L27" i="45"/>
  <c r="H27" i="45"/>
  <c r="D27" i="45"/>
  <c r="B27" i="45"/>
  <c r="T26" i="45"/>
  <c r="P26" i="45"/>
  <c r="X26" i="45" s="1"/>
  <c r="Z26" i="45" s="1"/>
  <c r="H26" i="45"/>
  <c r="D26" i="45"/>
  <c r="L26" i="45" s="1"/>
  <c r="X22" i="45"/>
  <c r="Z22" i="45" s="1"/>
  <c r="L22" i="45"/>
  <c r="N22" i="45" s="1"/>
  <c r="B22" i="45"/>
  <c r="Z21" i="45"/>
  <c r="X21" i="45"/>
  <c r="L21" i="45"/>
  <c r="N21" i="45" s="1"/>
  <c r="B21" i="45"/>
  <c r="T20" i="45"/>
  <c r="Z20" i="45" s="1"/>
  <c r="P20" i="45"/>
  <c r="X20" i="45" s="1"/>
  <c r="H20" i="45"/>
  <c r="D20" i="45"/>
  <c r="L20" i="45" s="1"/>
  <c r="N20" i="45" s="1"/>
  <c r="T18" i="45"/>
  <c r="P18" i="45"/>
  <c r="X18" i="45" s="1"/>
  <c r="Z18" i="45" s="1"/>
  <c r="H18" i="45"/>
  <c r="D18" i="45"/>
  <c r="L18" i="45" s="1"/>
  <c r="B18" i="45"/>
  <c r="T17" i="45"/>
  <c r="P17" i="45"/>
  <c r="H17" i="45"/>
  <c r="D17" i="45"/>
  <c r="L17" i="45" s="1"/>
  <c r="B17" i="45"/>
  <c r="X16" i="45"/>
  <c r="Z16" i="45" s="1"/>
  <c r="T16" i="45"/>
  <c r="P16" i="45"/>
  <c r="L16" i="45"/>
  <c r="H16" i="45"/>
  <c r="N16" i="45" s="1"/>
  <c r="D16" i="45"/>
  <c r="B16" i="45"/>
  <c r="T15" i="45"/>
  <c r="P15" i="45"/>
  <c r="N15" i="45"/>
  <c r="L15" i="45"/>
  <c r="H15" i="45"/>
  <c r="D15" i="45"/>
  <c r="B15" i="45"/>
  <c r="T14" i="45"/>
  <c r="P14" i="45"/>
  <c r="X14" i="45" s="1"/>
  <c r="Z14" i="45" s="1"/>
  <c r="H14" i="45"/>
  <c r="D14" i="45"/>
  <c r="B14" i="45"/>
  <c r="T13" i="45"/>
  <c r="P13" i="45"/>
  <c r="X13" i="45" s="1"/>
  <c r="H13" i="45"/>
  <c r="D13" i="45"/>
  <c r="L13" i="45" s="1"/>
  <c r="B13" i="45"/>
  <c r="D4" i="45"/>
  <c r="X116" i="42"/>
  <c r="Z116" i="42" s="1"/>
  <c r="N116" i="42"/>
  <c r="L116" i="42"/>
  <c r="T112" i="42"/>
  <c r="P112" i="42"/>
  <c r="H112" i="42"/>
  <c r="D112" i="42"/>
  <c r="L112" i="42" s="1"/>
  <c r="N112" i="42" s="1"/>
  <c r="B112" i="42"/>
  <c r="T111" i="42"/>
  <c r="P111" i="42"/>
  <c r="X111" i="42" s="1"/>
  <c r="Z111" i="42" s="1"/>
  <c r="H111" i="42"/>
  <c r="D111" i="42"/>
  <c r="L111" i="42" s="1"/>
  <c r="B111" i="42"/>
  <c r="X110" i="42"/>
  <c r="T110" i="42"/>
  <c r="P110" i="42"/>
  <c r="H110" i="42"/>
  <c r="N110" i="42" s="1"/>
  <c r="D110" i="42"/>
  <c r="L110" i="42" s="1"/>
  <c r="B110" i="42"/>
  <c r="Z107" i="42"/>
  <c r="X107" i="42"/>
  <c r="L107" i="42"/>
  <c r="N107" i="42" s="1"/>
  <c r="B107" i="42"/>
  <c r="T106" i="42"/>
  <c r="P106" i="42"/>
  <c r="X106" i="42" s="1"/>
  <c r="H106" i="42"/>
  <c r="D106" i="42"/>
  <c r="L106" i="42" s="1"/>
  <c r="N106" i="42" s="1"/>
  <c r="B106" i="42"/>
  <c r="Z105" i="42"/>
  <c r="X105" i="42"/>
  <c r="N105" i="42"/>
  <c r="L105" i="42"/>
  <c r="B105" i="42"/>
  <c r="X104" i="42"/>
  <c r="Z104" i="42" s="1"/>
  <c r="N104" i="42"/>
  <c r="L104" i="42"/>
  <c r="B104" i="42"/>
  <c r="X103" i="42"/>
  <c r="Z103" i="42" s="1"/>
  <c r="N103" i="42"/>
  <c r="L103" i="42"/>
  <c r="B103" i="42"/>
  <c r="X102" i="42"/>
  <c r="T102" i="42"/>
  <c r="Z102" i="42" s="1"/>
  <c r="P102" i="42"/>
  <c r="H102" i="42"/>
  <c r="N102" i="42" s="1"/>
  <c r="D102" i="42"/>
  <c r="L102" i="42" s="1"/>
  <c r="B102" i="42"/>
  <c r="Z101" i="42"/>
  <c r="X101" i="42"/>
  <c r="L101" i="42"/>
  <c r="N101" i="42" s="1"/>
  <c r="B101" i="42"/>
  <c r="T100" i="42"/>
  <c r="P100" i="42"/>
  <c r="H100" i="42"/>
  <c r="N100" i="42" s="1"/>
  <c r="D100" i="42"/>
  <c r="L100" i="42" s="1"/>
  <c r="B100" i="42"/>
  <c r="Z99" i="42"/>
  <c r="X99" i="42"/>
  <c r="N99" i="42"/>
  <c r="L99" i="42"/>
  <c r="B99" i="42"/>
  <c r="T98" i="42"/>
  <c r="P98" i="42"/>
  <c r="X98" i="42" s="1"/>
  <c r="H98" i="42"/>
  <c r="D98" i="42"/>
  <c r="L98" i="42" s="1"/>
  <c r="N98" i="42" s="1"/>
  <c r="B98" i="42"/>
  <c r="Z97" i="42"/>
  <c r="X97" i="42"/>
  <c r="N97" i="42"/>
  <c r="L97" i="42"/>
  <c r="B97" i="42"/>
  <c r="X96" i="42"/>
  <c r="Z96" i="42" s="1"/>
  <c r="L96" i="42"/>
  <c r="N96" i="42" s="1"/>
  <c r="B96" i="42"/>
  <c r="Z95" i="42"/>
  <c r="X95" i="42"/>
  <c r="N95" i="42"/>
  <c r="L95" i="42"/>
  <c r="B95" i="42"/>
  <c r="X94" i="42"/>
  <c r="Z94" i="42" s="1"/>
  <c r="N94" i="42"/>
  <c r="L94" i="42"/>
  <c r="B94" i="42"/>
  <c r="Z93" i="42"/>
  <c r="X93" i="42"/>
  <c r="N93" i="42"/>
  <c r="L93" i="42"/>
  <c r="B93" i="42"/>
  <c r="X92" i="42"/>
  <c r="Z92" i="42" s="1"/>
  <c r="L92" i="42"/>
  <c r="N92" i="42" s="1"/>
  <c r="B92" i="42"/>
  <c r="Z91" i="42"/>
  <c r="X91" i="42"/>
  <c r="N91" i="42"/>
  <c r="L91" i="42"/>
  <c r="B91" i="42"/>
  <c r="X90" i="42"/>
  <c r="Z90" i="42" s="1"/>
  <c r="N90" i="42"/>
  <c r="L90" i="42"/>
  <c r="B90" i="42"/>
  <c r="T89" i="42"/>
  <c r="P89" i="42"/>
  <c r="X89" i="42" s="1"/>
  <c r="Z89" i="42" s="1"/>
  <c r="H89" i="42"/>
  <c r="D89" i="42"/>
  <c r="L89" i="42" s="1"/>
  <c r="B89" i="42"/>
  <c r="X88" i="42"/>
  <c r="Z88" i="42" s="1"/>
  <c r="N88" i="42"/>
  <c r="L88" i="42"/>
  <c r="B88" i="42"/>
  <c r="Z87" i="42"/>
  <c r="X87" i="42"/>
  <c r="T87" i="42"/>
  <c r="P87" i="42"/>
  <c r="H87" i="42"/>
  <c r="D87" i="42"/>
  <c r="L87" i="42" s="1"/>
  <c r="N87" i="42" s="1"/>
  <c r="B87" i="42"/>
  <c r="X86" i="42"/>
  <c r="Z86" i="42" s="1"/>
  <c r="R86" i="42"/>
  <c r="L86" i="42"/>
  <c r="N86" i="42" s="1"/>
  <c r="B86" i="42"/>
  <c r="X85" i="42"/>
  <c r="Z85" i="42" s="1"/>
  <c r="N85" i="42"/>
  <c r="L85" i="42"/>
  <c r="B85" i="42"/>
  <c r="Z84" i="42"/>
  <c r="X84" i="42"/>
  <c r="L84" i="42"/>
  <c r="N84" i="42" s="1"/>
  <c r="B84" i="42"/>
  <c r="Z83" i="42"/>
  <c r="X83" i="42"/>
  <c r="N83" i="42"/>
  <c r="L83" i="42"/>
  <c r="B83" i="42"/>
  <c r="X82" i="42"/>
  <c r="Z82" i="42" s="1"/>
  <c r="L82" i="42"/>
  <c r="N82" i="42" s="1"/>
  <c r="B82" i="42"/>
  <c r="T81" i="42"/>
  <c r="P81" i="42"/>
  <c r="N81" i="42"/>
  <c r="H81" i="42"/>
  <c r="D81" i="42"/>
  <c r="L81" i="42" s="1"/>
  <c r="B81" i="42"/>
  <c r="X80" i="42"/>
  <c r="Z80" i="42" s="1"/>
  <c r="L80" i="42"/>
  <c r="N80" i="42" s="1"/>
  <c r="B80" i="42"/>
  <c r="X79" i="42"/>
  <c r="Z79" i="42" s="1"/>
  <c r="N79" i="42"/>
  <c r="L79" i="42"/>
  <c r="B79" i="42"/>
  <c r="X78" i="42"/>
  <c r="T78" i="42"/>
  <c r="Z78" i="42" s="1"/>
  <c r="P78" i="42"/>
  <c r="H78" i="42"/>
  <c r="N78" i="42" s="1"/>
  <c r="D78" i="42"/>
  <c r="L78" i="42" s="1"/>
  <c r="B78" i="42"/>
  <c r="Z77" i="42"/>
  <c r="X77" i="42"/>
  <c r="L77" i="42"/>
  <c r="N77" i="42" s="1"/>
  <c r="B77" i="42"/>
  <c r="X76" i="42"/>
  <c r="Z76" i="42" s="1"/>
  <c r="R76" i="42"/>
  <c r="N76" i="42"/>
  <c r="L76" i="42"/>
  <c r="B76" i="42"/>
  <c r="Z75" i="42"/>
  <c r="X75" i="42"/>
  <c r="N75" i="42"/>
  <c r="L75" i="42"/>
  <c r="J75" i="42"/>
  <c r="B75" i="42"/>
  <c r="T74" i="42"/>
  <c r="P74" i="42"/>
  <c r="L74" i="42"/>
  <c r="H74" i="42"/>
  <c r="D74" i="42"/>
  <c r="B74" i="42"/>
  <c r="X73" i="42"/>
  <c r="Z73" i="42" s="1"/>
  <c r="N73" i="42"/>
  <c r="L73" i="42"/>
  <c r="J73" i="42"/>
  <c r="B73" i="42"/>
  <c r="T72" i="42"/>
  <c r="P72" i="42"/>
  <c r="X72" i="42" s="1"/>
  <c r="Z72" i="42" s="1"/>
  <c r="H72" i="42"/>
  <c r="D72" i="42"/>
  <c r="B72" i="42"/>
  <c r="Z71" i="42"/>
  <c r="X71" i="42"/>
  <c r="N71" i="42"/>
  <c r="L71" i="42"/>
  <c r="B71" i="42"/>
  <c r="X70" i="42"/>
  <c r="T70" i="42"/>
  <c r="Z70" i="42" s="1"/>
  <c r="P70" i="42"/>
  <c r="L70" i="42"/>
  <c r="H70" i="42"/>
  <c r="N70" i="42" s="1"/>
  <c r="D70" i="42"/>
  <c r="B70" i="42"/>
  <c r="Z69" i="42"/>
  <c r="X69" i="42"/>
  <c r="L69" i="42"/>
  <c r="N69" i="42" s="1"/>
  <c r="B69" i="42"/>
  <c r="X68" i="42"/>
  <c r="T68" i="42"/>
  <c r="P68" i="42"/>
  <c r="H68" i="42"/>
  <c r="D68" i="42"/>
  <c r="L68" i="42" s="1"/>
  <c r="B68" i="42"/>
  <c r="Z67" i="42"/>
  <c r="X67" i="42"/>
  <c r="N67" i="42"/>
  <c r="L67" i="42"/>
  <c r="B67" i="42"/>
  <c r="T66" i="42"/>
  <c r="P66" i="42"/>
  <c r="H66" i="42"/>
  <c r="D66" i="42"/>
  <c r="L66" i="42" s="1"/>
  <c r="N66" i="42" s="1"/>
  <c r="B66" i="42"/>
  <c r="Z65" i="42"/>
  <c r="X65" i="42"/>
  <c r="N65" i="42"/>
  <c r="L65" i="42"/>
  <c r="B65" i="42"/>
  <c r="X64" i="42"/>
  <c r="Z64" i="42" s="1"/>
  <c r="L64" i="42"/>
  <c r="N64" i="42" s="1"/>
  <c r="B64" i="42"/>
  <c r="T63" i="42"/>
  <c r="Z63" i="42" s="1"/>
  <c r="R63" i="42"/>
  <c r="P63" i="42"/>
  <c r="X63" i="42" s="1"/>
  <c r="J63" i="42"/>
  <c r="H63" i="42"/>
  <c r="D63" i="42"/>
  <c r="L63" i="42" s="1"/>
  <c r="N63" i="42" s="1"/>
  <c r="B63" i="42"/>
  <c r="Z62" i="42"/>
  <c r="X62" i="42"/>
  <c r="L62" i="42"/>
  <c r="N62" i="42" s="1"/>
  <c r="B62" i="42"/>
  <c r="Z61" i="42"/>
  <c r="X61" i="42"/>
  <c r="T61" i="42"/>
  <c r="P61" i="42"/>
  <c r="N61" i="42"/>
  <c r="L61" i="42"/>
  <c r="H61" i="42"/>
  <c r="D61" i="42"/>
  <c r="B61" i="42"/>
  <c r="Z60" i="42"/>
  <c r="X60" i="42"/>
  <c r="L60" i="42"/>
  <c r="N60" i="42" s="1"/>
  <c r="B60" i="42"/>
  <c r="Z59" i="42"/>
  <c r="T59" i="42"/>
  <c r="P59" i="42"/>
  <c r="X59" i="42" s="1"/>
  <c r="H59" i="42"/>
  <c r="D59" i="42"/>
  <c r="B59" i="42"/>
  <c r="X58" i="42"/>
  <c r="Z58" i="42" s="1"/>
  <c r="N58" i="42"/>
  <c r="L58" i="42"/>
  <c r="B58" i="42"/>
  <c r="Z57" i="42"/>
  <c r="X57" i="42"/>
  <c r="N57" i="42"/>
  <c r="L57" i="42"/>
  <c r="B57" i="42"/>
  <c r="X56" i="42"/>
  <c r="Z56" i="42" s="1"/>
  <c r="L56" i="42"/>
  <c r="N56" i="42" s="1"/>
  <c r="B56" i="42"/>
  <c r="T55" i="42"/>
  <c r="Z55" i="42" s="1"/>
  <c r="P55" i="42"/>
  <c r="X55" i="42" s="1"/>
  <c r="H55" i="42"/>
  <c r="D55" i="42"/>
  <c r="L55" i="42" s="1"/>
  <c r="N55" i="42" s="1"/>
  <c r="B55" i="42"/>
  <c r="Z54" i="42"/>
  <c r="X54" i="42"/>
  <c r="R54" i="42"/>
  <c r="L54" i="42"/>
  <c r="N54" i="42" s="1"/>
  <c r="B54" i="42"/>
  <c r="Z53" i="42"/>
  <c r="X53" i="42"/>
  <c r="T53" i="42"/>
  <c r="P53" i="42"/>
  <c r="N53" i="42"/>
  <c r="L53" i="42"/>
  <c r="H53" i="42"/>
  <c r="D53" i="42"/>
  <c r="B53" i="42"/>
  <c r="Z52" i="42"/>
  <c r="X52" i="42"/>
  <c r="L52" i="42"/>
  <c r="N52" i="42" s="1"/>
  <c r="B52" i="42"/>
  <c r="T51" i="42"/>
  <c r="P51" i="42"/>
  <c r="X51" i="42" s="1"/>
  <c r="Z51" i="42" s="1"/>
  <c r="J51" i="42"/>
  <c r="H51" i="42"/>
  <c r="D51" i="42"/>
  <c r="B51" i="42"/>
  <c r="X50" i="42"/>
  <c r="Z50" i="42" s="1"/>
  <c r="N50" i="42"/>
  <c r="L50" i="42"/>
  <c r="B50" i="42"/>
  <c r="T49" i="42"/>
  <c r="P49" i="42"/>
  <c r="X49" i="42" s="1"/>
  <c r="Z49" i="42" s="1"/>
  <c r="H49" i="42"/>
  <c r="N49" i="42" s="1"/>
  <c r="D49" i="42"/>
  <c r="L49" i="42" s="1"/>
  <c r="B49" i="42"/>
  <c r="X48" i="42"/>
  <c r="Z48" i="42" s="1"/>
  <c r="N48" i="42"/>
  <c r="L48" i="42"/>
  <c r="B48" i="42"/>
  <c r="Z47" i="42"/>
  <c r="X47" i="42"/>
  <c r="N47" i="42"/>
  <c r="L47" i="42"/>
  <c r="J47" i="42"/>
  <c r="B47" i="42"/>
  <c r="Z46" i="42"/>
  <c r="X46" i="42"/>
  <c r="L46" i="42"/>
  <c r="N46" i="42" s="1"/>
  <c r="B46" i="42"/>
  <c r="Z45" i="42"/>
  <c r="X45" i="42"/>
  <c r="L45" i="42"/>
  <c r="N45" i="42" s="1"/>
  <c r="B45" i="42"/>
  <c r="X44" i="42"/>
  <c r="Z44" i="42" s="1"/>
  <c r="R44" i="42"/>
  <c r="N44" i="42"/>
  <c r="L44" i="42"/>
  <c r="B44" i="42"/>
  <c r="Z43" i="42"/>
  <c r="X43" i="42"/>
  <c r="N43" i="42"/>
  <c r="L43" i="42"/>
  <c r="J43" i="42"/>
  <c r="B43" i="42"/>
  <c r="Z42" i="42"/>
  <c r="X42" i="42"/>
  <c r="R42" i="42"/>
  <c r="L42" i="42"/>
  <c r="N42" i="42" s="1"/>
  <c r="B42" i="42"/>
  <c r="Z41" i="42"/>
  <c r="X41" i="42"/>
  <c r="T41" i="42"/>
  <c r="P41" i="42"/>
  <c r="N41" i="42"/>
  <c r="L41" i="42"/>
  <c r="H41" i="42"/>
  <c r="D41" i="42"/>
  <c r="B41" i="42"/>
  <c r="Z40" i="42"/>
  <c r="X40" i="42"/>
  <c r="L40" i="42"/>
  <c r="N40" i="42" s="1"/>
  <c r="B40" i="42"/>
  <c r="Z39" i="42"/>
  <c r="X39" i="42"/>
  <c r="N39" i="42"/>
  <c r="L39" i="42"/>
  <c r="B39" i="42"/>
  <c r="X38" i="42"/>
  <c r="Z38" i="42" s="1"/>
  <c r="L38" i="42"/>
  <c r="N38" i="42" s="1"/>
  <c r="B38" i="42"/>
  <c r="X37" i="42"/>
  <c r="Z37" i="42" s="1"/>
  <c r="N37" i="42"/>
  <c r="L37" i="42"/>
  <c r="J37" i="42"/>
  <c r="B37" i="42"/>
  <c r="Z36" i="42"/>
  <c r="X36" i="42"/>
  <c r="L36" i="42"/>
  <c r="N36" i="42" s="1"/>
  <c r="B36" i="42"/>
  <c r="Z35" i="42"/>
  <c r="X35" i="42"/>
  <c r="N35" i="42"/>
  <c r="L35" i="42"/>
  <c r="B35" i="42"/>
  <c r="X34" i="42"/>
  <c r="Z34" i="42" s="1"/>
  <c r="L34" i="42"/>
  <c r="N34" i="42" s="1"/>
  <c r="B34" i="42"/>
  <c r="X33" i="42"/>
  <c r="Z33" i="42" s="1"/>
  <c r="N33" i="42"/>
  <c r="L33" i="42"/>
  <c r="B33" i="42"/>
  <c r="Z32" i="42"/>
  <c r="X32" i="42"/>
  <c r="L32" i="42"/>
  <c r="N32" i="42" s="1"/>
  <c r="B32" i="42"/>
  <c r="Z31" i="42"/>
  <c r="T31" i="42"/>
  <c r="P31" i="42"/>
  <c r="X31" i="42" s="1"/>
  <c r="H31" i="42"/>
  <c r="D31" i="42"/>
  <c r="B31" i="42"/>
  <c r="X30" i="42"/>
  <c r="T30" i="42"/>
  <c r="P30" i="42"/>
  <c r="H30" i="42"/>
  <c r="N30" i="42" s="1"/>
  <c r="D30" i="42"/>
  <c r="L30" i="42" s="1"/>
  <c r="X26" i="42"/>
  <c r="Z26" i="42" s="1"/>
  <c r="L26" i="42"/>
  <c r="N26" i="42" s="1"/>
  <c r="B26" i="42"/>
  <c r="Z25" i="42"/>
  <c r="X25" i="42"/>
  <c r="N25" i="42"/>
  <c r="L25" i="42"/>
  <c r="B25" i="42"/>
  <c r="X24" i="42"/>
  <c r="T24" i="42"/>
  <c r="P24" i="42"/>
  <c r="L24" i="42"/>
  <c r="H24" i="42"/>
  <c r="N24" i="42" s="1"/>
  <c r="D24" i="42"/>
  <c r="X22" i="42"/>
  <c r="T22" i="42"/>
  <c r="Z22" i="42" s="1"/>
  <c r="P22" i="42"/>
  <c r="H22" i="42"/>
  <c r="D22" i="42"/>
  <c r="L22" i="42" s="1"/>
  <c r="N22" i="42" s="1"/>
  <c r="B22" i="42"/>
  <c r="T21" i="42"/>
  <c r="P21" i="42"/>
  <c r="X21" i="42" s="1"/>
  <c r="Z21" i="42" s="1"/>
  <c r="H21" i="42"/>
  <c r="L21" i="42" s="1"/>
  <c r="N21" i="42" s="1"/>
  <c r="D21" i="42"/>
  <c r="B21" i="42"/>
  <c r="X20" i="42"/>
  <c r="T20" i="42"/>
  <c r="P20" i="42"/>
  <c r="H20" i="42"/>
  <c r="D20" i="42"/>
  <c r="B20" i="42"/>
  <c r="T19" i="42"/>
  <c r="P19" i="42"/>
  <c r="H19" i="42"/>
  <c r="L19" i="42" s="1"/>
  <c r="N19" i="42" s="1"/>
  <c r="D19" i="42"/>
  <c r="B19" i="42"/>
  <c r="X18" i="42"/>
  <c r="T18" i="42"/>
  <c r="P18" i="42"/>
  <c r="L18" i="42"/>
  <c r="N18" i="42" s="1"/>
  <c r="H18" i="42"/>
  <c r="D18" i="42"/>
  <c r="B18" i="42"/>
  <c r="T17" i="42"/>
  <c r="P17" i="42"/>
  <c r="X17" i="42" s="1"/>
  <c r="Z17" i="42" s="1"/>
  <c r="H17" i="42"/>
  <c r="L17" i="42" s="1"/>
  <c r="N17" i="42" s="1"/>
  <c r="D17" i="42"/>
  <c r="B17" i="42"/>
  <c r="X16" i="42"/>
  <c r="T16" i="42"/>
  <c r="Z16" i="42" s="1"/>
  <c r="P16" i="42"/>
  <c r="H16" i="42"/>
  <c r="N16" i="42" s="1"/>
  <c r="D16" i="42"/>
  <c r="L16" i="42" s="1"/>
  <c r="B16" i="42"/>
  <c r="T15" i="42"/>
  <c r="P15" i="42"/>
  <c r="H15" i="42"/>
  <c r="L15" i="42" s="1"/>
  <c r="N15" i="42" s="1"/>
  <c r="D15" i="42"/>
  <c r="B15" i="42"/>
  <c r="X14" i="42"/>
  <c r="T14" i="42"/>
  <c r="Z14" i="42" s="1"/>
  <c r="P14" i="42"/>
  <c r="P12" i="42" s="1"/>
  <c r="R55" i="42" s="1"/>
  <c r="L14" i="42"/>
  <c r="N14" i="42" s="1"/>
  <c r="H14" i="42"/>
  <c r="D14" i="42"/>
  <c r="B14" i="42"/>
  <c r="T13" i="42"/>
  <c r="P13" i="42"/>
  <c r="X13" i="42" s="1"/>
  <c r="Z13" i="42" s="1"/>
  <c r="H13" i="42"/>
  <c r="H12" i="42" s="1"/>
  <c r="J45" i="42" s="1"/>
  <c r="D13" i="42"/>
  <c r="B13" i="42"/>
  <c r="D4" i="42"/>
  <c r="Z128" i="39"/>
  <c r="X128" i="39"/>
  <c r="N128" i="39"/>
  <c r="L128" i="39"/>
  <c r="Z124" i="39"/>
  <c r="X124" i="39"/>
  <c r="T124" i="39"/>
  <c r="P124" i="39"/>
  <c r="N124" i="39"/>
  <c r="L124" i="39"/>
  <c r="H124" i="39"/>
  <c r="D124" i="39"/>
  <c r="B124" i="39"/>
  <c r="X123" i="39"/>
  <c r="T123" i="39"/>
  <c r="P123" i="39"/>
  <c r="H123" i="39"/>
  <c r="D123" i="39"/>
  <c r="L123" i="39" s="1"/>
  <c r="N123" i="39" s="1"/>
  <c r="B123" i="39"/>
  <c r="T122" i="39"/>
  <c r="P122" i="39"/>
  <c r="P121" i="39" s="1"/>
  <c r="H122" i="39"/>
  <c r="D122" i="39"/>
  <c r="L122" i="39" s="1"/>
  <c r="N122" i="39" s="1"/>
  <c r="B122" i="39"/>
  <c r="H121" i="39"/>
  <c r="D121" i="39"/>
  <c r="L121" i="39" s="1"/>
  <c r="X119" i="39"/>
  <c r="Z119" i="39" s="1"/>
  <c r="N119" i="39"/>
  <c r="L119" i="39"/>
  <c r="B119" i="39"/>
  <c r="Z118" i="39"/>
  <c r="X118" i="39"/>
  <c r="T118" i="39"/>
  <c r="P118" i="39"/>
  <c r="N118" i="39"/>
  <c r="L118" i="39"/>
  <c r="H118" i="39"/>
  <c r="D118" i="39"/>
  <c r="B118" i="39"/>
  <c r="X117" i="39"/>
  <c r="Z117" i="39" s="1"/>
  <c r="L117" i="39"/>
  <c r="N117" i="39" s="1"/>
  <c r="B117" i="39"/>
  <c r="Z116" i="39"/>
  <c r="X116" i="39"/>
  <c r="N116" i="39"/>
  <c r="L116" i="39"/>
  <c r="B116" i="39"/>
  <c r="Z115" i="39"/>
  <c r="X115" i="39"/>
  <c r="N115" i="39"/>
  <c r="L115" i="39"/>
  <c r="B115" i="39"/>
  <c r="T114" i="39"/>
  <c r="P114" i="39"/>
  <c r="X114" i="39" s="1"/>
  <c r="Z114" i="39" s="1"/>
  <c r="H114" i="39"/>
  <c r="D114" i="39"/>
  <c r="B114" i="39"/>
  <c r="X113" i="39"/>
  <c r="Z113" i="39" s="1"/>
  <c r="L113" i="39"/>
  <c r="N113" i="39" s="1"/>
  <c r="B113" i="39"/>
  <c r="Z112" i="39"/>
  <c r="T112" i="39"/>
  <c r="P112" i="39"/>
  <c r="X112" i="39" s="1"/>
  <c r="H112" i="39"/>
  <c r="D112" i="39"/>
  <c r="L112" i="39" s="1"/>
  <c r="N112" i="39" s="1"/>
  <c r="B112" i="39"/>
  <c r="X111" i="39"/>
  <c r="Z111" i="39" s="1"/>
  <c r="N111" i="39"/>
  <c r="L111" i="39"/>
  <c r="B111" i="39"/>
  <c r="Z110" i="39"/>
  <c r="X110" i="39"/>
  <c r="T110" i="39"/>
  <c r="P110" i="39"/>
  <c r="N110" i="39"/>
  <c r="L110" i="39"/>
  <c r="H110" i="39"/>
  <c r="D110" i="39"/>
  <c r="B110" i="39"/>
  <c r="X109" i="39"/>
  <c r="Z109" i="39" s="1"/>
  <c r="L109" i="39"/>
  <c r="N109" i="39" s="1"/>
  <c r="B109" i="39"/>
  <c r="X108" i="39"/>
  <c r="Z108" i="39" s="1"/>
  <c r="N108" i="39"/>
  <c r="L108" i="39"/>
  <c r="B108" i="39"/>
  <c r="Z107" i="39"/>
  <c r="X107" i="39"/>
  <c r="N107" i="39"/>
  <c r="L107" i="39"/>
  <c r="B107" i="39"/>
  <c r="Z106" i="39"/>
  <c r="X106" i="39"/>
  <c r="N106" i="39"/>
  <c r="L106" i="39"/>
  <c r="B106" i="39"/>
  <c r="X105" i="39"/>
  <c r="Z105" i="39" s="1"/>
  <c r="L105" i="39"/>
  <c r="N105" i="39" s="1"/>
  <c r="B105" i="39"/>
  <c r="X104" i="39"/>
  <c r="Z104" i="39" s="1"/>
  <c r="N104" i="39"/>
  <c r="L104" i="39"/>
  <c r="B104" i="39"/>
  <c r="Z103" i="39"/>
  <c r="X103" i="39"/>
  <c r="L103" i="39"/>
  <c r="N103" i="39" s="1"/>
  <c r="B103" i="39"/>
  <c r="Z102" i="39"/>
  <c r="X102" i="39"/>
  <c r="N102" i="39"/>
  <c r="L102" i="39"/>
  <c r="B102" i="39"/>
  <c r="X101" i="39"/>
  <c r="T101" i="39"/>
  <c r="P101" i="39"/>
  <c r="H101" i="39"/>
  <c r="D101" i="39"/>
  <c r="L101" i="39" s="1"/>
  <c r="N101" i="39" s="1"/>
  <c r="B101" i="39"/>
  <c r="Z100" i="39"/>
  <c r="X100" i="39"/>
  <c r="N100" i="39"/>
  <c r="L100" i="39"/>
  <c r="B100" i="39"/>
  <c r="X99" i="39"/>
  <c r="Z99" i="39" s="1"/>
  <c r="N99" i="39"/>
  <c r="L99" i="39"/>
  <c r="B99" i="39"/>
  <c r="T98" i="39"/>
  <c r="P98" i="39"/>
  <c r="X98" i="39" s="1"/>
  <c r="Z98" i="39" s="1"/>
  <c r="N98" i="39"/>
  <c r="H98" i="39"/>
  <c r="D98" i="39"/>
  <c r="L98" i="39" s="1"/>
  <c r="B98" i="39"/>
  <c r="X97" i="39"/>
  <c r="Z97" i="39" s="1"/>
  <c r="L97" i="39"/>
  <c r="N97" i="39" s="1"/>
  <c r="B97" i="39"/>
  <c r="Z96" i="39"/>
  <c r="X96" i="39"/>
  <c r="N96" i="39"/>
  <c r="L96" i="39"/>
  <c r="B96" i="39"/>
  <c r="X95" i="39"/>
  <c r="Z95" i="39" s="1"/>
  <c r="N95" i="39"/>
  <c r="L95" i="39"/>
  <c r="B95" i="39"/>
  <c r="X94" i="39"/>
  <c r="Z94" i="39" s="1"/>
  <c r="N94" i="39"/>
  <c r="L94" i="39"/>
  <c r="B94" i="39"/>
  <c r="X93" i="39"/>
  <c r="Z93" i="39" s="1"/>
  <c r="L93" i="39"/>
  <c r="N93" i="39" s="1"/>
  <c r="B93" i="39"/>
  <c r="Z92" i="39"/>
  <c r="X92" i="39"/>
  <c r="T92" i="39"/>
  <c r="P92" i="39"/>
  <c r="L92" i="39"/>
  <c r="N92" i="39" s="1"/>
  <c r="H92" i="39"/>
  <c r="D92" i="39"/>
  <c r="B92" i="39"/>
  <c r="Z91" i="39"/>
  <c r="X91" i="39"/>
  <c r="L91" i="39"/>
  <c r="N91" i="39" s="1"/>
  <c r="B91" i="39"/>
  <c r="Z90" i="39"/>
  <c r="X90" i="39"/>
  <c r="N90" i="39"/>
  <c r="L90" i="39"/>
  <c r="B90" i="39"/>
  <c r="Z89" i="39"/>
  <c r="X89" i="39"/>
  <c r="T89" i="39"/>
  <c r="P89" i="39"/>
  <c r="N89" i="39"/>
  <c r="H89" i="39"/>
  <c r="D89" i="39"/>
  <c r="L89" i="39" s="1"/>
  <c r="B89" i="39"/>
  <c r="Z88" i="39"/>
  <c r="X88" i="39"/>
  <c r="N88" i="39"/>
  <c r="L88" i="39"/>
  <c r="B88" i="39"/>
  <c r="X87" i="39"/>
  <c r="Z87" i="39" s="1"/>
  <c r="L87" i="39"/>
  <c r="N87" i="39" s="1"/>
  <c r="B87" i="39"/>
  <c r="Z86" i="39"/>
  <c r="X86" i="39"/>
  <c r="L86" i="39"/>
  <c r="N86" i="39" s="1"/>
  <c r="B86" i="39"/>
  <c r="X85" i="39"/>
  <c r="T85" i="39"/>
  <c r="Z85" i="39" s="1"/>
  <c r="P85" i="39"/>
  <c r="H85" i="39"/>
  <c r="D85" i="39"/>
  <c r="L85" i="39" s="1"/>
  <c r="B85" i="39"/>
  <c r="Z84" i="39"/>
  <c r="X84" i="39"/>
  <c r="L84" i="39"/>
  <c r="N84" i="39" s="1"/>
  <c r="B84" i="39"/>
  <c r="T83" i="39"/>
  <c r="P83" i="39"/>
  <c r="X83" i="39" s="1"/>
  <c r="H83" i="39"/>
  <c r="D83" i="39"/>
  <c r="B83" i="39"/>
  <c r="Z82" i="39"/>
  <c r="X82" i="39"/>
  <c r="N82" i="39"/>
  <c r="L82" i="39"/>
  <c r="B82" i="39"/>
  <c r="T81" i="39"/>
  <c r="X81" i="39" s="1"/>
  <c r="P81" i="39"/>
  <c r="N81" i="39"/>
  <c r="H81" i="39"/>
  <c r="D81" i="39"/>
  <c r="L81" i="39" s="1"/>
  <c r="B81" i="39"/>
  <c r="Z80" i="39"/>
  <c r="X80" i="39"/>
  <c r="L80" i="39"/>
  <c r="N80" i="39" s="1"/>
  <c r="B80" i="39"/>
  <c r="T79" i="39"/>
  <c r="P79" i="39"/>
  <c r="X79" i="39" s="1"/>
  <c r="H79" i="39"/>
  <c r="D79" i="39"/>
  <c r="B79" i="39"/>
  <c r="Z78" i="39"/>
  <c r="X78" i="39"/>
  <c r="N78" i="39"/>
  <c r="L78" i="39"/>
  <c r="B78" i="39"/>
  <c r="T77" i="39"/>
  <c r="P77" i="39"/>
  <c r="X77" i="39" s="1"/>
  <c r="H77" i="39"/>
  <c r="D77" i="39"/>
  <c r="L77" i="39" s="1"/>
  <c r="B77" i="39"/>
  <c r="X76" i="39"/>
  <c r="Z76" i="39" s="1"/>
  <c r="R76" i="39"/>
  <c r="N76" i="39"/>
  <c r="L76" i="39"/>
  <c r="B76" i="39"/>
  <c r="X75" i="39"/>
  <c r="Z75" i="39" s="1"/>
  <c r="N75" i="39"/>
  <c r="L75" i="39"/>
  <c r="B75" i="39"/>
  <c r="T74" i="39"/>
  <c r="P74" i="39"/>
  <c r="L74" i="39"/>
  <c r="H74" i="39"/>
  <c r="N74" i="39" s="1"/>
  <c r="D74" i="39"/>
  <c r="B74" i="39"/>
  <c r="X73" i="39"/>
  <c r="Z73" i="39" s="1"/>
  <c r="L73" i="39"/>
  <c r="N73" i="39" s="1"/>
  <c r="B73" i="39"/>
  <c r="T72" i="39"/>
  <c r="P72" i="39"/>
  <c r="X72" i="39" s="1"/>
  <c r="Z72" i="39" s="1"/>
  <c r="H72" i="39"/>
  <c r="D72" i="39"/>
  <c r="B72" i="39"/>
  <c r="Z71" i="39"/>
  <c r="X71" i="39"/>
  <c r="L71" i="39"/>
  <c r="N71" i="39" s="1"/>
  <c r="B71" i="39"/>
  <c r="Z70" i="39"/>
  <c r="X70" i="39"/>
  <c r="T70" i="39"/>
  <c r="P70" i="39"/>
  <c r="H70" i="39"/>
  <c r="D70" i="39"/>
  <c r="L70" i="39" s="1"/>
  <c r="N70" i="39" s="1"/>
  <c r="B70" i="39"/>
  <c r="Z69" i="39"/>
  <c r="X69" i="39"/>
  <c r="L69" i="39"/>
  <c r="N69" i="39" s="1"/>
  <c r="B69" i="39"/>
  <c r="Z68" i="39"/>
  <c r="X68" i="39"/>
  <c r="T68" i="39"/>
  <c r="P68" i="39"/>
  <c r="L68" i="39"/>
  <c r="H68" i="39"/>
  <c r="N68" i="39" s="1"/>
  <c r="D68" i="39"/>
  <c r="B68" i="39"/>
  <c r="X67" i="39"/>
  <c r="Z67" i="39" s="1"/>
  <c r="L67" i="39"/>
  <c r="N67" i="39" s="1"/>
  <c r="B67" i="39"/>
  <c r="T66" i="39"/>
  <c r="R66" i="39"/>
  <c r="P66" i="39"/>
  <c r="X66" i="39" s="1"/>
  <c r="Z66" i="39" s="1"/>
  <c r="H66" i="39"/>
  <c r="D66" i="39"/>
  <c r="L66" i="39" s="1"/>
  <c r="B66" i="39"/>
  <c r="X65" i="39"/>
  <c r="Z65" i="39" s="1"/>
  <c r="N65" i="39"/>
  <c r="L65" i="39"/>
  <c r="B65" i="39"/>
  <c r="Z64" i="39"/>
  <c r="X64" i="39"/>
  <c r="N64" i="39"/>
  <c r="L64" i="39"/>
  <c r="B64" i="39"/>
  <c r="X63" i="39"/>
  <c r="Z63" i="39" s="1"/>
  <c r="L63" i="39"/>
  <c r="N63" i="39" s="1"/>
  <c r="B63" i="39"/>
  <c r="Z62" i="39"/>
  <c r="T62" i="39"/>
  <c r="P62" i="39"/>
  <c r="X62" i="39" s="1"/>
  <c r="H62" i="39"/>
  <c r="D62" i="39"/>
  <c r="L62" i="39" s="1"/>
  <c r="N62" i="39" s="1"/>
  <c r="B62" i="39"/>
  <c r="Z61" i="39"/>
  <c r="X61" i="39"/>
  <c r="L61" i="39"/>
  <c r="N61" i="39" s="1"/>
  <c r="B61" i="39"/>
  <c r="Z60" i="39"/>
  <c r="X60" i="39"/>
  <c r="T60" i="39"/>
  <c r="P60" i="39"/>
  <c r="L60" i="39"/>
  <c r="H60" i="39"/>
  <c r="N60" i="39" s="1"/>
  <c r="D60" i="39"/>
  <c r="B60" i="39"/>
  <c r="X59" i="39"/>
  <c r="Z59" i="39" s="1"/>
  <c r="L59" i="39"/>
  <c r="N59" i="39" s="1"/>
  <c r="B59" i="39"/>
  <c r="T58" i="39"/>
  <c r="P58" i="39"/>
  <c r="X58" i="39" s="1"/>
  <c r="Z58" i="39" s="1"/>
  <c r="H58" i="39"/>
  <c r="D58" i="39"/>
  <c r="L58" i="39" s="1"/>
  <c r="B58" i="39"/>
  <c r="X57" i="39"/>
  <c r="Z57" i="39" s="1"/>
  <c r="R57" i="39"/>
  <c r="N57" i="39"/>
  <c r="L57" i="39"/>
  <c r="B57" i="39"/>
  <c r="T56" i="39"/>
  <c r="R56" i="39"/>
  <c r="P56" i="39"/>
  <c r="X56" i="39" s="1"/>
  <c r="Z56" i="39" s="1"/>
  <c r="H56" i="39"/>
  <c r="D56" i="39"/>
  <c r="L56" i="39" s="1"/>
  <c r="N56" i="39" s="1"/>
  <c r="B56" i="39"/>
  <c r="X55" i="39"/>
  <c r="Z55" i="39" s="1"/>
  <c r="R55" i="39"/>
  <c r="L55" i="39"/>
  <c r="N55" i="39" s="1"/>
  <c r="B55" i="39"/>
  <c r="X54" i="39"/>
  <c r="Z54" i="39" s="1"/>
  <c r="N54" i="39"/>
  <c r="L54" i="39"/>
  <c r="B54" i="39"/>
  <c r="Z53" i="39"/>
  <c r="X53" i="39"/>
  <c r="L53" i="39"/>
  <c r="N53" i="39" s="1"/>
  <c r="B53" i="39"/>
  <c r="Z52" i="39"/>
  <c r="X52" i="39"/>
  <c r="N52" i="39"/>
  <c r="L52" i="39"/>
  <c r="B52" i="39"/>
  <c r="X51" i="39"/>
  <c r="Z51" i="39" s="1"/>
  <c r="L51" i="39"/>
  <c r="N51" i="39" s="1"/>
  <c r="B51" i="39"/>
  <c r="X50" i="39"/>
  <c r="Z50" i="39" s="1"/>
  <c r="N50" i="39"/>
  <c r="L50" i="39"/>
  <c r="B50" i="39"/>
  <c r="Z49" i="39"/>
  <c r="X49" i="39"/>
  <c r="L49" i="39"/>
  <c r="N49" i="39" s="1"/>
  <c r="B49" i="39"/>
  <c r="Z48" i="39"/>
  <c r="X48" i="39"/>
  <c r="T48" i="39"/>
  <c r="P48" i="39"/>
  <c r="L48" i="39"/>
  <c r="H48" i="39"/>
  <c r="N48" i="39" s="1"/>
  <c r="D48" i="39"/>
  <c r="B48" i="39"/>
  <c r="X47" i="39"/>
  <c r="Z47" i="39" s="1"/>
  <c r="L47" i="39"/>
  <c r="N47" i="39" s="1"/>
  <c r="B47" i="39"/>
  <c r="Z46" i="39"/>
  <c r="X46" i="39"/>
  <c r="N46" i="39"/>
  <c r="L46" i="39"/>
  <c r="B46" i="39"/>
  <c r="X45" i="39"/>
  <c r="Z45" i="39" s="1"/>
  <c r="L45" i="39"/>
  <c r="N45" i="39" s="1"/>
  <c r="B45" i="39"/>
  <c r="Z44" i="39"/>
  <c r="X44" i="39"/>
  <c r="N44" i="39"/>
  <c r="L44" i="39"/>
  <c r="B44" i="39"/>
  <c r="X43" i="39"/>
  <c r="Z43" i="39" s="1"/>
  <c r="L43" i="39"/>
  <c r="N43" i="39" s="1"/>
  <c r="B43" i="39"/>
  <c r="Z42" i="39"/>
  <c r="X42" i="39"/>
  <c r="N42" i="39"/>
  <c r="L42" i="39"/>
  <c r="B42" i="39"/>
  <c r="X41" i="39"/>
  <c r="Z41" i="39" s="1"/>
  <c r="L41" i="39"/>
  <c r="N41" i="39" s="1"/>
  <c r="B41" i="39"/>
  <c r="Z40" i="39"/>
  <c r="X40" i="39"/>
  <c r="N40" i="39"/>
  <c r="L40" i="39"/>
  <c r="B40" i="39"/>
  <c r="X39" i="39"/>
  <c r="Z39" i="39" s="1"/>
  <c r="L39" i="39"/>
  <c r="N39" i="39" s="1"/>
  <c r="B39" i="39"/>
  <c r="T38" i="39"/>
  <c r="R38" i="39"/>
  <c r="P38" i="39"/>
  <c r="X38" i="39" s="1"/>
  <c r="Z38" i="39" s="1"/>
  <c r="H38" i="39"/>
  <c r="D38" i="39"/>
  <c r="L38" i="39" s="1"/>
  <c r="B38" i="39"/>
  <c r="X37" i="39"/>
  <c r="T37" i="39"/>
  <c r="P37" i="39"/>
  <c r="H37" i="39"/>
  <c r="N37" i="39" s="1"/>
  <c r="D37" i="39"/>
  <c r="L37" i="39" s="1"/>
  <c r="X33" i="39"/>
  <c r="Z33" i="39" s="1"/>
  <c r="L33" i="39"/>
  <c r="N33" i="39" s="1"/>
  <c r="B33" i="39"/>
  <c r="Z32" i="39"/>
  <c r="X32" i="39"/>
  <c r="N32" i="39"/>
  <c r="L32" i="39"/>
  <c r="B32" i="39"/>
  <c r="T31" i="39"/>
  <c r="Z31" i="39" s="1"/>
  <c r="P31" i="39"/>
  <c r="X31" i="39" s="1"/>
  <c r="L31" i="39"/>
  <c r="H31" i="39"/>
  <c r="D31" i="39"/>
  <c r="T29" i="39"/>
  <c r="Z29" i="39" s="1"/>
  <c r="P29" i="39"/>
  <c r="X29" i="39" s="1"/>
  <c r="H29" i="39"/>
  <c r="D29" i="39"/>
  <c r="L29" i="39" s="1"/>
  <c r="N29" i="39" s="1"/>
  <c r="B29" i="39"/>
  <c r="Z28" i="39"/>
  <c r="T28" i="39"/>
  <c r="X28" i="39" s="1"/>
  <c r="P28" i="39"/>
  <c r="H28" i="39"/>
  <c r="D28" i="39"/>
  <c r="B28" i="39"/>
  <c r="T27" i="39"/>
  <c r="P27" i="39"/>
  <c r="X27" i="39" s="1"/>
  <c r="L27" i="39"/>
  <c r="N27" i="39" s="1"/>
  <c r="H27" i="39"/>
  <c r="D27" i="39"/>
  <c r="B27" i="39"/>
  <c r="T26" i="39"/>
  <c r="X26" i="39" s="1"/>
  <c r="Z26" i="39" s="1"/>
  <c r="P26" i="39"/>
  <c r="H26" i="39"/>
  <c r="D26" i="39"/>
  <c r="B26" i="39"/>
  <c r="T25" i="39"/>
  <c r="Z25" i="39" s="1"/>
  <c r="P25" i="39"/>
  <c r="X25" i="39" s="1"/>
  <c r="H25" i="39"/>
  <c r="D25" i="39"/>
  <c r="L25" i="39" s="1"/>
  <c r="N25" i="39" s="1"/>
  <c r="B25" i="39"/>
  <c r="Z24" i="39"/>
  <c r="T24" i="39"/>
  <c r="X24" i="39" s="1"/>
  <c r="P24" i="39"/>
  <c r="H24" i="39"/>
  <c r="D24" i="39"/>
  <c r="B24" i="39"/>
  <c r="T23" i="39"/>
  <c r="P23" i="39"/>
  <c r="X23" i="39" s="1"/>
  <c r="L23" i="39"/>
  <c r="N23" i="39" s="1"/>
  <c r="H23" i="39"/>
  <c r="D23" i="39"/>
  <c r="B23" i="39"/>
  <c r="T22" i="39"/>
  <c r="X22" i="39" s="1"/>
  <c r="Z22" i="39" s="1"/>
  <c r="P22" i="39"/>
  <c r="H22" i="39"/>
  <c r="D22" i="39"/>
  <c r="B22" i="39"/>
  <c r="T21" i="39"/>
  <c r="Z21" i="39" s="1"/>
  <c r="P21" i="39"/>
  <c r="X21" i="39" s="1"/>
  <c r="H21" i="39"/>
  <c r="D21" i="39"/>
  <c r="L21" i="39" s="1"/>
  <c r="N21" i="39" s="1"/>
  <c r="B21" i="39"/>
  <c r="Z20" i="39"/>
  <c r="T20" i="39"/>
  <c r="X20" i="39" s="1"/>
  <c r="P20" i="39"/>
  <c r="H20" i="39"/>
  <c r="D20" i="39"/>
  <c r="B20" i="39"/>
  <c r="T19" i="39"/>
  <c r="P19" i="39"/>
  <c r="X19" i="39" s="1"/>
  <c r="L19" i="39"/>
  <c r="N19" i="39" s="1"/>
  <c r="H19" i="39"/>
  <c r="D19" i="39"/>
  <c r="B19" i="39"/>
  <c r="T18" i="39"/>
  <c r="X18" i="39" s="1"/>
  <c r="Z18" i="39" s="1"/>
  <c r="P18" i="39"/>
  <c r="H18" i="39"/>
  <c r="L18" i="39" s="1"/>
  <c r="D18" i="39"/>
  <c r="B18" i="39"/>
  <c r="T17" i="39"/>
  <c r="Z17" i="39" s="1"/>
  <c r="P17" i="39"/>
  <c r="X17" i="39" s="1"/>
  <c r="H17" i="39"/>
  <c r="D17" i="39"/>
  <c r="L17" i="39" s="1"/>
  <c r="N17" i="39" s="1"/>
  <c r="B17" i="39"/>
  <c r="Z16" i="39"/>
  <c r="T16" i="39"/>
  <c r="X16" i="39" s="1"/>
  <c r="P16" i="39"/>
  <c r="H16" i="39"/>
  <c r="D16" i="39"/>
  <c r="B16" i="39"/>
  <c r="T15" i="39"/>
  <c r="Z15" i="39" s="1"/>
  <c r="P15" i="39"/>
  <c r="X15" i="39" s="1"/>
  <c r="L15" i="39"/>
  <c r="N15" i="39" s="1"/>
  <c r="H15" i="39"/>
  <c r="D15" i="39"/>
  <c r="B15" i="39"/>
  <c r="T14" i="39"/>
  <c r="X14" i="39" s="1"/>
  <c r="Z14" i="39" s="1"/>
  <c r="P14" i="39"/>
  <c r="H14" i="39"/>
  <c r="D14" i="39"/>
  <c r="B14" i="39"/>
  <c r="T13" i="39"/>
  <c r="T12" i="39" s="1"/>
  <c r="P13" i="39"/>
  <c r="P12" i="39" s="1"/>
  <c r="R65" i="39" s="1"/>
  <c r="H13" i="39"/>
  <c r="D13" i="39"/>
  <c r="B13" i="39"/>
  <c r="D4" i="39"/>
  <c r="X122" i="36"/>
  <c r="Z122" i="36" s="1"/>
  <c r="L122" i="36"/>
  <c r="N122" i="36" s="1"/>
  <c r="T118" i="36"/>
  <c r="P118" i="36"/>
  <c r="X118" i="36" s="1"/>
  <c r="H118" i="36"/>
  <c r="D118" i="36"/>
  <c r="L118" i="36" s="1"/>
  <c r="N118" i="36" s="1"/>
  <c r="B118" i="36"/>
  <c r="T117" i="36"/>
  <c r="P117" i="36"/>
  <c r="X117" i="36" s="1"/>
  <c r="Z117" i="36" s="1"/>
  <c r="H117" i="36"/>
  <c r="N117" i="36" s="1"/>
  <c r="D117" i="36"/>
  <c r="L117" i="36" s="1"/>
  <c r="B117" i="36"/>
  <c r="X116" i="36"/>
  <c r="T116" i="36"/>
  <c r="P116" i="36"/>
  <c r="H116" i="36"/>
  <c r="D116" i="36"/>
  <c r="B116" i="36"/>
  <c r="Z113" i="36"/>
  <c r="X113" i="36"/>
  <c r="N113" i="36"/>
  <c r="L113" i="36"/>
  <c r="B113" i="36"/>
  <c r="T112" i="36"/>
  <c r="P112" i="36"/>
  <c r="H112" i="36"/>
  <c r="D112" i="36"/>
  <c r="L112" i="36" s="1"/>
  <c r="N112" i="36" s="1"/>
  <c r="B112" i="36"/>
  <c r="Z111" i="36"/>
  <c r="X111" i="36"/>
  <c r="N111" i="36"/>
  <c r="L111" i="36"/>
  <c r="B111" i="36"/>
  <c r="X110" i="36"/>
  <c r="Z110" i="36" s="1"/>
  <c r="L110" i="36"/>
  <c r="N110" i="36" s="1"/>
  <c r="B110" i="36"/>
  <c r="Z109" i="36"/>
  <c r="X109" i="36"/>
  <c r="N109" i="36"/>
  <c r="L109" i="36"/>
  <c r="B109" i="36"/>
  <c r="X108" i="36"/>
  <c r="T108" i="36"/>
  <c r="Z108" i="36" s="1"/>
  <c r="P108" i="36"/>
  <c r="H108" i="36"/>
  <c r="D108" i="36"/>
  <c r="L108" i="36" s="1"/>
  <c r="B108" i="36"/>
  <c r="Z107" i="36"/>
  <c r="X107" i="36"/>
  <c r="L107" i="36"/>
  <c r="N107" i="36" s="1"/>
  <c r="B107" i="36"/>
  <c r="T106" i="36"/>
  <c r="P106" i="36"/>
  <c r="H106" i="36"/>
  <c r="D106" i="36"/>
  <c r="L106" i="36" s="1"/>
  <c r="B106" i="36"/>
  <c r="Z105" i="36"/>
  <c r="X105" i="36"/>
  <c r="N105" i="36"/>
  <c r="L105" i="36"/>
  <c r="B105" i="36"/>
  <c r="T104" i="36"/>
  <c r="P104" i="36"/>
  <c r="H104" i="36"/>
  <c r="D104" i="36"/>
  <c r="L104" i="36" s="1"/>
  <c r="N104" i="36" s="1"/>
  <c r="B104" i="36"/>
  <c r="Z103" i="36"/>
  <c r="X103" i="36"/>
  <c r="N103" i="36"/>
  <c r="L103" i="36"/>
  <c r="B103" i="36"/>
  <c r="X102" i="36"/>
  <c r="Z102" i="36" s="1"/>
  <c r="L102" i="36"/>
  <c r="N102" i="36" s="1"/>
  <c r="B102" i="36"/>
  <c r="Z101" i="36"/>
  <c r="X101" i="36"/>
  <c r="N101" i="36"/>
  <c r="L101" i="36"/>
  <c r="B101" i="36"/>
  <c r="X100" i="36"/>
  <c r="Z100" i="36" s="1"/>
  <c r="L100" i="36"/>
  <c r="N100" i="36" s="1"/>
  <c r="B100" i="36"/>
  <c r="Z99" i="36"/>
  <c r="X99" i="36"/>
  <c r="N99" i="36"/>
  <c r="L99" i="36"/>
  <c r="B99" i="36"/>
  <c r="X98" i="36"/>
  <c r="Z98" i="36" s="1"/>
  <c r="L98" i="36"/>
  <c r="N98" i="36" s="1"/>
  <c r="B98" i="36"/>
  <c r="Z97" i="36"/>
  <c r="X97" i="36"/>
  <c r="N97" i="36"/>
  <c r="L97" i="36"/>
  <c r="B97" i="36"/>
  <c r="X96" i="36"/>
  <c r="Z96" i="36" s="1"/>
  <c r="L96" i="36"/>
  <c r="N96" i="36" s="1"/>
  <c r="B96" i="36"/>
  <c r="T95" i="36"/>
  <c r="P95" i="36"/>
  <c r="X95" i="36" s="1"/>
  <c r="Z95" i="36" s="1"/>
  <c r="H95" i="36"/>
  <c r="D95" i="36"/>
  <c r="L95" i="36" s="1"/>
  <c r="B95" i="36"/>
  <c r="X94" i="36"/>
  <c r="Z94" i="36" s="1"/>
  <c r="N94" i="36"/>
  <c r="L94" i="36"/>
  <c r="B94" i="36"/>
  <c r="Z93" i="36"/>
  <c r="X93" i="36"/>
  <c r="T93" i="36"/>
  <c r="P93" i="36"/>
  <c r="N93" i="36"/>
  <c r="H93" i="36"/>
  <c r="D93" i="36"/>
  <c r="L93" i="36" s="1"/>
  <c r="B93" i="36"/>
  <c r="X92" i="36"/>
  <c r="Z92" i="36" s="1"/>
  <c r="L92" i="36"/>
  <c r="N92" i="36" s="1"/>
  <c r="B92" i="36"/>
  <c r="X91" i="36"/>
  <c r="Z91" i="36" s="1"/>
  <c r="N91" i="36"/>
  <c r="L91" i="36"/>
  <c r="B91" i="36"/>
  <c r="Z90" i="36"/>
  <c r="X90" i="36"/>
  <c r="L90" i="36"/>
  <c r="N90" i="36" s="1"/>
  <c r="B90" i="36"/>
  <c r="Z89" i="36"/>
  <c r="X89" i="36"/>
  <c r="N89" i="36"/>
  <c r="L89" i="36"/>
  <c r="B89" i="36"/>
  <c r="X88" i="36"/>
  <c r="Z88" i="36" s="1"/>
  <c r="L88" i="36"/>
  <c r="N88" i="36" s="1"/>
  <c r="B88" i="36"/>
  <c r="X87" i="36"/>
  <c r="T87" i="36"/>
  <c r="Z87" i="36" s="1"/>
  <c r="P87" i="36"/>
  <c r="N87" i="36"/>
  <c r="H87" i="36"/>
  <c r="L87" i="36" s="1"/>
  <c r="D87" i="36"/>
  <c r="B87" i="36"/>
  <c r="X86" i="36"/>
  <c r="Z86" i="36" s="1"/>
  <c r="L86" i="36"/>
  <c r="N86" i="36" s="1"/>
  <c r="B86" i="36"/>
  <c r="Z85" i="36"/>
  <c r="X85" i="36"/>
  <c r="N85" i="36"/>
  <c r="L85" i="36"/>
  <c r="B85" i="36"/>
  <c r="X84" i="36"/>
  <c r="T84" i="36"/>
  <c r="Z84" i="36" s="1"/>
  <c r="P84" i="36"/>
  <c r="L84" i="36"/>
  <c r="H84" i="36"/>
  <c r="D84" i="36"/>
  <c r="B84" i="36"/>
  <c r="Z83" i="36"/>
  <c r="X83" i="36"/>
  <c r="L83" i="36"/>
  <c r="N83" i="36" s="1"/>
  <c r="B83" i="36"/>
  <c r="X82" i="36"/>
  <c r="Z82" i="36" s="1"/>
  <c r="N82" i="36"/>
  <c r="L82" i="36"/>
  <c r="B82" i="36"/>
  <c r="Z81" i="36"/>
  <c r="X81" i="36"/>
  <c r="N81" i="36"/>
  <c r="L81" i="36"/>
  <c r="B81" i="36"/>
  <c r="T80" i="36"/>
  <c r="P80" i="36"/>
  <c r="X80" i="36" s="1"/>
  <c r="H80" i="36"/>
  <c r="D80" i="36"/>
  <c r="B80" i="36"/>
  <c r="X79" i="36"/>
  <c r="Z79" i="36" s="1"/>
  <c r="N79" i="36"/>
  <c r="L79" i="36"/>
  <c r="B79" i="36"/>
  <c r="T78" i="36"/>
  <c r="P78" i="36"/>
  <c r="X78" i="36" s="1"/>
  <c r="Z78" i="36" s="1"/>
  <c r="H78" i="36"/>
  <c r="D78" i="36"/>
  <c r="B78" i="36"/>
  <c r="Z77" i="36"/>
  <c r="X77" i="36"/>
  <c r="N77" i="36"/>
  <c r="L77" i="36"/>
  <c r="B77" i="36"/>
  <c r="X76" i="36"/>
  <c r="T76" i="36"/>
  <c r="Z76" i="36" s="1"/>
  <c r="P76" i="36"/>
  <c r="L76" i="36"/>
  <c r="H76" i="36"/>
  <c r="D76" i="36"/>
  <c r="B76" i="36"/>
  <c r="Z75" i="36"/>
  <c r="X75" i="36"/>
  <c r="N75" i="36"/>
  <c r="L75" i="36"/>
  <c r="B75" i="36"/>
  <c r="X74" i="36"/>
  <c r="T74" i="36"/>
  <c r="Z74" i="36" s="1"/>
  <c r="P74" i="36"/>
  <c r="H74" i="36"/>
  <c r="N74" i="36" s="1"/>
  <c r="D74" i="36"/>
  <c r="B74" i="36"/>
  <c r="Z73" i="36"/>
  <c r="X73" i="36"/>
  <c r="N73" i="36"/>
  <c r="L73" i="36"/>
  <c r="B73" i="36"/>
  <c r="T72" i="36"/>
  <c r="P72" i="36"/>
  <c r="X72" i="36" s="1"/>
  <c r="H72" i="36"/>
  <c r="D72" i="36"/>
  <c r="L72" i="36" s="1"/>
  <c r="N72" i="36" s="1"/>
  <c r="B72" i="36"/>
  <c r="Z71" i="36"/>
  <c r="X71" i="36"/>
  <c r="N71" i="36"/>
  <c r="L71" i="36"/>
  <c r="B71" i="36"/>
  <c r="T70" i="36"/>
  <c r="P70" i="36"/>
  <c r="X70" i="36" s="1"/>
  <c r="L70" i="36"/>
  <c r="H70" i="36"/>
  <c r="D70" i="36"/>
  <c r="B70" i="36"/>
  <c r="Z69" i="36"/>
  <c r="X69" i="36"/>
  <c r="N69" i="36"/>
  <c r="L69" i="36"/>
  <c r="B69" i="36"/>
  <c r="X68" i="36"/>
  <c r="Z68" i="36" s="1"/>
  <c r="L68" i="36"/>
  <c r="N68" i="36" s="1"/>
  <c r="B68" i="36"/>
  <c r="Z67" i="36"/>
  <c r="T67" i="36"/>
  <c r="P67" i="36"/>
  <c r="X67" i="36" s="1"/>
  <c r="N67" i="36"/>
  <c r="L67" i="36"/>
  <c r="H67" i="36"/>
  <c r="D67" i="36"/>
  <c r="B67" i="36"/>
  <c r="Z66" i="36"/>
  <c r="X66" i="36"/>
  <c r="L66" i="36"/>
  <c r="N66" i="36" s="1"/>
  <c r="B66" i="36"/>
  <c r="Z65" i="36"/>
  <c r="T65" i="36"/>
  <c r="X65" i="36" s="1"/>
  <c r="P65" i="36"/>
  <c r="L65" i="36"/>
  <c r="H65" i="36"/>
  <c r="N65" i="36" s="1"/>
  <c r="D65" i="36"/>
  <c r="B65" i="36"/>
  <c r="X64" i="36"/>
  <c r="Z64" i="36" s="1"/>
  <c r="L64" i="36"/>
  <c r="N64" i="36" s="1"/>
  <c r="B64" i="36"/>
  <c r="Z63" i="36"/>
  <c r="T63" i="36"/>
  <c r="P63" i="36"/>
  <c r="X63" i="36" s="1"/>
  <c r="H63" i="36"/>
  <c r="D63" i="36"/>
  <c r="L63" i="36" s="1"/>
  <c r="B63" i="36"/>
  <c r="X62" i="36"/>
  <c r="Z62" i="36" s="1"/>
  <c r="N62" i="36"/>
  <c r="L62" i="36"/>
  <c r="B62" i="36"/>
  <c r="Z61" i="36"/>
  <c r="X61" i="36"/>
  <c r="T61" i="36"/>
  <c r="P61" i="36"/>
  <c r="H61" i="36"/>
  <c r="D61" i="36"/>
  <c r="L61" i="36" s="1"/>
  <c r="N61" i="36" s="1"/>
  <c r="B61" i="36"/>
  <c r="X60" i="36"/>
  <c r="Z60" i="36" s="1"/>
  <c r="L60" i="36"/>
  <c r="N60" i="36" s="1"/>
  <c r="B60" i="36"/>
  <c r="X59" i="36"/>
  <c r="Z59" i="36" s="1"/>
  <c r="N59" i="36"/>
  <c r="L59" i="36"/>
  <c r="B59" i="36"/>
  <c r="Z58" i="36"/>
  <c r="X58" i="36"/>
  <c r="L58" i="36"/>
  <c r="N58" i="36" s="1"/>
  <c r="B58" i="36"/>
  <c r="T57" i="36"/>
  <c r="X57" i="36" s="1"/>
  <c r="Z57" i="36" s="1"/>
  <c r="P57" i="36"/>
  <c r="L57" i="36"/>
  <c r="H57" i="36"/>
  <c r="N57" i="36" s="1"/>
  <c r="D57" i="36"/>
  <c r="B57" i="36"/>
  <c r="X56" i="36"/>
  <c r="Z56" i="36" s="1"/>
  <c r="N56" i="36"/>
  <c r="L56" i="36"/>
  <c r="B56" i="36"/>
  <c r="T55" i="36"/>
  <c r="P55" i="36"/>
  <c r="X55" i="36" s="1"/>
  <c r="Z55" i="36" s="1"/>
  <c r="H55" i="36"/>
  <c r="D55" i="36"/>
  <c r="L55" i="36" s="1"/>
  <c r="B55" i="36"/>
  <c r="X54" i="36"/>
  <c r="Z54" i="36" s="1"/>
  <c r="N54" i="36"/>
  <c r="L54" i="36"/>
  <c r="B54" i="36"/>
  <c r="Z53" i="36"/>
  <c r="X53" i="36"/>
  <c r="T53" i="36"/>
  <c r="P53" i="36"/>
  <c r="N53" i="36"/>
  <c r="H53" i="36"/>
  <c r="D53" i="36"/>
  <c r="L53" i="36" s="1"/>
  <c r="B53" i="36"/>
  <c r="X52" i="36"/>
  <c r="Z52" i="36" s="1"/>
  <c r="L52" i="36"/>
  <c r="N52" i="36" s="1"/>
  <c r="B52" i="36"/>
  <c r="X51" i="36"/>
  <c r="T51" i="36"/>
  <c r="Z51" i="36" s="1"/>
  <c r="P51" i="36"/>
  <c r="H51" i="36"/>
  <c r="L51" i="36" s="1"/>
  <c r="N51" i="36" s="1"/>
  <c r="D51" i="36"/>
  <c r="B51" i="36"/>
  <c r="X50" i="36"/>
  <c r="Z50" i="36" s="1"/>
  <c r="L50" i="36"/>
  <c r="N50" i="36" s="1"/>
  <c r="B50" i="36"/>
  <c r="Z49" i="36"/>
  <c r="X49" i="36"/>
  <c r="N49" i="36"/>
  <c r="L49" i="36"/>
  <c r="B49" i="36"/>
  <c r="X48" i="36"/>
  <c r="Z48" i="36" s="1"/>
  <c r="N48" i="36"/>
  <c r="L48" i="36"/>
  <c r="B48" i="36"/>
  <c r="Z47" i="36"/>
  <c r="X47" i="36"/>
  <c r="N47" i="36"/>
  <c r="L47" i="36"/>
  <c r="B47" i="36"/>
  <c r="X46" i="36"/>
  <c r="Z46" i="36" s="1"/>
  <c r="L46" i="36"/>
  <c r="N46" i="36" s="1"/>
  <c r="B46" i="36"/>
  <c r="Z45" i="36"/>
  <c r="X45" i="36"/>
  <c r="N45" i="36"/>
  <c r="L45" i="36"/>
  <c r="B45" i="36"/>
  <c r="X44" i="36"/>
  <c r="Z44" i="36" s="1"/>
  <c r="N44" i="36"/>
  <c r="L44" i="36"/>
  <c r="B44" i="36"/>
  <c r="Z43" i="36"/>
  <c r="T43" i="36"/>
  <c r="P43" i="36"/>
  <c r="X43" i="36" s="1"/>
  <c r="H43" i="36"/>
  <c r="D43" i="36"/>
  <c r="L43" i="36" s="1"/>
  <c r="B43" i="36"/>
  <c r="X42" i="36"/>
  <c r="Z42" i="36" s="1"/>
  <c r="N42" i="36"/>
  <c r="L42" i="36"/>
  <c r="B42" i="36"/>
  <c r="Z41" i="36"/>
  <c r="X41" i="36"/>
  <c r="N41" i="36"/>
  <c r="L41" i="36"/>
  <c r="B41" i="36"/>
  <c r="Z40" i="36"/>
  <c r="X40" i="36"/>
  <c r="L40" i="36"/>
  <c r="N40" i="36" s="1"/>
  <c r="B40" i="36"/>
  <c r="Z39" i="36"/>
  <c r="X39" i="36"/>
  <c r="L39" i="36"/>
  <c r="N39" i="36" s="1"/>
  <c r="B39" i="36"/>
  <c r="X38" i="36"/>
  <c r="Z38" i="36" s="1"/>
  <c r="N38" i="36"/>
  <c r="L38" i="36"/>
  <c r="B38" i="36"/>
  <c r="Z37" i="36"/>
  <c r="X37" i="36"/>
  <c r="N37" i="36"/>
  <c r="L37" i="36"/>
  <c r="B37" i="36"/>
  <c r="Z36" i="36"/>
  <c r="X36" i="36"/>
  <c r="L36" i="36"/>
  <c r="N36" i="36" s="1"/>
  <c r="B36" i="36"/>
  <c r="Z35" i="36"/>
  <c r="X35" i="36"/>
  <c r="L35" i="36"/>
  <c r="N35" i="36" s="1"/>
  <c r="B35" i="36"/>
  <c r="X34" i="36"/>
  <c r="Z34" i="36" s="1"/>
  <c r="N34" i="36"/>
  <c r="L34" i="36"/>
  <c r="B34" i="36"/>
  <c r="Z33" i="36"/>
  <c r="X33" i="36"/>
  <c r="T33" i="36"/>
  <c r="P33" i="36"/>
  <c r="H33" i="36"/>
  <c r="D33" i="36"/>
  <c r="L33" i="36" s="1"/>
  <c r="N33" i="36" s="1"/>
  <c r="B33" i="36"/>
  <c r="T32" i="36"/>
  <c r="P32" i="36"/>
  <c r="X32" i="36" s="1"/>
  <c r="H32" i="36"/>
  <c r="D32" i="36"/>
  <c r="L32" i="36" s="1"/>
  <c r="N32" i="36" s="1"/>
  <c r="X28" i="36"/>
  <c r="Z28" i="36" s="1"/>
  <c r="L28" i="36"/>
  <c r="N28" i="36" s="1"/>
  <c r="B28" i="36"/>
  <c r="X27" i="36"/>
  <c r="Z27" i="36" s="1"/>
  <c r="N27" i="36"/>
  <c r="L27" i="36"/>
  <c r="B27" i="36"/>
  <c r="T26" i="36"/>
  <c r="P26" i="36"/>
  <c r="X26" i="36" s="1"/>
  <c r="Z26" i="36" s="1"/>
  <c r="H26" i="36"/>
  <c r="D26" i="36"/>
  <c r="L26" i="36" s="1"/>
  <c r="T24" i="36"/>
  <c r="P24" i="36"/>
  <c r="X24" i="36" s="1"/>
  <c r="Z24" i="36" s="1"/>
  <c r="L24" i="36"/>
  <c r="N24" i="36" s="1"/>
  <c r="H24" i="36"/>
  <c r="D24" i="36"/>
  <c r="B24" i="36"/>
  <c r="T23" i="36"/>
  <c r="P23" i="36"/>
  <c r="H23" i="36"/>
  <c r="N23" i="36" s="1"/>
  <c r="D23" i="36"/>
  <c r="L23" i="36" s="1"/>
  <c r="B23" i="36"/>
  <c r="T22" i="36"/>
  <c r="P22" i="36"/>
  <c r="X22" i="36" s="1"/>
  <c r="Z22" i="36" s="1"/>
  <c r="L22" i="36"/>
  <c r="H22" i="36"/>
  <c r="N22" i="36" s="1"/>
  <c r="D22" i="36"/>
  <c r="B22" i="36"/>
  <c r="T21" i="36"/>
  <c r="P21" i="36"/>
  <c r="H21" i="36"/>
  <c r="D21" i="36"/>
  <c r="L21" i="36" s="1"/>
  <c r="N21" i="36" s="1"/>
  <c r="B21" i="36"/>
  <c r="T20" i="36"/>
  <c r="P20" i="36"/>
  <c r="X20" i="36" s="1"/>
  <c r="Z20" i="36" s="1"/>
  <c r="H20" i="36"/>
  <c r="D20" i="36"/>
  <c r="L20" i="36" s="1"/>
  <c r="N20" i="36" s="1"/>
  <c r="B20" i="36"/>
  <c r="T19" i="36"/>
  <c r="P19" i="36"/>
  <c r="X19" i="36" s="1"/>
  <c r="Z19" i="36" s="1"/>
  <c r="H19" i="36"/>
  <c r="D19" i="36"/>
  <c r="L19" i="36" s="1"/>
  <c r="B19" i="36"/>
  <c r="X18" i="36"/>
  <c r="Z18" i="36" s="1"/>
  <c r="T18" i="36"/>
  <c r="P18" i="36"/>
  <c r="L18" i="36"/>
  <c r="H18" i="36"/>
  <c r="D18" i="36"/>
  <c r="B18" i="36"/>
  <c r="T17" i="36"/>
  <c r="P17" i="36"/>
  <c r="H17" i="36"/>
  <c r="D17" i="36"/>
  <c r="B17" i="36"/>
  <c r="T16" i="36"/>
  <c r="P16" i="36"/>
  <c r="X16" i="36" s="1"/>
  <c r="Z16" i="36" s="1"/>
  <c r="L16" i="36"/>
  <c r="N16" i="36" s="1"/>
  <c r="H16" i="36"/>
  <c r="D16" i="36"/>
  <c r="B16" i="36"/>
  <c r="T15" i="36"/>
  <c r="P15" i="36"/>
  <c r="H15" i="36"/>
  <c r="D15" i="36"/>
  <c r="L15" i="36" s="1"/>
  <c r="B15" i="36"/>
  <c r="T14" i="36"/>
  <c r="P14" i="36"/>
  <c r="X14" i="36" s="1"/>
  <c r="Z14" i="36" s="1"/>
  <c r="L14" i="36"/>
  <c r="H14" i="36"/>
  <c r="D14" i="36"/>
  <c r="B14" i="36"/>
  <c r="X13" i="36"/>
  <c r="T13" i="36"/>
  <c r="P13" i="36"/>
  <c r="N13" i="36"/>
  <c r="H13" i="36"/>
  <c r="D13" i="36"/>
  <c r="L13" i="36" s="1"/>
  <c r="B13" i="36"/>
  <c r="D4" i="36"/>
  <c r="Z87" i="33"/>
  <c r="X87" i="33"/>
  <c r="L87" i="33"/>
  <c r="N87" i="33" s="1"/>
  <c r="Z83" i="33"/>
  <c r="T83" i="33"/>
  <c r="P83" i="33"/>
  <c r="X83" i="33" s="1"/>
  <c r="H83" i="33"/>
  <c r="N83" i="33" s="1"/>
  <c r="D83" i="33"/>
  <c r="B83" i="33"/>
  <c r="T82" i="33"/>
  <c r="P82" i="33"/>
  <c r="H82" i="33"/>
  <c r="D82" i="33"/>
  <c r="D78" i="33" s="1"/>
  <c r="B82" i="33"/>
  <c r="T81" i="33"/>
  <c r="P81" i="33"/>
  <c r="X81" i="33" s="1"/>
  <c r="Z81" i="33" s="1"/>
  <c r="L81" i="33"/>
  <c r="H81" i="33"/>
  <c r="N81" i="33" s="1"/>
  <c r="F81" i="33"/>
  <c r="D81" i="33"/>
  <c r="B81" i="33"/>
  <c r="X80" i="33"/>
  <c r="Z80" i="33" s="1"/>
  <c r="T80" i="33"/>
  <c r="P80" i="33"/>
  <c r="H80" i="33"/>
  <c r="D80" i="33"/>
  <c r="B80" i="33"/>
  <c r="T79" i="33"/>
  <c r="P79" i="33"/>
  <c r="N79" i="33"/>
  <c r="L79" i="33"/>
  <c r="H79" i="33"/>
  <c r="D79" i="33"/>
  <c r="B79" i="33"/>
  <c r="Z76" i="33"/>
  <c r="X76" i="33"/>
  <c r="N76" i="33"/>
  <c r="L76" i="33"/>
  <c r="F76" i="33"/>
  <c r="B76" i="33"/>
  <c r="T75" i="33"/>
  <c r="P75" i="33"/>
  <c r="X75" i="33" s="1"/>
  <c r="Z75" i="33" s="1"/>
  <c r="L75" i="33"/>
  <c r="H75" i="33"/>
  <c r="F75" i="33"/>
  <c r="D75" i="33"/>
  <c r="B75" i="33"/>
  <c r="X74" i="33"/>
  <c r="Z74" i="33" s="1"/>
  <c r="N74" i="33"/>
  <c r="L74" i="33"/>
  <c r="B74" i="33"/>
  <c r="Z73" i="33"/>
  <c r="X73" i="33"/>
  <c r="N73" i="33"/>
  <c r="L73" i="33"/>
  <c r="F73" i="33"/>
  <c r="B73" i="33"/>
  <c r="Z72" i="33"/>
  <c r="X72" i="33"/>
  <c r="L72" i="33"/>
  <c r="N72" i="33" s="1"/>
  <c r="B72" i="33"/>
  <c r="X71" i="33"/>
  <c r="Z71" i="33" s="1"/>
  <c r="N71" i="33"/>
  <c r="L71" i="33"/>
  <c r="B71" i="33"/>
  <c r="X70" i="33"/>
  <c r="Z70" i="33" s="1"/>
  <c r="N70" i="33"/>
  <c r="L70" i="33"/>
  <c r="B70" i="33"/>
  <c r="T69" i="33"/>
  <c r="P69" i="33"/>
  <c r="X69" i="33" s="1"/>
  <c r="Z69" i="33" s="1"/>
  <c r="H69" i="33"/>
  <c r="D69" i="33"/>
  <c r="B69" i="33"/>
  <c r="X68" i="33"/>
  <c r="Z68" i="33" s="1"/>
  <c r="N68" i="33"/>
  <c r="L68" i="33"/>
  <c r="B68" i="33"/>
  <c r="Z67" i="33"/>
  <c r="X67" i="33"/>
  <c r="T67" i="33"/>
  <c r="P67" i="33"/>
  <c r="H67" i="33"/>
  <c r="D67" i="33"/>
  <c r="B67" i="33"/>
  <c r="X66" i="33"/>
  <c r="Z66" i="33" s="1"/>
  <c r="L66" i="33"/>
  <c r="N66" i="33" s="1"/>
  <c r="B66" i="33"/>
  <c r="X65" i="33"/>
  <c r="T65" i="33"/>
  <c r="Z65" i="33" s="1"/>
  <c r="P65" i="33"/>
  <c r="H65" i="33"/>
  <c r="D65" i="33"/>
  <c r="L65" i="33" s="1"/>
  <c r="N65" i="33" s="1"/>
  <c r="B65" i="33"/>
  <c r="Z64" i="33"/>
  <c r="X64" i="33"/>
  <c r="L64" i="33"/>
  <c r="N64" i="33" s="1"/>
  <c r="B64" i="33"/>
  <c r="T63" i="33"/>
  <c r="P63" i="33"/>
  <c r="H63" i="33"/>
  <c r="D63" i="33"/>
  <c r="L63" i="33" s="1"/>
  <c r="N63" i="33" s="1"/>
  <c r="B63" i="33"/>
  <c r="Z62" i="33"/>
  <c r="X62" i="33"/>
  <c r="L62" i="33"/>
  <c r="N62" i="33" s="1"/>
  <c r="B62" i="33"/>
  <c r="Z61" i="33"/>
  <c r="X61" i="33"/>
  <c r="L61" i="33"/>
  <c r="N61" i="33" s="1"/>
  <c r="B61" i="33"/>
  <c r="T60" i="33"/>
  <c r="P60" i="33"/>
  <c r="H60" i="33"/>
  <c r="D60" i="33"/>
  <c r="L60" i="33" s="1"/>
  <c r="N60" i="33" s="1"/>
  <c r="B60" i="33"/>
  <c r="Z59" i="33"/>
  <c r="X59" i="33"/>
  <c r="L59" i="33"/>
  <c r="N59" i="33" s="1"/>
  <c r="F59" i="33"/>
  <c r="B59" i="33"/>
  <c r="X58" i="33"/>
  <c r="T58" i="33"/>
  <c r="Z58" i="33" s="1"/>
  <c r="P58" i="33"/>
  <c r="H58" i="33"/>
  <c r="F58" i="33"/>
  <c r="D58" i="33"/>
  <c r="L58" i="33" s="1"/>
  <c r="N58" i="33" s="1"/>
  <c r="B58" i="33"/>
  <c r="Z57" i="33"/>
  <c r="X57" i="33"/>
  <c r="N57" i="33"/>
  <c r="L57" i="33"/>
  <c r="F57" i="33"/>
  <c r="B57" i="33"/>
  <c r="Z56" i="33"/>
  <c r="T56" i="33"/>
  <c r="X56" i="33" s="1"/>
  <c r="P56" i="33"/>
  <c r="L56" i="33"/>
  <c r="N56" i="33" s="1"/>
  <c r="H56" i="33"/>
  <c r="F56" i="33"/>
  <c r="D56" i="33"/>
  <c r="B56" i="33"/>
  <c r="Z55" i="33"/>
  <c r="X55" i="33"/>
  <c r="N55" i="33"/>
  <c r="L55" i="33"/>
  <c r="B55" i="33"/>
  <c r="T54" i="33"/>
  <c r="P54" i="33"/>
  <c r="X54" i="33" s="1"/>
  <c r="Z54" i="33" s="1"/>
  <c r="H54" i="33"/>
  <c r="D54" i="33"/>
  <c r="B54" i="33"/>
  <c r="X53" i="33"/>
  <c r="Z53" i="33" s="1"/>
  <c r="N53" i="33"/>
  <c r="L53" i="33"/>
  <c r="B53" i="33"/>
  <c r="Z52" i="33"/>
  <c r="X52" i="33"/>
  <c r="N52" i="33"/>
  <c r="L52" i="33"/>
  <c r="F52" i="33"/>
  <c r="B52" i="33"/>
  <c r="Z51" i="33"/>
  <c r="X51" i="33"/>
  <c r="L51" i="33"/>
  <c r="N51" i="33" s="1"/>
  <c r="F51" i="33"/>
  <c r="B51" i="33"/>
  <c r="X50" i="33"/>
  <c r="Z50" i="33" s="1"/>
  <c r="L50" i="33"/>
  <c r="N50" i="33" s="1"/>
  <c r="B50" i="33"/>
  <c r="X49" i="33"/>
  <c r="T49" i="33"/>
  <c r="Z49" i="33" s="1"/>
  <c r="P49" i="33"/>
  <c r="H49" i="33"/>
  <c r="D49" i="33"/>
  <c r="L49" i="33" s="1"/>
  <c r="N49" i="33" s="1"/>
  <c r="B49" i="33"/>
  <c r="Z48" i="33"/>
  <c r="X48" i="33"/>
  <c r="L48" i="33"/>
  <c r="N48" i="33" s="1"/>
  <c r="F48" i="33"/>
  <c r="B48" i="33"/>
  <c r="X47" i="33"/>
  <c r="Z47" i="33" s="1"/>
  <c r="N47" i="33"/>
  <c r="L47" i="33"/>
  <c r="B47" i="33"/>
  <c r="X46" i="33"/>
  <c r="Z46" i="33" s="1"/>
  <c r="N46" i="33"/>
  <c r="L46" i="33"/>
  <c r="B46" i="33"/>
  <c r="Z45" i="33"/>
  <c r="X45" i="33"/>
  <c r="N45" i="33"/>
  <c r="L45" i="33"/>
  <c r="F45" i="33"/>
  <c r="B45" i="33"/>
  <c r="Z44" i="33"/>
  <c r="X44" i="33"/>
  <c r="L44" i="33"/>
  <c r="N44" i="33" s="1"/>
  <c r="F44" i="33"/>
  <c r="B44" i="33"/>
  <c r="X43" i="33"/>
  <c r="Z43" i="33" s="1"/>
  <c r="N43" i="33"/>
  <c r="L43" i="33"/>
  <c r="B43" i="33"/>
  <c r="X42" i="33"/>
  <c r="Z42" i="33" s="1"/>
  <c r="N42" i="33"/>
  <c r="L42" i="33"/>
  <c r="B42" i="33"/>
  <c r="Z41" i="33"/>
  <c r="X41" i="33"/>
  <c r="N41" i="33"/>
  <c r="L41" i="33"/>
  <c r="F41" i="33"/>
  <c r="B41" i="33"/>
  <c r="T40" i="33"/>
  <c r="X40" i="33" s="1"/>
  <c r="Z40" i="33" s="1"/>
  <c r="P40" i="33"/>
  <c r="L40" i="33"/>
  <c r="N40" i="33" s="1"/>
  <c r="H40" i="33"/>
  <c r="F40" i="33"/>
  <c r="D40" i="33"/>
  <c r="B40" i="33"/>
  <c r="Z39" i="33"/>
  <c r="X39" i="33"/>
  <c r="T39" i="33"/>
  <c r="P39" i="33"/>
  <c r="H39" i="33"/>
  <c r="D39" i="33"/>
  <c r="L39" i="33" s="1"/>
  <c r="D37" i="33"/>
  <c r="Z35" i="33"/>
  <c r="X35" i="33"/>
  <c r="N35" i="33"/>
  <c r="L35" i="33"/>
  <c r="B35" i="33"/>
  <c r="Z34" i="33"/>
  <c r="X34" i="33"/>
  <c r="L34" i="33"/>
  <c r="N34" i="33" s="1"/>
  <c r="B34" i="33"/>
  <c r="Z33" i="33"/>
  <c r="X33" i="33"/>
  <c r="L33" i="33"/>
  <c r="N33" i="33" s="1"/>
  <c r="B33" i="33"/>
  <c r="Z32" i="33"/>
  <c r="X32" i="33"/>
  <c r="N32" i="33"/>
  <c r="L32" i="33"/>
  <c r="B32" i="33"/>
  <c r="Z31" i="33"/>
  <c r="X31" i="33"/>
  <c r="N31" i="33"/>
  <c r="L31" i="33"/>
  <c r="B31" i="33"/>
  <c r="Z30" i="33"/>
  <c r="T30" i="33"/>
  <c r="P30" i="33"/>
  <c r="X30" i="33" s="1"/>
  <c r="H30" i="33"/>
  <c r="D30" i="33"/>
  <c r="T28" i="33"/>
  <c r="Z28" i="33" s="1"/>
  <c r="P28" i="33"/>
  <c r="N28" i="33"/>
  <c r="L28" i="33"/>
  <c r="H28" i="33"/>
  <c r="D28" i="33"/>
  <c r="B28" i="33"/>
  <c r="T27" i="33"/>
  <c r="P27" i="33"/>
  <c r="X27" i="33" s="1"/>
  <c r="Z27" i="33" s="1"/>
  <c r="L27" i="33"/>
  <c r="H27" i="33"/>
  <c r="N27" i="33" s="1"/>
  <c r="D27" i="33"/>
  <c r="B27" i="33"/>
  <c r="T26" i="33"/>
  <c r="Z26" i="33" s="1"/>
  <c r="P26" i="33"/>
  <c r="X26" i="33" s="1"/>
  <c r="H26" i="33"/>
  <c r="D26" i="33"/>
  <c r="B26" i="33"/>
  <c r="T25" i="33"/>
  <c r="X25" i="33" s="1"/>
  <c r="P25" i="33"/>
  <c r="H25" i="33"/>
  <c r="N25" i="33" s="1"/>
  <c r="D25" i="33"/>
  <c r="B25" i="33"/>
  <c r="T24" i="33"/>
  <c r="Z24" i="33" s="1"/>
  <c r="P24" i="33"/>
  <c r="N24" i="33"/>
  <c r="L24" i="33"/>
  <c r="H24" i="33"/>
  <c r="D24" i="33"/>
  <c r="B24" i="33"/>
  <c r="T23" i="33"/>
  <c r="P23" i="33"/>
  <c r="X23" i="33" s="1"/>
  <c r="Z23" i="33" s="1"/>
  <c r="L23" i="33"/>
  <c r="H23" i="33"/>
  <c r="N23" i="33" s="1"/>
  <c r="D23" i="33"/>
  <c r="B23" i="33"/>
  <c r="T22" i="33"/>
  <c r="Z22" i="33" s="1"/>
  <c r="P22" i="33"/>
  <c r="X22" i="33" s="1"/>
  <c r="H22" i="33"/>
  <c r="D22" i="33"/>
  <c r="B22" i="33"/>
  <c r="T21" i="33"/>
  <c r="X21" i="33" s="1"/>
  <c r="P21" i="33"/>
  <c r="H21" i="33"/>
  <c r="D21" i="33"/>
  <c r="B21" i="33"/>
  <c r="T20" i="33"/>
  <c r="P20" i="33"/>
  <c r="L20" i="33"/>
  <c r="N20" i="33" s="1"/>
  <c r="H20" i="33"/>
  <c r="D20" i="33"/>
  <c r="B20" i="33"/>
  <c r="T19" i="33"/>
  <c r="P19" i="33"/>
  <c r="X19" i="33" s="1"/>
  <c r="Z19" i="33" s="1"/>
  <c r="L19" i="33"/>
  <c r="H19" i="33"/>
  <c r="D19" i="33"/>
  <c r="B19" i="33"/>
  <c r="T18" i="33"/>
  <c r="Z18" i="33" s="1"/>
  <c r="P18" i="33"/>
  <c r="X18" i="33" s="1"/>
  <c r="H18" i="33"/>
  <c r="D18" i="33"/>
  <c r="B18" i="33"/>
  <c r="T17" i="33"/>
  <c r="P17" i="33"/>
  <c r="H17" i="33"/>
  <c r="D17" i="33"/>
  <c r="B17" i="33"/>
  <c r="T16" i="33"/>
  <c r="P16" i="33"/>
  <c r="X16" i="33" s="1"/>
  <c r="Z16" i="33" s="1"/>
  <c r="L16" i="33"/>
  <c r="N16" i="33" s="1"/>
  <c r="H16" i="33"/>
  <c r="D16" i="33"/>
  <c r="B16" i="33"/>
  <c r="T15" i="33"/>
  <c r="P15" i="33"/>
  <c r="X15" i="33" s="1"/>
  <c r="Z15" i="33" s="1"/>
  <c r="L15" i="33"/>
  <c r="H15" i="33"/>
  <c r="D15" i="33"/>
  <c r="B15" i="33"/>
  <c r="T14" i="33"/>
  <c r="P14" i="33"/>
  <c r="X14" i="33" s="1"/>
  <c r="H14" i="33"/>
  <c r="D14" i="33"/>
  <c r="B14" i="33"/>
  <c r="T13" i="33"/>
  <c r="P13" i="33"/>
  <c r="H13" i="33"/>
  <c r="D13" i="33"/>
  <c r="B13" i="33"/>
  <c r="D12" i="33"/>
  <c r="F87" i="33" s="1"/>
  <c r="D4" i="33"/>
  <c r="X138" i="30"/>
  <c r="Z138" i="30" s="1"/>
  <c r="N138" i="30"/>
  <c r="L138" i="30"/>
  <c r="T134" i="30"/>
  <c r="P134" i="30"/>
  <c r="L134" i="30"/>
  <c r="H134" i="30"/>
  <c r="N134" i="30" s="1"/>
  <c r="D134" i="30"/>
  <c r="B134" i="30"/>
  <c r="T133" i="30"/>
  <c r="N133" i="30"/>
  <c r="H133" i="30"/>
  <c r="L133" i="30" s="1"/>
  <c r="D133" i="30"/>
  <c r="X131" i="30"/>
  <c r="Z131" i="30" s="1"/>
  <c r="N131" i="30"/>
  <c r="L131" i="30"/>
  <c r="B131" i="30"/>
  <c r="T130" i="30"/>
  <c r="X130" i="30" s="1"/>
  <c r="Z130" i="30" s="1"/>
  <c r="P130" i="30"/>
  <c r="L130" i="30"/>
  <c r="H130" i="30"/>
  <c r="D130" i="30"/>
  <c r="B130" i="30"/>
  <c r="X129" i="30"/>
  <c r="Z129" i="30" s="1"/>
  <c r="L129" i="30"/>
  <c r="N129" i="30" s="1"/>
  <c r="B129" i="30"/>
  <c r="T128" i="30"/>
  <c r="P128" i="30"/>
  <c r="X128" i="30" s="1"/>
  <c r="Z128" i="30" s="1"/>
  <c r="H128" i="30"/>
  <c r="D128" i="30"/>
  <c r="L128" i="30" s="1"/>
  <c r="B128" i="30"/>
  <c r="X127" i="30"/>
  <c r="Z127" i="30" s="1"/>
  <c r="L127" i="30"/>
  <c r="N127" i="30" s="1"/>
  <c r="B127" i="30"/>
  <c r="X126" i="30"/>
  <c r="T126" i="30"/>
  <c r="Z126" i="30" s="1"/>
  <c r="P126" i="30"/>
  <c r="H126" i="30"/>
  <c r="D126" i="30"/>
  <c r="L126" i="30" s="1"/>
  <c r="N126" i="30" s="1"/>
  <c r="B126" i="30"/>
  <c r="Z125" i="30"/>
  <c r="X125" i="30"/>
  <c r="L125" i="30"/>
  <c r="N125" i="30" s="1"/>
  <c r="B125" i="30"/>
  <c r="T124" i="30"/>
  <c r="P124" i="30"/>
  <c r="H124" i="30"/>
  <c r="D124" i="30"/>
  <c r="L124" i="30" s="1"/>
  <c r="N124" i="30" s="1"/>
  <c r="B124" i="30"/>
  <c r="Z123" i="30"/>
  <c r="X123" i="30"/>
  <c r="L123" i="30"/>
  <c r="N123" i="30" s="1"/>
  <c r="B123" i="30"/>
  <c r="Z122" i="30"/>
  <c r="X122" i="30"/>
  <c r="N122" i="30"/>
  <c r="L122" i="30"/>
  <c r="B122" i="30"/>
  <c r="X121" i="30"/>
  <c r="Z121" i="30" s="1"/>
  <c r="N121" i="30"/>
  <c r="L121" i="30"/>
  <c r="B121" i="30"/>
  <c r="Z120" i="30"/>
  <c r="X120" i="30"/>
  <c r="N120" i="30"/>
  <c r="L120" i="30"/>
  <c r="B120" i="30"/>
  <c r="Z119" i="30"/>
  <c r="X119" i="30"/>
  <c r="N119" i="30"/>
  <c r="L119" i="30"/>
  <c r="B119" i="30"/>
  <c r="T118" i="30"/>
  <c r="P118" i="30"/>
  <c r="H118" i="30"/>
  <c r="D118" i="30"/>
  <c r="L118" i="30" s="1"/>
  <c r="N118" i="30" s="1"/>
  <c r="B118" i="30"/>
  <c r="X117" i="30"/>
  <c r="Z117" i="30" s="1"/>
  <c r="N117" i="30"/>
  <c r="L117" i="30"/>
  <c r="B117" i="30"/>
  <c r="T116" i="30"/>
  <c r="P116" i="30"/>
  <c r="X116" i="30" s="1"/>
  <c r="Z116" i="30" s="1"/>
  <c r="L116" i="30"/>
  <c r="H116" i="30"/>
  <c r="N116" i="30" s="1"/>
  <c r="D116" i="30"/>
  <c r="B116" i="30"/>
  <c r="X115" i="30"/>
  <c r="Z115" i="30" s="1"/>
  <c r="N115" i="30"/>
  <c r="L115" i="30"/>
  <c r="B115" i="30"/>
  <c r="Z114" i="30"/>
  <c r="X114" i="30"/>
  <c r="N114" i="30"/>
  <c r="L114" i="30"/>
  <c r="B114" i="30"/>
  <c r="Z113" i="30"/>
  <c r="X113" i="30"/>
  <c r="L113" i="30"/>
  <c r="N113" i="30" s="1"/>
  <c r="B113" i="30"/>
  <c r="X112" i="30"/>
  <c r="T112" i="30"/>
  <c r="P112" i="30"/>
  <c r="N112" i="30"/>
  <c r="H112" i="30"/>
  <c r="D112" i="30"/>
  <c r="L112" i="30" s="1"/>
  <c r="B112" i="30"/>
  <c r="Z111" i="30"/>
  <c r="X111" i="30"/>
  <c r="L111" i="30"/>
  <c r="N111" i="30" s="1"/>
  <c r="B111" i="30"/>
  <c r="Z110" i="30"/>
  <c r="X110" i="30"/>
  <c r="N110" i="30"/>
  <c r="L110" i="30"/>
  <c r="B110" i="30"/>
  <c r="T109" i="30"/>
  <c r="P109" i="30"/>
  <c r="N109" i="30"/>
  <c r="H109" i="30"/>
  <c r="D109" i="30"/>
  <c r="L109" i="30" s="1"/>
  <c r="B109" i="30"/>
  <c r="Z108" i="30"/>
  <c r="X108" i="30"/>
  <c r="L108" i="30"/>
  <c r="N108" i="30" s="1"/>
  <c r="B108" i="30"/>
  <c r="X107" i="30"/>
  <c r="Z107" i="30" s="1"/>
  <c r="N107" i="30"/>
  <c r="L107" i="30"/>
  <c r="B107" i="30"/>
  <c r="X106" i="30"/>
  <c r="T106" i="30"/>
  <c r="Z106" i="30" s="1"/>
  <c r="P106" i="30"/>
  <c r="H106" i="30"/>
  <c r="D106" i="30"/>
  <c r="L106" i="30" s="1"/>
  <c r="N106" i="30" s="1"/>
  <c r="B106" i="30"/>
  <c r="Z105" i="30"/>
  <c r="X105" i="30"/>
  <c r="R105" i="30"/>
  <c r="L105" i="30"/>
  <c r="N105" i="30" s="1"/>
  <c r="B105" i="30"/>
  <c r="T104" i="30"/>
  <c r="X104" i="30" s="1"/>
  <c r="P104" i="30"/>
  <c r="H104" i="30"/>
  <c r="D104" i="30"/>
  <c r="L104" i="30" s="1"/>
  <c r="N104" i="30" s="1"/>
  <c r="B104" i="30"/>
  <c r="Z103" i="30"/>
  <c r="X103" i="30"/>
  <c r="N103" i="30"/>
  <c r="L103" i="30"/>
  <c r="B103" i="30"/>
  <c r="T102" i="30"/>
  <c r="P102" i="30"/>
  <c r="X102" i="30" s="1"/>
  <c r="N102" i="30"/>
  <c r="H102" i="30"/>
  <c r="D102" i="30"/>
  <c r="L102" i="30" s="1"/>
  <c r="B102" i="30"/>
  <c r="Z101" i="30"/>
  <c r="X101" i="30"/>
  <c r="N101" i="30"/>
  <c r="L101" i="30"/>
  <c r="B101" i="30"/>
  <c r="T100" i="30"/>
  <c r="P100" i="30"/>
  <c r="X100" i="30" s="1"/>
  <c r="Z100" i="30" s="1"/>
  <c r="L100" i="30"/>
  <c r="H100" i="30"/>
  <c r="N100" i="30" s="1"/>
  <c r="D100" i="30"/>
  <c r="B100" i="30"/>
  <c r="X99" i="30"/>
  <c r="Z99" i="30" s="1"/>
  <c r="N99" i="30"/>
  <c r="L99" i="30"/>
  <c r="B99" i="30"/>
  <c r="T98" i="30"/>
  <c r="P98" i="30"/>
  <c r="X98" i="30" s="1"/>
  <c r="Z98" i="30" s="1"/>
  <c r="L98" i="30"/>
  <c r="H98" i="30"/>
  <c r="D98" i="30"/>
  <c r="B98" i="30"/>
  <c r="X97" i="30"/>
  <c r="Z97" i="30" s="1"/>
  <c r="N97" i="30"/>
  <c r="L97" i="30"/>
  <c r="B97" i="30"/>
  <c r="T96" i="30"/>
  <c r="P96" i="30"/>
  <c r="X96" i="30" s="1"/>
  <c r="Z96" i="30" s="1"/>
  <c r="H96" i="30"/>
  <c r="D96" i="30"/>
  <c r="B96" i="30"/>
  <c r="X95" i="30"/>
  <c r="Z95" i="30" s="1"/>
  <c r="L95" i="30"/>
  <c r="N95" i="30" s="1"/>
  <c r="B95" i="30"/>
  <c r="X94" i="30"/>
  <c r="T94" i="30"/>
  <c r="Z94" i="30" s="1"/>
  <c r="P94" i="30"/>
  <c r="H94" i="30"/>
  <c r="D94" i="30"/>
  <c r="L94" i="30" s="1"/>
  <c r="N94" i="30" s="1"/>
  <c r="B94" i="30"/>
  <c r="Z93" i="30"/>
  <c r="X93" i="30"/>
  <c r="N93" i="30"/>
  <c r="L93" i="30"/>
  <c r="B93" i="30"/>
  <c r="T92" i="30"/>
  <c r="P92" i="30"/>
  <c r="N92" i="30"/>
  <c r="H92" i="30"/>
  <c r="D92" i="30"/>
  <c r="L92" i="30" s="1"/>
  <c r="B92" i="30"/>
  <c r="Z91" i="30"/>
  <c r="X91" i="30"/>
  <c r="N91" i="30"/>
  <c r="L91" i="30"/>
  <c r="B91" i="30"/>
  <c r="T90" i="30"/>
  <c r="P90" i="30"/>
  <c r="N90" i="30"/>
  <c r="H90" i="30"/>
  <c r="D90" i="30"/>
  <c r="L90" i="30" s="1"/>
  <c r="B90" i="30"/>
  <c r="Z89" i="30"/>
  <c r="X89" i="30"/>
  <c r="N89" i="30"/>
  <c r="L89" i="30"/>
  <c r="B89" i="30"/>
  <c r="T88" i="30"/>
  <c r="P88" i="30"/>
  <c r="X88" i="30" s="1"/>
  <c r="Z88" i="30" s="1"/>
  <c r="L88" i="30"/>
  <c r="H88" i="30"/>
  <c r="D88" i="30"/>
  <c r="B88" i="30"/>
  <c r="X87" i="30"/>
  <c r="Z87" i="30" s="1"/>
  <c r="N87" i="30"/>
  <c r="L87" i="30"/>
  <c r="B87" i="30"/>
  <c r="T86" i="30"/>
  <c r="P86" i="30"/>
  <c r="X86" i="30" s="1"/>
  <c r="Z86" i="30" s="1"/>
  <c r="L86" i="30"/>
  <c r="H86" i="30"/>
  <c r="D86" i="30"/>
  <c r="B86" i="30"/>
  <c r="X85" i="30"/>
  <c r="Z85" i="30" s="1"/>
  <c r="N85" i="30"/>
  <c r="L85" i="30"/>
  <c r="B85" i="30"/>
  <c r="T84" i="30"/>
  <c r="P84" i="30"/>
  <c r="X84" i="30" s="1"/>
  <c r="Z84" i="30" s="1"/>
  <c r="H84" i="30"/>
  <c r="D84" i="30"/>
  <c r="B84" i="30"/>
  <c r="X83" i="30"/>
  <c r="Z83" i="30" s="1"/>
  <c r="L83" i="30"/>
  <c r="N83" i="30" s="1"/>
  <c r="B83" i="30"/>
  <c r="X82" i="30"/>
  <c r="T82" i="30"/>
  <c r="Z82" i="30" s="1"/>
  <c r="P82" i="30"/>
  <c r="H82" i="30"/>
  <c r="D82" i="30"/>
  <c r="L82" i="30" s="1"/>
  <c r="N82" i="30" s="1"/>
  <c r="B82" i="30"/>
  <c r="Z81" i="30"/>
  <c r="X81" i="30"/>
  <c r="N81" i="30"/>
  <c r="L81" i="30"/>
  <c r="B81" i="30"/>
  <c r="X80" i="30"/>
  <c r="Z80" i="30" s="1"/>
  <c r="N80" i="30"/>
  <c r="L80" i="30"/>
  <c r="B80" i="30"/>
  <c r="X79" i="30"/>
  <c r="Z79" i="30" s="1"/>
  <c r="N79" i="30"/>
  <c r="L79" i="30"/>
  <c r="B79" i="30"/>
  <c r="Z78" i="30"/>
  <c r="X78" i="30"/>
  <c r="N78" i="30"/>
  <c r="L78" i="30"/>
  <c r="B78" i="30"/>
  <c r="Z77" i="30"/>
  <c r="X77" i="30"/>
  <c r="L77" i="30"/>
  <c r="N77" i="30" s="1"/>
  <c r="B77" i="30"/>
  <c r="T76" i="30"/>
  <c r="X76" i="30" s="1"/>
  <c r="P76" i="30"/>
  <c r="H76" i="30"/>
  <c r="D76" i="30"/>
  <c r="L76" i="30" s="1"/>
  <c r="N76" i="30" s="1"/>
  <c r="B76" i="30"/>
  <c r="Z75" i="30"/>
  <c r="X75" i="30"/>
  <c r="L75" i="30"/>
  <c r="N75" i="30" s="1"/>
  <c r="B75" i="30"/>
  <c r="Z74" i="30"/>
  <c r="X74" i="30"/>
  <c r="L74" i="30"/>
  <c r="N74" i="30" s="1"/>
  <c r="B74" i="30"/>
  <c r="X73" i="30"/>
  <c r="Z73" i="30" s="1"/>
  <c r="N73" i="30"/>
  <c r="L73" i="30"/>
  <c r="B73" i="30"/>
  <c r="Z72" i="30"/>
  <c r="X72" i="30"/>
  <c r="N72" i="30"/>
  <c r="L72" i="30"/>
  <c r="B72" i="30"/>
  <c r="Z71" i="30"/>
  <c r="X71" i="30"/>
  <c r="L71" i="30"/>
  <c r="N71" i="30" s="1"/>
  <c r="B71" i="30"/>
  <c r="Z70" i="30"/>
  <c r="X70" i="30"/>
  <c r="L70" i="30"/>
  <c r="N70" i="30" s="1"/>
  <c r="B70" i="30"/>
  <c r="X69" i="30"/>
  <c r="Z69" i="30" s="1"/>
  <c r="N69" i="30"/>
  <c r="L69" i="30"/>
  <c r="B69" i="30"/>
  <c r="Z68" i="30"/>
  <c r="X68" i="30"/>
  <c r="L68" i="30"/>
  <c r="N68" i="30" s="1"/>
  <c r="B68" i="30"/>
  <c r="T67" i="30"/>
  <c r="P67" i="30"/>
  <c r="X67" i="30" s="1"/>
  <c r="Z67" i="30" s="1"/>
  <c r="H67" i="30"/>
  <c r="D67" i="30"/>
  <c r="B67" i="30"/>
  <c r="X66" i="30"/>
  <c r="T66" i="30"/>
  <c r="P66" i="30"/>
  <c r="H66" i="30"/>
  <c r="N66" i="30" s="1"/>
  <c r="D66" i="30"/>
  <c r="L66" i="30" s="1"/>
  <c r="X62" i="30"/>
  <c r="Z62" i="30" s="1"/>
  <c r="N62" i="30"/>
  <c r="L62" i="30"/>
  <c r="B62" i="30"/>
  <c r="Z61" i="30"/>
  <c r="X61" i="30"/>
  <c r="N61" i="30"/>
  <c r="L61" i="30"/>
  <c r="B61" i="30"/>
  <c r="Z60" i="30"/>
  <c r="X60" i="30"/>
  <c r="N60" i="30"/>
  <c r="L60" i="30"/>
  <c r="B60" i="30"/>
  <c r="X59" i="30"/>
  <c r="Z59" i="30" s="1"/>
  <c r="L59" i="30"/>
  <c r="N59" i="30" s="1"/>
  <c r="B59" i="30"/>
  <c r="X58" i="30"/>
  <c r="Z58" i="30" s="1"/>
  <c r="N58" i="30"/>
  <c r="L58" i="30"/>
  <c r="B58" i="30"/>
  <c r="Z57" i="30"/>
  <c r="X57" i="30"/>
  <c r="N57" i="30"/>
  <c r="L57" i="30"/>
  <c r="B57" i="30"/>
  <c r="X56" i="30"/>
  <c r="Z56" i="30" s="1"/>
  <c r="L56" i="30"/>
  <c r="N56" i="30" s="1"/>
  <c r="B56" i="30"/>
  <c r="X55" i="30"/>
  <c r="Z55" i="30" s="1"/>
  <c r="L55" i="30"/>
  <c r="N55" i="30" s="1"/>
  <c r="B55" i="30"/>
  <c r="Z54" i="30"/>
  <c r="X54" i="30"/>
  <c r="N54" i="30"/>
  <c r="L54" i="30"/>
  <c r="B54" i="30"/>
  <c r="Z53" i="30"/>
  <c r="X53" i="30"/>
  <c r="N53" i="30"/>
  <c r="L53" i="30"/>
  <c r="B53" i="30"/>
  <c r="X52" i="30"/>
  <c r="Z52" i="30" s="1"/>
  <c r="L52" i="30"/>
  <c r="N52" i="30" s="1"/>
  <c r="B52" i="30"/>
  <c r="X51" i="30"/>
  <c r="Z51" i="30" s="1"/>
  <c r="L51" i="30"/>
  <c r="N51" i="30" s="1"/>
  <c r="B51" i="30"/>
  <c r="X50" i="30"/>
  <c r="Z50" i="30" s="1"/>
  <c r="N50" i="30"/>
  <c r="L50" i="30"/>
  <c r="B50" i="30"/>
  <c r="Z49" i="30"/>
  <c r="X49" i="30"/>
  <c r="N49" i="30"/>
  <c r="L49" i="30"/>
  <c r="B49" i="30"/>
  <c r="X48" i="30"/>
  <c r="Z48" i="30" s="1"/>
  <c r="L48" i="30"/>
  <c r="N48" i="30" s="1"/>
  <c r="B48" i="30"/>
  <c r="X47" i="30"/>
  <c r="Z47" i="30" s="1"/>
  <c r="L47" i="30"/>
  <c r="N47" i="30" s="1"/>
  <c r="B47" i="30"/>
  <c r="Z46" i="30"/>
  <c r="X46" i="30"/>
  <c r="N46" i="30"/>
  <c r="L46" i="30"/>
  <c r="B46" i="30"/>
  <c r="Z45" i="30"/>
  <c r="X45" i="30"/>
  <c r="N45" i="30"/>
  <c r="L45" i="30"/>
  <c r="B45" i="30"/>
  <c r="X44" i="30"/>
  <c r="Z44" i="30" s="1"/>
  <c r="L44" i="30"/>
  <c r="N44" i="30" s="1"/>
  <c r="B44" i="30"/>
  <c r="X43" i="30"/>
  <c r="Z43" i="30" s="1"/>
  <c r="L43" i="30"/>
  <c r="N43" i="30" s="1"/>
  <c r="B43" i="30"/>
  <c r="X42" i="30"/>
  <c r="Z42" i="30" s="1"/>
  <c r="N42" i="30"/>
  <c r="L42" i="30"/>
  <c r="B42" i="30"/>
  <c r="T41" i="30"/>
  <c r="P41" i="30"/>
  <c r="X41" i="30" s="1"/>
  <c r="Z41" i="30" s="1"/>
  <c r="H41" i="30"/>
  <c r="D41" i="30"/>
  <c r="L41" i="30" s="1"/>
  <c r="N41" i="30" s="1"/>
  <c r="T39" i="30"/>
  <c r="Z39" i="30" s="1"/>
  <c r="P39" i="30"/>
  <c r="X39" i="30" s="1"/>
  <c r="N39" i="30"/>
  <c r="H39" i="30"/>
  <c r="D39" i="30"/>
  <c r="L39" i="30" s="1"/>
  <c r="B39" i="30"/>
  <c r="T38" i="30"/>
  <c r="P38" i="30"/>
  <c r="H38" i="30"/>
  <c r="D38" i="30"/>
  <c r="L38" i="30" s="1"/>
  <c r="B38" i="30"/>
  <c r="Z37" i="30"/>
  <c r="X37" i="30"/>
  <c r="T37" i="30"/>
  <c r="P37" i="30"/>
  <c r="L37" i="30"/>
  <c r="H37" i="30"/>
  <c r="N37" i="30" s="1"/>
  <c r="D37" i="30"/>
  <c r="B37" i="30"/>
  <c r="T36" i="30"/>
  <c r="P36" i="30"/>
  <c r="N36" i="30"/>
  <c r="L36" i="30"/>
  <c r="H36" i="30"/>
  <c r="D36" i="30"/>
  <c r="B36" i="30"/>
  <c r="T35" i="30"/>
  <c r="P35" i="30"/>
  <c r="N35" i="30"/>
  <c r="H35" i="30"/>
  <c r="D35" i="30"/>
  <c r="L35" i="30" s="1"/>
  <c r="B35" i="30"/>
  <c r="T34" i="30"/>
  <c r="P34" i="30"/>
  <c r="X34" i="30" s="1"/>
  <c r="L34" i="30"/>
  <c r="N34" i="30" s="1"/>
  <c r="H34" i="30"/>
  <c r="D34" i="30"/>
  <c r="B34" i="30"/>
  <c r="X33" i="30"/>
  <c r="T33" i="30"/>
  <c r="Z33" i="30" s="1"/>
  <c r="P33" i="30"/>
  <c r="L33" i="30"/>
  <c r="H33" i="30"/>
  <c r="N33" i="30" s="1"/>
  <c r="D33" i="30"/>
  <c r="B33" i="30"/>
  <c r="T32" i="30"/>
  <c r="P32" i="30"/>
  <c r="N32" i="30"/>
  <c r="L32" i="30"/>
  <c r="H32" i="30"/>
  <c r="D32" i="30"/>
  <c r="B32" i="30"/>
  <c r="T31" i="30"/>
  <c r="P31" i="30"/>
  <c r="H31" i="30"/>
  <c r="D31" i="30"/>
  <c r="L31" i="30" s="1"/>
  <c r="N31" i="30" s="1"/>
  <c r="B31" i="30"/>
  <c r="T30" i="30"/>
  <c r="P30" i="30"/>
  <c r="X30" i="30" s="1"/>
  <c r="H30" i="30"/>
  <c r="D30" i="30"/>
  <c r="L30" i="30" s="1"/>
  <c r="N30" i="30" s="1"/>
  <c r="B30" i="30"/>
  <c r="X29" i="30"/>
  <c r="T29" i="30"/>
  <c r="P29" i="30"/>
  <c r="L29" i="30"/>
  <c r="H29" i="30"/>
  <c r="N29" i="30" s="1"/>
  <c r="D29" i="30"/>
  <c r="B29" i="30"/>
  <c r="X28" i="30"/>
  <c r="T28" i="30"/>
  <c r="P28" i="30"/>
  <c r="N28" i="30"/>
  <c r="L28" i="30"/>
  <c r="H28" i="30"/>
  <c r="D28" i="30"/>
  <c r="B28" i="30"/>
  <c r="T27" i="30"/>
  <c r="P27" i="30"/>
  <c r="H27" i="30"/>
  <c r="D27" i="30"/>
  <c r="L27" i="30" s="1"/>
  <c r="N27" i="30" s="1"/>
  <c r="B27" i="30"/>
  <c r="T26" i="30"/>
  <c r="P26" i="30"/>
  <c r="L26" i="30"/>
  <c r="N26" i="30" s="1"/>
  <c r="H26" i="30"/>
  <c r="D26" i="30"/>
  <c r="B26" i="30"/>
  <c r="X25" i="30"/>
  <c r="T25" i="30"/>
  <c r="P25" i="30"/>
  <c r="L25" i="30"/>
  <c r="H25" i="30"/>
  <c r="D25" i="30"/>
  <c r="B25" i="30"/>
  <c r="T24" i="30"/>
  <c r="P24" i="30"/>
  <c r="L24" i="30"/>
  <c r="N24" i="30" s="1"/>
  <c r="H24" i="30"/>
  <c r="D24" i="30"/>
  <c r="B24" i="30"/>
  <c r="T23" i="30"/>
  <c r="P23" i="30"/>
  <c r="N23" i="30"/>
  <c r="H23" i="30"/>
  <c r="D23" i="30"/>
  <c r="L23" i="30" s="1"/>
  <c r="B23" i="30"/>
  <c r="T22" i="30"/>
  <c r="P22" i="30"/>
  <c r="X22" i="30" s="1"/>
  <c r="L22" i="30"/>
  <c r="N22" i="30" s="1"/>
  <c r="H22" i="30"/>
  <c r="D22" i="30"/>
  <c r="B22" i="30"/>
  <c r="T21" i="30"/>
  <c r="P21" i="30"/>
  <c r="L21" i="30"/>
  <c r="H21" i="30"/>
  <c r="N21" i="30" s="1"/>
  <c r="D21" i="30"/>
  <c r="B21" i="30"/>
  <c r="T20" i="30"/>
  <c r="P20" i="30"/>
  <c r="L20" i="30"/>
  <c r="N20" i="30" s="1"/>
  <c r="H20" i="30"/>
  <c r="D20" i="30"/>
  <c r="B20" i="30"/>
  <c r="T19" i="30"/>
  <c r="P19" i="30"/>
  <c r="H19" i="30"/>
  <c r="D19" i="30"/>
  <c r="L19" i="30" s="1"/>
  <c r="N19" i="30" s="1"/>
  <c r="B19" i="30"/>
  <c r="T18" i="30"/>
  <c r="P18" i="30"/>
  <c r="X18" i="30" s="1"/>
  <c r="H18" i="30"/>
  <c r="D18" i="30"/>
  <c r="L18" i="30" s="1"/>
  <c r="N18" i="30" s="1"/>
  <c r="B18" i="30"/>
  <c r="X17" i="30"/>
  <c r="T17" i="30"/>
  <c r="P17" i="30"/>
  <c r="L17" i="30"/>
  <c r="H17" i="30"/>
  <c r="N17" i="30" s="1"/>
  <c r="D17" i="30"/>
  <c r="B17" i="30"/>
  <c r="X16" i="30"/>
  <c r="T16" i="30"/>
  <c r="P16" i="30"/>
  <c r="P12" i="30" s="1"/>
  <c r="R113" i="30" s="1"/>
  <c r="N16" i="30"/>
  <c r="L16" i="30"/>
  <c r="H16" i="30"/>
  <c r="D16" i="30"/>
  <c r="B16" i="30"/>
  <c r="T15" i="30"/>
  <c r="P15" i="30"/>
  <c r="H15" i="30"/>
  <c r="D15" i="30"/>
  <c r="L15" i="30" s="1"/>
  <c r="B15" i="30"/>
  <c r="T14" i="30"/>
  <c r="P14" i="30"/>
  <c r="L14" i="30"/>
  <c r="N14" i="30" s="1"/>
  <c r="H14" i="30"/>
  <c r="D14" i="30"/>
  <c r="B14" i="30"/>
  <c r="Z13" i="30"/>
  <c r="X13" i="30"/>
  <c r="T13" i="30"/>
  <c r="P13" i="30"/>
  <c r="L13" i="30"/>
  <c r="H13" i="30"/>
  <c r="N13" i="30" s="1"/>
  <c r="D13" i="30"/>
  <c r="B13" i="30"/>
  <c r="D4" i="30"/>
  <c r="X113" i="27"/>
  <c r="Z113" i="27" s="1"/>
  <c r="N113" i="27"/>
  <c r="L113" i="27"/>
  <c r="T109" i="27"/>
  <c r="P109" i="27"/>
  <c r="X109" i="27" s="1"/>
  <c r="H109" i="27"/>
  <c r="H107" i="27" s="1"/>
  <c r="D109" i="27"/>
  <c r="L109" i="27" s="1"/>
  <c r="N109" i="27" s="1"/>
  <c r="B109" i="27"/>
  <c r="T108" i="27"/>
  <c r="P108" i="27"/>
  <c r="L108" i="27"/>
  <c r="H108" i="27"/>
  <c r="N108" i="27" s="1"/>
  <c r="D108" i="27"/>
  <c r="D107" i="27" s="1"/>
  <c r="L107" i="27" s="1"/>
  <c r="B108" i="27"/>
  <c r="T107" i="27"/>
  <c r="X105" i="27"/>
  <c r="Z105" i="27" s="1"/>
  <c r="R105" i="27"/>
  <c r="N105" i="27"/>
  <c r="L105" i="27"/>
  <c r="B105" i="27"/>
  <c r="X104" i="27"/>
  <c r="Z104" i="27" s="1"/>
  <c r="T104" i="27"/>
  <c r="P104" i="27"/>
  <c r="H104" i="27"/>
  <c r="L104" i="27" s="1"/>
  <c r="N104" i="27" s="1"/>
  <c r="D104" i="27"/>
  <c r="B104" i="27"/>
  <c r="Z103" i="27"/>
  <c r="X103" i="27"/>
  <c r="N103" i="27"/>
  <c r="L103" i="27"/>
  <c r="B103" i="27"/>
  <c r="T102" i="27"/>
  <c r="P102" i="27"/>
  <c r="N102" i="27"/>
  <c r="H102" i="27"/>
  <c r="D102" i="27"/>
  <c r="L102" i="27" s="1"/>
  <c r="B102" i="27"/>
  <c r="X101" i="27"/>
  <c r="Z101" i="27" s="1"/>
  <c r="L101" i="27"/>
  <c r="N101" i="27" s="1"/>
  <c r="B101" i="27"/>
  <c r="X100" i="27"/>
  <c r="Z100" i="27" s="1"/>
  <c r="L100" i="27"/>
  <c r="N100" i="27" s="1"/>
  <c r="B100" i="27"/>
  <c r="X99" i="27"/>
  <c r="T99" i="27"/>
  <c r="Z99" i="27" s="1"/>
  <c r="P99" i="27"/>
  <c r="H99" i="27"/>
  <c r="D99" i="27"/>
  <c r="L99" i="27" s="1"/>
  <c r="N99" i="27" s="1"/>
  <c r="B99" i="27"/>
  <c r="Z98" i="27"/>
  <c r="X98" i="27"/>
  <c r="N98" i="27"/>
  <c r="L98" i="27"/>
  <c r="B98" i="27"/>
  <c r="X97" i="27"/>
  <c r="Z97" i="27" s="1"/>
  <c r="N97" i="27"/>
  <c r="L97" i="27"/>
  <c r="B97" i="27"/>
  <c r="X96" i="27"/>
  <c r="Z96" i="27" s="1"/>
  <c r="N96" i="27"/>
  <c r="L96" i="27"/>
  <c r="B96" i="27"/>
  <c r="Z95" i="27"/>
  <c r="X95" i="27"/>
  <c r="T95" i="27"/>
  <c r="P95" i="27"/>
  <c r="L95" i="27"/>
  <c r="H95" i="27"/>
  <c r="D95" i="27"/>
  <c r="B95" i="27"/>
  <c r="Z94" i="27"/>
  <c r="X94" i="27"/>
  <c r="N94" i="27"/>
  <c r="L94" i="27"/>
  <c r="B94" i="27"/>
  <c r="T93" i="27"/>
  <c r="P93" i="27"/>
  <c r="X93" i="27" s="1"/>
  <c r="Z93" i="27" s="1"/>
  <c r="H93" i="27"/>
  <c r="D93" i="27"/>
  <c r="B93" i="27"/>
  <c r="X92" i="27"/>
  <c r="Z92" i="27" s="1"/>
  <c r="L92" i="27"/>
  <c r="N92" i="27" s="1"/>
  <c r="B92" i="27"/>
  <c r="X91" i="27"/>
  <c r="Z91" i="27" s="1"/>
  <c r="N91" i="27"/>
  <c r="L91" i="27"/>
  <c r="B91" i="27"/>
  <c r="T90" i="27"/>
  <c r="R90" i="27"/>
  <c r="P90" i="27"/>
  <c r="X90" i="27" s="1"/>
  <c r="Z90" i="27" s="1"/>
  <c r="L90" i="27"/>
  <c r="H90" i="27"/>
  <c r="N90" i="27" s="1"/>
  <c r="D90" i="27"/>
  <c r="B90" i="27"/>
  <c r="X89" i="27"/>
  <c r="Z89" i="27" s="1"/>
  <c r="N89" i="27"/>
  <c r="L89" i="27"/>
  <c r="B89" i="27"/>
  <c r="X88" i="27"/>
  <c r="Z88" i="27" s="1"/>
  <c r="T88" i="27"/>
  <c r="P88" i="27"/>
  <c r="N88" i="27"/>
  <c r="H88" i="27"/>
  <c r="L88" i="27" s="1"/>
  <c r="D88" i="27"/>
  <c r="B88" i="27"/>
  <c r="Z87" i="27"/>
  <c r="X87" i="27"/>
  <c r="L87" i="27"/>
  <c r="N87" i="27" s="1"/>
  <c r="B87" i="27"/>
  <c r="T86" i="27"/>
  <c r="P86" i="27"/>
  <c r="H86" i="27"/>
  <c r="D86" i="27"/>
  <c r="L86" i="27" s="1"/>
  <c r="N86" i="27" s="1"/>
  <c r="B86" i="27"/>
  <c r="Z85" i="27"/>
  <c r="X85" i="27"/>
  <c r="L85" i="27"/>
  <c r="N85" i="27" s="1"/>
  <c r="B85" i="27"/>
  <c r="X84" i="27"/>
  <c r="Z84" i="27" s="1"/>
  <c r="L84" i="27"/>
  <c r="N84" i="27" s="1"/>
  <c r="B84" i="27"/>
  <c r="X83" i="27"/>
  <c r="T83" i="27"/>
  <c r="P83" i="27"/>
  <c r="H83" i="27"/>
  <c r="D83" i="27"/>
  <c r="L83" i="27" s="1"/>
  <c r="N83" i="27" s="1"/>
  <c r="B83" i="27"/>
  <c r="Z82" i="27"/>
  <c r="X82" i="27"/>
  <c r="N82" i="27"/>
  <c r="L82" i="27"/>
  <c r="B82" i="27"/>
  <c r="T81" i="27"/>
  <c r="P81" i="27"/>
  <c r="N81" i="27"/>
  <c r="L81" i="27"/>
  <c r="H81" i="27"/>
  <c r="D81" i="27"/>
  <c r="B81" i="27"/>
  <c r="Z80" i="27"/>
  <c r="X80" i="27"/>
  <c r="L80" i="27"/>
  <c r="N80" i="27" s="1"/>
  <c r="B80" i="27"/>
  <c r="T79" i="27"/>
  <c r="P79" i="27"/>
  <c r="H79" i="27"/>
  <c r="D79" i="27"/>
  <c r="L79" i="27" s="1"/>
  <c r="N79" i="27" s="1"/>
  <c r="B79" i="27"/>
  <c r="Z78" i="27"/>
  <c r="X78" i="27"/>
  <c r="N78" i="27"/>
  <c r="L78" i="27"/>
  <c r="B78" i="27"/>
  <c r="X77" i="27"/>
  <c r="Z77" i="27" s="1"/>
  <c r="L77" i="27"/>
  <c r="N77" i="27" s="1"/>
  <c r="B77" i="27"/>
  <c r="X76" i="27"/>
  <c r="T76" i="27"/>
  <c r="Z76" i="27" s="1"/>
  <c r="P76" i="27"/>
  <c r="H76" i="27"/>
  <c r="D76" i="27"/>
  <c r="L76" i="27" s="1"/>
  <c r="N76" i="27" s="1"/>
  <c r="B76" i="27"/>
  <c r="Z75" i="27"/>
  <c r="X75" i="27"/>
  <c r="N75" i="27"/>
  <c r="L75" i="27"/>
  <c r="B75" i="27"/>
  <c r="T74" i="27"/>
  <c r="X74" i="27" s="1"/>
  <c r="Z74" i="27" s="1"/>
  <c r="P74" i="27"/>
  <c r="L74" i="27"/>
  <c r="N74" i="27" s="1"/>
  <c r="H74" i="27"/>
  <c r="D74" i="27"/>
  <c r="B74" i="27"/>
  <c r="Z73" i="27"/>
  <c r="X73" i="27"/>
  <c r="N73" i="27"/>
  <c r="L73" i="27"/>
  <c r="B73" i="27"/>
  <c r="Z72" i="27"/>
  <c r="X72" i="27"/>
  <c r="L72" i="27"/>
  <c r="N72" i="27" s="1"/>
  <c r="B72" i="27"/>
  <c r="Z71" i="27"/>
  <c r="X71" i="27"/>
  <c r="L71" i="27"/>
  <c r="N71" i="27" s="1"/>
  <c r="B71" i="27"/>
  <c r="Z70" i="27"/>
  <c r="X70" i="27"/>
  <c r="N70" i="27"/>
  <c r="L70" i="27"/>
  <c r="B70" i="27"/>
  <c r="Z69" i="27"/>
  <c r="X69" i="27"/>
  <c r="L69" i="27"/>
  <c r="N69" i="27" s="1"/>
  <c r="B69" i="27"/>
  <c r="Z68" i="27"/>
  <c r="T68" i="27"/>
  <c r="P68" i="27"/>
  <c r="X68" i="27" s="1"/>
  <c r="H68" i="27"/>
  <c r="D68" i="27"/>
  <c r="B68" i="27"/>
  <c r="X67" i="27"/>
  <c r="Z67" i="27" s="1"/>
  <c r="N67" i="27"/>
  <c r="L67" i="27"/>
  <c r="B67" i="27"/>
  <c r="Z66" i="27"/>
  <c r="X66" i="27"/>
  <c r="N66" i="27"/>
  <c r="L66" i="27"/>
  <c r="B66" i="27"/>
  <c r="X65" i="27"/>
  <c r="Z65" i="27" s="1"/>
  <c r="L65" i="27"/>
  <c r="N65" i="27" s="1"/>
  <c r="B65" i="27"/>
  <c r="X64" i="27"/>
  <c r="Z64" i="27" s="1"/>
  <c r="L64" i="27"/>
  <c r="N64" i="27" s="1"/>
  <c r="B64" i="27"/>
  <c r="X63" i="27"/>
  <c r="Z63" i="27" s="1"/>
  <c r="N63" i="27"/>
  <c r="L63" i="27"/>
  <c r="B63" i="27"/>
  <c r="Z62" i="27"/>
  <c r="X62" i="27"/>
  <c r="N62" i="27"/>
  <c r="L62" i="27"/>
  <c r="B62" i="27"/>
  <c r="X61" i="27"/>
  <c r="Z61" i="27" s="1"/>
  <c r="L61" i="27"/>
  <c r="N61" i="27" s="1"/>
  <c r="B61" i="27"/>
  <c r="X60" i="27"/>
  <c r="Z60" i="27" s="1"/>
  <c r="L60" i="27"/>
  <c r="N60" i="27" s="1"/>
  <c r="B60" i="27"/>
  <c r="X59" i="27"/>
  <c r="Z59" i="27" s="1"/>
  <c r="N59" i="27"/>
  <c r="L59" i="27"/>
  <c r="B59" i="27"/>
  <c r="T58" i="27"/>
  <c r="P58" i="27"/>
  <c r="X58" i="27" s="1"/>
  <c r="Z58" i="27" s="1"/>
  <c r="L58" i="27"/>
  <c r="H58" i="27"/>
  <c r="N58" i="27" s="1"/>
  <c r="D58" i="27"/>
  <c r="B58" i="27"/>
  <c r="T57" i="27"/>
  <c r="P57" i="27"/>
  <c r="H57" i="27"/>
  <c r="D57" i="27"/>
  <c r="L57" i="27" s="1"/>
  <c r="N57" i="27" s="1"/>
  <c r="X53" i="27"/>
  <c r="Z53" i="27" s="1"/>
  <c r="N53" i="27"/>
  <c r="L53" i="27"/>
  <c r="B53" i="27"/>
  <c r="X52" i="27"/>
  <c r="Z52" i="27" s="1"/>
  <c r="N52" i="27"/>
  <c r="L52" i="27"/>
  <c r="B52" i="27"/>
  <c r="Z51" i="27"/>
  <c r="X51" i="27"/>
  <c r="N51" i="27"/>
  <c r="L51" i="27"/>
  <c r="B51" i="27"/>
  <c r="Z50" i="27"/>
  <c r="X50" i="27"/>
  <c r="N50" i="27"/>
  <c r="L50" i="27"/>
  <c r="B50" i="27"/>
  <c r="X49" i="27"/>
  <c r="Z49" i="27" s="1"/>
  <c r="R49" i="27"/>
  <c r="L49" i="27"/>
  <c r="N49" i="27" s="1"/>
  <c r="B49" i="27"/>
  <c r="X48" i="27"/>
  <c r="Z48" i="27" s="1"/>
  <c r="N48" i="27"/>
  <c r="L48" i="27"/>
  <c r="B48" i="27"/>
  <c r="Z47" i="27"/>
  <c r="X47" i="27"/>
  <c r="N47" i="27"/>
  <c r="L47" i="27"/>
  <c r="B47" i="27"/>
  <c r="Z46" i="27"/>
  <c r="X46" i="27"/>
  <c r="L46" i="27"/>
  <c r="N46" i="27" s="1"/>
  <c r="B46" i="27"/>
  <c r="X45" i="27"/>
  <c r="Z45" i="27" s="1"/>
  <c r="L45" i="27"/>
  <c r="N45" i="27" s="1"/>
  <c r="B45" i="27"/>
  <c r="X44" i="27"/>
  <c r="Z44" i="27" s="1"/>
  <c r="N44" i="27"/>
  <c r="L44" i="27"/>
  <c r="B44" i="27"/>
  <c r="Z43" i="27"/>
  <c r="X43" i="27"/>
  <c r="N43" i="27"/>
  <c r="L43" i="27"/>
  <c r="B43" i="27"/>
  <c r="Z42" i="27"/>
  <c r="X42" i="27"/>
  <c r="L42" i="27"/>
  <c r="N42" i="27" s="1"/>
  <c r="B42" i="27"/>
  <c r="X41" i="27"/>
  <c r="Z41" i="27" s="1"/>
  <c r="L41" i="27"/>
  <c r="N41" i="27" s="1"/>
  <c r="B41" i="27"/>
  <c r="X40" i="27"/>
  <c r="Z40" i="27" s="1"/>
  <c r="N40" i="27"/>
  <c r="L40" i="27"/>
  <c r="B40" i="27"/>
  <c r="Z39" i="27"/>
  <c r="X39" i="27"/>
  <c r="N39" i="27"/>
  <c r="L39" i="27"/>
  <c r="B39" i="27"/>
  <c r="T38" i="27"/>
  <c r="P38" i="27"/>
  <c r="X38" i="27" s="1"/>
  <c r="Z38" i="27" s="1"/>
  <c r="L38" i="27"/>
  <c r="N38" i="27" s="1"/>
  <c r="H38" i="27"/>
  <c r="D38" i="27"/>
  <c r="Z36" i="27"/>
  <c r="T36" i="27"/>
  <c r="P36" i="27"/>
  <c r="X36" i="27" s="1"/>
  <c r="H36" i="27"/>
  <c r="N36" i="27" s="1"/>
  <c r="D36" i="27"/>
  <c r="L36" i="27" s="1"/>
  <c r="B36" i="27"/>
  <c r="T35" i="27"/>
  <c r="P35" i="27"/>
  <c r="X35" i="27" s="1"/>
  <c r="H35" i="27"/>
  <c r="L35" i="27" s="1"/>
  <c r="D35" i="27"/>
  <c r="B35" i="27"/>
  <c r="X34" i="27"/>
  <c r="T34" i="27"/>
  <c r="Z34" i="27" s="1"/>
  <c r="P34" i="27"/>
  <c r="H34" i="27"/>
  <c r="D34" i="27"/>
  <c r="B34" i="27"/>
  <c r="T33" i="27"/>
  <c r="P33" i="27"/>
  <c r="X33" i="27" s="1"/>
  <c r="Z33" i="27" s="1"/>
  <c r="H33" i="27"/>
  <c r="D33" i="27"/>
  <c r="L33" i="27" s="1"/>
  <c r="N33" i="27" s="1"/>
  <c r="B33" i="27"/>
  <c r="Z32" i="27"/>
  <c r="T32" i="27"/>
  <c r="P32" i="27"/>
  <c r="X32" i="27" s="1"/>
  <c r="H32" i="27"/>
  <c r="N32" i="27" s="1"/>
  <c r="D32" i="27"/>
  <c r="L32" i="27" s="1"/>
  <c r="B32" i="27"/>
  <c r="T31" i="27"/>
  <c r="P31" i="27"/>
  <c r="X31" i="27" s="1"/>
  <c r="H31" i="27"/>
  <c r="L31" i="27" s="1"/>
  <c r="D31" i="27"/>
  <c r="B31" i="27"/>
  <c r="X30" i="27"/>
  <c r="T30" i="27"/>
  <c r="Z30" i="27" s="1"/>
  <c r="P30" i="27"/>
  <c r="H30" i="27"/>
  <c r="D30" i="27"/>
  <c r="B30" i="27"/>
  <c r="T29" i="27"/>
  <c r="P29" i="27"/>
  <c r="X29" i="27" s="1"/>
  <c r="Z29" i="27" s="1"/>
  <c r="H29" i="27"/>
  <c r="D29" i="27"/>
  <c r="L29" i="27" s="1"/>
  <c r="N29" i="27" s="1"/>
  <c r="B29" i="27"/>
  <c r="Z28" i="27"/>
  <c r="T28" i="27"/>
  <c r="P28" i="27"/>
  <c r="X28" i="27" s="1"/>
  <c r="H28" i="27"/>
  <c r="N28" i="27" s="1"/>
  <c r="D28" i="27"/>
  <c r="L28" i="27" s="1"/>
  <c r="B28" i="27"/>
  <c r="T27" i="27"/>
  <c r="P27" i="27"/>
  <c r="X27" i="27" s="1"/>
  <c r="H27" i="27"/>
  <c r="L27" i="27" s="1"/>
  <c r="D27" i="27"/>
  <c r="B27" i="27"/>
  <c r="X26" i="27"/>
  <c r="T26" i="27"/>
  <c r="Z26" i="27" s="1"/>
  <c r="P26" i="27"/>
  <c r="H26" i="27"/>
  <c r="D26" i="27"/>
  <c r="B26" i="27"/>
  <c r="T25" i="27"/>
  <c r="P25" i="27"/>
  <c r="X25" i="27" s="1"/>
  <c r="Z25" i="27" s="1"/>
  <c r="H25" i="27"/>
  <c r="D25" i="27"/>
  <c r="L25" i="27" s="1"/>
  <c r="N25" i="27" s="1"/>
  <c r="B25" i="27"/>
  <c r="Z24" i="27"/>
  <c r="T24" i="27"/>
  <c r="P24" i="27"/>
  <c r="X24" i="27" s="1"/>
  <c r="H24" i="27"/>
  <c r="N24" i="27" s="1"/>
  <c r="D24" i="27"/>
  <c r="L24" i="27" s="1"/>
  <c r="B24" i="27"/>
  <c r="T23" i="27"/>
  <c r="P23" i="27"/>
  <c r="X23" i="27" s="1"/>
  <c r="H23" i="27"/>
  <c r="L23" i="27" s="1"/>
  <c r="D23" i="27"/>
  <c r="B23" i="27"/>
  <c r="X22" i="27"/>
  <c r="T22" i="27"/>
  <c r="Z22" i="27" s="1"/>
  <c r="P22" i="27"/>
  <c r="N22" i="27"/>
  <c r="H22" i="27"/>
  <c r="L22" i="27" s="1"/>
  <c r="D22" i="27"/>
  <c r="B22" i="27"/>
  <c r="T21" i="27"/>
  <c r="P21" i="27"/>
  <c r="X21" i="27" s="1"/>
  <c r="Z21" i="27" s="1"/>
  <c r="H21" i="27"/>
  <c r="D21" i="27"/>
  <c r="L21" i="27" s="1"/>
  <c r="N21" i="27" s="1"/>
  <c r="B21" i="27"/>
  <c r="Z20" i="27"/>
  <c r="T20" i="27"/>
  <c r="P20" i="27"/>
  <c r="X20" i="27" s="1"/>
  <c r="H20" i="27"/>
  <c r="N20" i="27" s="1"/>
  <c r="D20" i="27"/>
  <c r="L20" i="27" s="1"/>
  <c r="B20" i="27"/>
  <c r="T19" i="27"/>
  <c r="P19" i="27"/>
  <c r="X19" i="27" s="1"/>
  <c r="H19" i="27"/>
  <c r="L19" i="27" s="1"/>
  <c r="D19" i="27"/>
  <c r="B19" i="27"/>
  <c r="X18" i="27"/>
  <c r="T18" i="27"/>
  <c r="Z18" i="27" s="1"/>
  <c r="P18" i="27"/>
  <c r="N18" i="27"/>
  <c r="H18" i="27"/>
  <c r="L18" i="27" s="1"/>
  <c r="D18" i="27"/>
  <c r="B18" i="27"/>
  <c r="T17" i="27"/>
  <c r="P17" i="27"/>
  <c r="X17" i="27" s="1"/>
  <c r="Z17" i="27" s="1"/>
  <c r="H17" i="27"/>
  <c r="D17" i="27"/>
  <c r="L17" i="27" s="1"/>
  <c r="N17" i="27" s="1"/>
  <c r="B17" i="27"/>
  <c r="Z16" i="27"/>
  <c r="T16" i="27"/>
  <c r="P16" i="27"/>
  <c r="X16" i="27" s="1"/>
  <c r="H16" i="27"/>
  <c r="N16" i="27" s="1"/>
  <c r="D16" i="27"/>
  <c r="L16" i="27" s="1"/>
  <c r="B16" i="27"/>
  <c r="T15" i="27"/>
  <c r="P15" i="27"/>
  <c r="P12" i="27" s="1"/>
  <c r="R97" i="27" s="1"/>
  <c r="H15" i="27"/>
  <c r="L15" i="27" s="1"/>
  <c r="D15" i="27"/>
  <c r="B15" i="27"/>
  <c r="X14" i="27"/>
  <c r="T14" i="27"/>
  <c r="T12" i="27" s="1"/>
  <c r="P14" i="27"/>
  <c r="H14" i="27"/>
  <c r="D14" i="27"/>
  <c r="B14" i="27"/>
  <c r="T13" i="27"/>
  <c r="P13" i="27"/>
  <c r="X13" i="27" s="1"/>
  <c r="Z13" i="27" s="1"/>
  <c r="H13" i="27"/>
  <c r="D13" i="27"/>
  <c r="B13" i="27"/>
  <c r="D4" i="27"/>
  <c r="X116" i="24"/>
  <c r="Z116" i="24" s="1"/>
  <c r="N116" i="24"/>
  <c r="L116" i="24"/>
  <c r="T112" i="24"/>
  <c r="Z112" i="24" s="1"/>
  <c r="P112" i="24"/>
  <c r="N112" i="24"/>
  <c r="L112" i="24"/>
  <c r="H112" i="24"/>
  <c r="D112" i="24"/>
  <c r="Z110" i="24"/>
  <c r="X110" i="24"/>
  <c r="L110" i="24"/>
  <c r="N110" i="24" s="1"/>
  <c r="B110" i="24"/>
  <c r="T109" i="24"/>
  <c r="P109" i="24"/>
  <c r="H109" i="24"/>
  <c r="D109" i="24"/>
  <c r="L109" i="24" s="1"/>
  <c r="N109" i="24" s="1"/>
  <c r="B109" i="24"/>
  <c r="Z108" i="24"/>
  <c r="X108" i="24"/>
  <c r="L108" i="24"/>
  <c r="N108" i="24" s="1"/>
  <c r="F108" i="24"/>
  <c r="B108" i="24"/>
  <c r="X107" i="24"/>
  <c r="Z107" i="24" s="1"/>
  <c r="L107" i="24"/>
  <c r="N107" i="24" s="1"/>
  <c r="B107" i="24"/>
  <c r="X106" i="24"/>
  <c r="T106" i="24"/>
  <c r="Z106" i="24" s="1"/>
  <c r="P106" i="24"/>
  <c r="H106" i="24"/>
  <c r="D106" i="24"/>
  <c r="L106" i="24" s="1"/>
  <c r="B106" i="24"/>
  <c r="Z105" i="24"/>
  <c r="X105" i="24"/>
  <c r="N105" i="24"/>
  <c r="L105" i="24"/>
  <c r="B105" i="24"/>
  <c r="X104" i="24"/>
  <c r="T104" i="24"/>
  <c r="Z104" i="24" s="1"/>
  <c r="P104" i="24"/>
  <c r="N104" i="24"/>
  <c r="H104" i="24"/>
  <c r="D104" i="24"/>
  <c r="L104" i="24" s="1"/>
  <c r="B104" i="24"/>
  <c r="Z103" i="24"/>
  <c r="X103" i="24"/>
  <c r="L103" i="24"/>
  <c r="N103" i="24" s="1"/>
  <c r="B103" i="24"/>
  <c r="Z102" i="24"/>
  <c r="X102" i="24"/>
  <c r="N102" i="24"/>
  <c r="L102" i="24"/>
  <c r="B102" i="24"/>
  <c r="T101" i="24"/>
  <c r="P101" i="24"/>
  <c r="N101" i="24"/>
  <c r="H101" i="24"/>
  <c r="D101" i="24"/>
  <c r="L101" i="24" s="1"/>
  <c r="B101" i="24"/>
  <c r="Z100" i="24"/>
  <c r="X100" i="24"/>
  <c r="N100" i="24"/>
  <c r="L100" i="24"/>
  <c r="F100" i="24"/>
  <c r="B100" i="24"/>
  <c r="X99" i="24"/>
  <c r="T99" i="24"/>
  <c r="Z99" i="24" s="1"/>
  <c r="P99" i="24"/>
  <c r="N99" i="24"/>
  <c r="H99" i="24"/>
  <c r="D99" i="24"/>
  <c r="L99" i="24" s="1"/>
  <c r="B99" i="24"/>
  <c r="Z98" i="24"/>
  <c r="X98" i="24"/>
  <c r="N98" i="24"/>
  <c r="L98" i="24"/>
  <c r="F98" i="24"/>
  <c r="B98" i="24"/>
  <c r="Z97" i="24"/>
  <c r="T97" i="24"/>
  <c r="P97" i="24"/>
  <c r="X97" i="24" s="1"/>
  <c r="L97" i="24"/>
  <c r="N97" i="24" s="1"/>
  <c r="H97" i="24"/>
  <c r="D97" i="24"/>
  <c r="B97" i="24"/>
  <c r="X96" i="24"/>
  <c r="Z96" i="24" s="1"/>
  <c r="N96" i="24"/>
  <c r="L96" i="24"/>
  <c r="B96" i="24"/>
  <c r="Z95" i="24"/>
  <c r="T95" i="24"/>
  <c r="P95" i="24"/>
  <c r="X95" i="24" s="1"/>
  <c r="H95" i="24"/>
  <c r="N95" i="24" s="1"/>
  <c r="D95" i="24"/>
  <c r="B95" i="24"/>
  <c r="Z94" i="24"/>
  <c r="X94" i="24"/>
  <c r="N94" i="24"/>
  <c r="L94" i="24"/>
  <c r="B94" i="24"/>
  <c r="Z93" i="24"/>
  <c r="X93" i="24"/>
  <c r="N93" i="24"/>
  <c r="L93" i="24"/>
  <c r="B93" i="24"/>
  <c r="T92" i="24"/>
  <c r="P92" i="24"/>
  <c r="X92" i="24" s="1"/>
  <c r="L92" i="24"/>
  <c r="H92" i="24"/>
  <c r="N92" i="24" s="1"/>
  <c r="D92" i="24"/>
  <c r="B92" i="24"/>
  <c r="X91" i="24"/>
  <c r="Z91" i="24" s="1"/>
  <c r="N91" i="24"/>
  <c r="L91" i="24"/>
  <c r="B91" i="24"/>
  <c r="T90" i="24"/>
  <c r="P90" i="24"/>
  <c r="X90" i="24" s="1"/>
  <c r="Z90" i="24" s="1"/>
  <c r="L90" i="24"/>
  <c r="H90" i="24"/>
  <c r="D90" i="24"/>
  <c r="B90" i="24"/>
  <c r="X89" i="24"/>
  <c r="Z89" i="24" s="1"/>
  <c r="N89" i="24"/>
  <c r="L89" i="24"/>
  <c r="B89" i="24"/>
  <c r="X88" i="24"/>
  <c r="T88" i="24"/>
  <c r="Z88" i="24" s="1"/>
  <c r="P88" i="24"/>
  <c r="H88" i="24"/>
  <c r="D88" i="24"/>
  <c r="B88" i="24"/>
  <c r="X87" i="24"/>
  <c r="Z87" i="24" s="1"/>
  <c r="L87" i="24"/>
  <c r="N87" i="24" s="1"/>
  <c r="B87" i="24"/>
  <c r="X86" i="24"/>
  <c r="Z86" i="24" s="1"/>
  <c r="N86" i="24"/>
  <c r="L86" i="24"/>
  <c r="B86" i="24"/>
  <c r="Z85" i="24"/>
  <c r="X85" i="24"/>
  <c r="N85" i="24"/>
  <c r="L85" i="24"/>
  <c r="B85" i="24"/>
  <c r="T84" i="24"/>
  <c r="P84" i="24"/>
  <c r="X84" i="24" s="1"/>
  <c r="L84" i="24"/>
  <c r="H84" i="24"/>
  <c r="D84" i="24"/>
  <c r="B84" i="24"/>
  <c r="X83" i="24"/>
  <c r="Z83" i="24" s="1"/>
  <c r="N83" i="24"/>
  <c r="L83" i="24"/>
  <c r="B83" i="24"/>
  <c r="Z82" i="24"/>
  <c r="X82" i="24"/>
  <c r="N82" i="24"/>
  <c r="L82" i="24"/>
  <c r="B82" i="24"/>
  <c r="Z81" i="24"/>
  <c r="X81" i="24"/>
  <c r="L81" i="24"/>
  <c r="N81" i="24" s="1"/>
  <c r="B81" i="24"/>
  <c r="X80" i="24"/>
  <c r="Z80" i="24" s="1"/>
  <c r="L80" i="24"/>
  <c r="N80" i="24" s="1"/>
  <c r="B80" i="24"/>
  <c r="X79" i="24"/>
  <c r="Z79" i="24" s="1"/>
  <c r="N79" i="24"/>
  <c r="L79" i="24"/>
  <c r="B79" i="24"/>
  <c r="Z78" i="24"/>
  <c r="X78" i="24"/>
  <c r="N78" i="24"/>
  <c r="L78" i="24"/>
  <c r="B78" i="24"/>
  <c r="Z77" i="24"/>
  <c r="X77" i="24"/>
  <c r="L77" i="24"/>
  <c r="N77" i="24" s="1"/>
  <c r="B77" i="24"/>
  <c r="X76" i="24"/>
  <c r="Z76" i="24" s="1"/>
  <c r="L76" i="24"/>
  <c r="N76" i="24" s="1"/>
  <c r="B76" i="24"/>
  <c r="X75" i="24"/>
  <c r="T75" i="24"/>
  <c r="Z75" i="24" s="1"/>
  <c r="P75" i="24"/>
  <c r="H75" i="24"/>
  <c r="D75" i="24"/>
  <c r="L75" i="24" s="1"/>
  <c r="N75" i="24" s="1"/>
  <c r="B75" i="24"/>
  <c r="T74" i="24"/>
  <c r="P74" i="24"/>
  <c r="X74" i="24" s="1"/>
  <c r="H74" i="24"/>
  <c r="L74" i="24" s="1"/>
  <c r="D74" i="24"/>
  <c r="Z70" i="24"/>
  <c r="X70" i="24"/>
  <c r="L70" i="24"/>
  <c r="N70" i="24" s="1"/>
  <c r="B70" i="24"/>
  <c r="Z69" i="24"/>
  <c r="X69" i="24"/>
  <c r="N69" i="24"/>
  <c r="L69" i="24"/>
  <c r="B69" i="24"/>
  <c r="X68" i="24"/>
  <c r="Z68" i="24" s="1"/>
  <c r="N68" i="24"/>
  <c r="L68" i="24"/>
  <c r="B68" i="24"/>
  <c r="Z67" i="24"/>
  <c r="X67" i="24"/>
  <c r="N67" i="24"/>
  <c r="L67" i="24"/>
  <c r="B67" i="24"/>
  <c r="Z66" i="24"/>
  <c r="X66" i="24"/>
  <c r="L66" i="24"/>
  <c r="N66" i="24" s="1"/>
  <c r="B66" i="24"/>
  <c r="Z65" i="24"/>
  <c r="X65" i="24"/>
  <c r="N65" i="24"/>
  <c r="L65" i="24"/>
  <c r="B65" i="24"/>
  <c r="X64" i="24"/>
  <c r="Z64" i="24" s="1"/>
  <c r="N64" i="24"/>
  <c r="L64" i="24"/>
  <c r="B64" i="24"/>
  <c r="Z63" i="24"/>
  <c r="X63" i="24"/>
  <c r="L63" i="24"/>
  <c r="N63" i="24" s="1"/>
  <c r="B63" i="24"/>
  <c r="Z62" i="24"/>
  <c r="X62" i="24"/>
  <c r="L62" i="24"/>
  <c r="N62" i="24" s="1"/>
  <c r="B62" i="24"/>
  <c r="Z61" i="24"/>
  <c r="X61" i="24"/>
  <c r="N61" i="24"/>
  <c r="L61" i="24"/>
  <c r="B61" i="24"/>
  <c r="X60" i="24"/>
  <c r="Z60" i="24" s="1"/>
  <c r="L60" i="24"/>
  <c r="N60" i="24" s="1"/>
  <c r="B60" i="24"/>
  <c r="Z59" i="24"/>
  <c r="X59" i="24"/>
  <c r="L59" i="24"/>
  <c r="N59" i="24" s="1"/>
  <c r="B59" i="24"/>
  <c r="Z58" i="24"/>
  <c r="X58" i="24"/>
  <c r="L58" i="24"/>
  <c r="N58" i="24" s="1"/>
  <c r="B58" i="24"/>
  <c r="Z57" i="24"/>
  <c r="X57" i="24"/>
  <c r="N57" i="24"/>
  <c r="L57" i="24"/>
  <c r="B57" i="24"/>
  <c r="X56" i="24"/>
  <c r="Z56" i="24" s="1"/>
  <c r="L56" i="24"/>
  <c r="N56" i="24" s="1"/>
  <c r="B56" i="24"/>
  <c r="Z55" i="24"/>
  <c r="X55" i="24"/>
  <c r="L55" i="24"/>
  <c r="N55" i="24" s="1"/>
  <c r="B55" i="24"/>
  <c r="Z54" i="24"/>
  <c r="X54" i="24"/>
  <c r="L54" i="24"/>
  <c r="N54" i="24" s="1"/>
  <c r="B54" i="24"/>
  <c r="Z53" i="24"/>
  <c r="X53" i="24"/>
  <c r="N53" i="24"/>
  <c r="L53" i="24"/>
  <c r="B53" i="24"/>
  <c r="X52" i="24"/>
  <c r="Z52" i="24" s="1"/>
  <c r="L52" i="24"/>
  <c r="N52" i="24" s="1"/>
  <c r="B52" i="24"/>
  <c r="Z51" i="24"/>
  <c r="X51" i="24"/>
  <c r="N51" i="24"/>
  <c r="L51" i="24"/>
  <c r="B51" i="24"/>
  <c r="Z50" i="24"/>
  <c r="X50" i="24"/>
  <c r="L50" i="24"/>
  <c r="N50" i="24" s="1"/>
  <c r="B50" i="24"/>
  <c r="T49" i="24"/>
  <c r="P49" i="24"/>
  <c r="H49" i="24"/>
  <c r="D49" i="24"/>
  <c r="L49" i="24" s="1"/>
  <c r="N49" i="24" s="1"/>
  <c r="T47" i="24"/>
  <c r="Z47" i="24" s="1"/>
  <c r="P47" i="24"/>
  <c r="X47" i="24" s="1"/>
  <c r="H47" i="24"/>
  <c r="D47" i="24"/>
  <c r="B47" i="24"/>
  <c r="T46" i="24"/>
  <c r="P46" i="24"/>
  <c r="H46" i="24"/>
  <c r="D46" i="24"/>
  <c r="B46" i="24"/>
  <c r="T45" i="24"/>
  <c r="X45" i="24" s="1"/>
  <c r="P45" i="24"/>
  <c r="L45" i="24"/>
  <c r="H45" i="24"/>
  <c r="N45" i="24" s="1"/>
  <c r="D45" i="24"/>
  <c r="B45" i="24"/>
  <c r="T44" i="24"/>
  <c r="P44" i="24"/>
  <c r="X44" i="24" s="1"/>
  <c r="Z44" i="24" s="1"/>
  <c r="L44" i="24"/>
  <c r="N44" i="24" s="1"/>
  <c r="H44" i="24"/>
  <c r="D44" i="24"/>
  <c r="B44" i="24"/>
  <c r="T43" i="24"/>
  <c r="Z43" i="24" s="1"/>
  <c r="P43" i="24"/>
  <c r="X43" i="24" s="1"/>
  <c r="H43" i="24"/>
  <c r="D43" i="24"/>
  <c r="B43" i="24"/>
  <c r="T42" i="24"/>
  <c r="P42" i="24"/>
  <c r="X42" i="24" s="1"/>
  <c r="H42" i="24"/>
  <c r="D42" i="24"/>
  <c r="B42" i="24"/>
  <c r="T41" i="24"/>
  <c r="X41" i="24" s="1"/>
  <c r="P41" i="24"/>
  <c r="L41" i="24"/>
  <c r="H41" i="24"/>
  <c r="N41" i="24" s="1"/>
  <c r="D41" i="24"/>
  <c r="B41" i="24"/>
  <c r="T40" i="24"/>
  <c r="P40" i="24"/>
  <c r="X40" i="24" s="1"/>
  <c r="Z40" i="24" s="1"/>
  <c r="N40" i="24"/>
  <c r="L40" i="24"/>
  <c r="H40" i="24"/>
  <c r="D40" i="24"/>
  <c r="B40" i="24"/>
  <c r="T39" i="24"/>
  <c r="Z39" i="24" s="1"/>
  <c r="P39" i="24"/>
  <c r="X39" i="24" s="1"/>
  <c r="H39" i="24"/>
  <c r="D39" i="24"/>
  <c r="B39" i="24"/>
  <c r="T38" i="24"/>
  <c r="P38" i="24"/>
  <c r="X38" i="24" s="1"/>
  <c r="H38" i="24"/>
  <c r="D38" i="24"/>
  <c r="B38" i="24"/>
  <c r="T37" i="24"/>
  <c r="X37" i="24" s="1"/>
  <c r="P37" i="24"/>
  <c r="L37" i="24"/>
  <c r="H37" i="24"/>
  <c r="N37" i="24" s="1"/>
  <c r="D37" i="24"/>
  <c r="B37" i="24"/>
  <c r="T36" i="24"/>
  <c r="P36" i="24"/>
  <c r="X36" i="24" s="1"/>
  <c r="Z36" i="24" s="1"/>
  <c r="L36" i="24"/>
  <c r="N36" i="24" s="1"/>
  <c r="H36" i="24"/>
  <c r="D36" i="24"/>
  <c r="B36" i="24"/>
  <c r="T35" i="24"/>
  <c r="P35" i="24"/>
  <c r="X35" i="24" s="1"/>
  <c r="H35" i="24"/>
  <c r="D35" i="24"/>
  <c r="B35" i="24"/>
  <c r="T34" i="24"/>
  <c r="P34" i="24"/>
  <c r="X34" i="24" s="1"/>
  <c r="H34" i="24"/>
  <c r="D34" i="24"/>
  <c r="B34" i="24"/>
  <c r="Z33" i="24"/>
  <c r="T33" i="24"/>
  <c r="X33" i="24" s="1"/>
  <c r="P33" i="24"/>
  <c r="L33" i="24"/>
  <c r="H33" i="24"/>
  <c r="D33" i="24"/>
  <c r="B33" i="24"/>
  <c r="T32" i="24"/>
  <c r="P32" i="24"/>
  <c r="X32" i="24" s="1"/>
  <c r="Z32" i="24" s="1"/>
  <c r="L32" i="24"/>
  <c r="N32" i="24" s="1"/>
  <c r="H32" i="24"/>
  <c r="D32" i="24"/>
  <c r="B32" i="24"/>
  <c r="T31" i="24"/>
  <c r="P31" i="24"/>
  <c r="X31" i="24" s="1"/>
  <c r="H31" i="24"/>
  <c r="D31" i="24"/>
  <c r="B31" i="24"/>
  <c r="T30" i="24"/>
  <c r="P30" i="24"/>
  <c r="H30" i="24"/>
  <c r="D30" i="24"/>
  <c r="B30" i="24"/>
  <c r="Z29" i="24"/>
  <c r="T29" i="24"/>
  <c r="X29" i="24" s="1"/>
  <c r="P29" i="24"/>
  <c r="L29" i="24"/>
  <c r="H29" i="24"/>
  <c r="N29" i="24" s="1"/>
  <c r="D29" i="24"/>
  <c r="B29" i="24"/>
  <c r="T28" i="24"/>
  <c r="P28" i="24"/>
  <c r="X28" i="24" s="1"/>
  <c r="Z28" i="24" s="1"/>
  <c r="L28" i="24"/>
  <c r="N28" i="24" s="1"/>
  <c r="H28" i="24"/>
  <c r="D28" i="24"/>
  <c r="B28" i="24"/>
  <c r="T27" i="24"/>
  <c r="Z27" i="24" s="1"/>
  <c r="P27" i="24"/>
  <c r="X27" i="24" s="1"/>
  <c r="H27" i="24"/>
  <c r="D27" i="24"/>
  <c r="B27" i="24"/>
  <c r="T26" i="24"/>
  <c r="P26" i="24"/>
  <c r="X26" i="24" s="1"/>
  <c r="H26" i="24"/>
  <c r="D26" i="24"/>
  <c r="B26" i="24"/>
  <c r="T25" i="24"/>
  <c r="X25" i="24" s="1"/>
  <c r="P25" i="24"/>
  <c r="L25" i="24"/>
  <c r="H25" i="24"/>
  <c r="N25" i="24" s="1"/>
  <c r="D25" i="24"/>
  <c r="B25" i="24"/>
  <c r="T24" i="24"/>
  <c r="P24" i="24"/>
  <c r="X24" i="24" s="1"/>
  <c r="Z24" i="24" s="1"/>
  <c r="L24" i="24"/>
  <c r="N24" i="24" s="1"/>
  <c r="H24" i="24"/>
  <c r="D24" i="24"/>
  <c r="B24" i="24"/>
  <c r="T23" i="24"/>
  <c r="Z23" i="24" s="1"/>
  <c r="P23" i="24"/>
  <c r="X23" i="24" s="1"/>
  <c r="H23" i="24"/>
  <c r="D23" i="24"/>
  <c r="B23" i="24"/>
  <c r="T22" i="24"/>
  <c r="P22" i="24"/>
  <c r="X22" i="24" s="1"/>
  <c r="H22" i="24"/>
  <c r="D22" i="24"/>
  <c r="B22" i="24"/>
  <c r="Z21" i="24"/>
  <c r="T21" i="24"/>
  <c r="X21" i="24" s="1"/>
  <c r="P21" i="24"/>
  <c r="L21" i="24"/>
  <c r="H21" i="24"/>
  <c r="D21" i="24"/>
  <c r="B21" i="24"/>
  <c r="T20" i="24"/>
  <c r="P20" i="24"/>
  <c r="X20" i="24" s="1"/>
  <c r="Z20" i="24" s="1"/>
  <c r="L20" i="24"/>
  <c r="N20" i="24" s="1"/>
  <c r="H20" i="24"/>
  <c r="D20" i="24"/>
  <c r="B20" i="24"/>
  <c r="T19" i="24"/>
  <c r="P19" i="24"/>
  <c r="X19" i="24" s="1"/>
  <c r="H19" i="24"/>
  <c r="D19" i="24"/>
  <c r="B19" i="24"/>
  <c r="T18" i="24"/>
  <c r="P18" i="24"/>
  <c r="H18" i="24"/>
  <c r="D18" i="24"/>
  <c r="B18" i="24"/>
  <c r="T17" i="24"/>
  <c r="P17" i="24"/>
  <c r="L17" i="24"/>
  <c r="H17" i="24"/>
  <c r="D17" i="24"/>
  <c r="B17" i="24"/>
  <c r="T16" i="24"/>
  <c r="P16" i="24"/>
  <c r="X16" i="24" s="1"/>
  <c r="Z16" i="24" s="1"/>
  <c r="L16" i="24"/>
  <c r="N16" i="24" s="1"/>
  <c r="H16" i="24"/>
  <c r="D16" i="24"/>
  <c r="B16" i="24"/>
  <c r="T15" i="24"/>
  <c r="Z15" i="24" s="1"/>
  <c r="P15" i="24"/>
  <c r="X15" i="24" s="1"/>
  <c r="H15" i="24"/>
  <c r="D15" i="24"/>
  <c r="B15" i="24"/>
  <c r="T14" i="24"/>
  <c r="P14" i="24"/>
  <c r="X14" i="24" s="1"/>
  <c r="H14" i="24"/>
  <c r="N14" i="24" s="1"/>
  <c r="D14" i="24"/>
  <c r="B14" i="24"/>
  <c r="T13" i="24"/>
  <c r="P13" i="24"/>
  <c r="L13" i="24"/>
  <c r="H13" i="24"/>
  <c r="N13" i="24" s="1"/>
  <c r="D13" i="24"/>
  <c r="D12" i="24" s="1"/>
  <c r="F82" i="24" s="1"/>
  <c r="B13" i="24"/>
  <c r="D4" i="24"/>
  <c r="X102" i="21"/>
  <c r="Z102" i="21" s="1"/>
  <c r="N102" i="21"/>
  <c r="L102" i="21"/>
  <c r="X98" i="21"/>
  <c r="T98" i="21"/>
  <c r="Z98" i="21" s="1"/>
  <c r="P98" i="21"/>
  <c r="L98" i="21"/>
  <c r="H98" i="21"/>
  <c r="N98" i="21" s="1"/>
  <c r="D98" i="21"/>
  <c r="X96" i="21"/>
  <c r="Z96" i="21" s="1"/>
  <c r="L96" i="21"/>
  <c r="N96" i="21" s="1"/>
  <c r="B96" i="21"/>
  <c r="X95" i="21"/>
  <c r="T95" i="21"/>
  <c r="Z95" i="21" s="1"/>
  <c r="P95" i="21"/>
  <c r="H95" i="21"/>
  <c r="D95" i="21"/>
  <c r="L95" i="21" s="1"/>
  <c r="N95" i="21" s="1"/>
  <c r="B95" i="21"/>
  <c r="Z94" i="21"/>
  <c r="X94" i="21"/>
  <c r="N94" i="21"/>
  <c r="L94" i="21"/>
  <c r="B94" i="21"/>
  <c r="T93" i="21"/>
  <c r="P93" i="21"/>
  <c r="N93" i="21"/>
  <c r="H93" i="21"/>
  <c r="L93" i="21" s="1"/>
  <c r="D93" i="21"/>
  <c r="B93" i="21"/>
  <c r="Z92" i="21"/>
  <c r="X92" i="21"/>
  <c r="L92" i="21"/>
  <c r="N92" i="21" s="1"/>
  <c r="B92" i="21"/>
  <c r="Z91" i="21"/>
  <c r="T91" i="21"/>
  <c r="P91" i="21"/>
  <c r="X91" i="21" s="1"/>
  <c r="H91" i="21"/>
  <c r="D91" i="21"/>
  <c r="L91" i="21" s="1"/>
  <c r="B91" i="21"/>
  <c r="X90" i="21"/>
  <c r="Z90" i="21" s="1"/>
  <c r="N90" i="21"/>
  <c r="L90" i="21"/>
  <c r="B90" i="21"/>
  <c r="X89" i="21"/>
  <c r="Z89" i="21" s="1"/>
  <c r="L89" i="21"/>
  <c r="N89" i="21" s="1"/>
  <c r="B89" i="21"/>
  <c r="X88" i="21"/>
  <c r="Z88" i="21" s="1"/>
  <c r="N88" i="21"/>
  <c r="L88" i="21"/>
  <c r="B88" i="21"/>
  <c r="X87" i="21"/>
  <c r="Z87" i="21" s="1"/>
  <c r="N87" i="21"/>
  <c r="L87" i="21"/>
  <c r="B87" i="21"/>
  <c r="X86" i="21"/>
  <c r="Z86" i="21" s="1"/>
  <c r="N86" i="21"/>
  <c r="L86" i="21"/>
  <c r="B86" i="21"/>
  <c r="X85" i="21"/>
  <c r="Z85" i="21" s="1"/>
  <c r="L85" i="21"/>
  <c r="N85" i="21" s="1"/>
  <c r="B85" i="21"/>
  <c r="X84" i="21"/>
  <c r="Z84" i="21" s="1"/>
  <c r="L84" i="21"/>
  <c r="N84" i="21" s="1"/>
  <c r="B84" i="21"/>
  <c r="X83" i="21"/>
  <c r="T83" i="21"/>
  <c r="Z83" i="21" s="1"/>
  <c r="P83" i="21"/>
  <c r="H83" i="21"/>
  <c r="D83" i="21"/>
  <c r="L83" i="21" s="1"/>
  <c r="N83" i="21" s="1"/>
  <c r="B83" i="21"/>
  <c r="Z82" i="21"/>
  <c r="X82" i="21"/>
  <c r="N82" i="21"/>
  <c r="L82" i="21"/>
  <c r="B82" i="21"/>
  <c r="X81" i="21"/>
  <c r="Z81" i="21" s="1"/>
  <c r="N81" i="21"/>
  <c r="L81" i="21"/>
  <c r="B81" i="21"/>
  <c r="X80" i="21"/>
  <c r="Z80" i="21" s="1"/>
  <c r="T80" i="21"/>
  <c r="P80" i="21"/>
  <c r="N80" i="21"/>
  <c r="H80" i="21"/>
  <c r="D80" i="21"/>
  <c r="B80" i="21"/>
  <c r="Z79" i="21"/>
  <c r="X79" i="21"/>
  <c r="L79" i="21"/>
  <c r="N79" i="21" s="1"/>
  <c r="B79" i="21"/>
  <c r="Z78" i="21"/>
  <c r="X78" i="21"/>
  <c r="L78" i="21"/>
  <c r="N78" i="21" s="1"/>
  <c r="B78" i="21"/>
  <c r="X77" i="21"/>
  <c r="Z77" i="21" s="1"/>
  <c r="L77" i="21"/>
  <c r="N77" i="21" s="1"/>
  <c r="B77" i="21"/>
  <c r="Z76" i="21"/>
  <c r="X76" i="21"/>
  <c r="L76" i="21"/>
  <c r="N76" i="21" s="1"/>
  <c r="B76" i="21"/>
  <c r="T75" i="21"/>
  <c r="P75" i="21"/>
  <c r="X75" i="21" s="1"/>
  <c r="Z75" i="21" s="1"/>
  <c r="H75" i="21"/>
  <c r="D75" i="21"/>
  <c r="L75" i="21" s="1"/>
  <c r="B75" i="21"/>
  <c r="X74" i="21"/>
  <c r="Z74" i="21" s="1"/>
  <c r="N74" i="21"/>
  <c r="L74" i="21"/>
  <c r="B74" i="21"/>
  <c r="T73" i="21"/>
  <c r="P73" i="21"/>
  <c r="X73" i="21" s="1"/>
  <c r="Z73" i="21" s="1"/>
  <c r="L73" i="21"/>
  <c r="H73" i="21"/>
  <c r="N73" i="21" s="1"/>
  <c r="D73" i="21"/>
  <c r="B73" i="21"/>
  <c r="Z72" i="21"/>
  <c r="X72" i="21"/>
  <c r="N72" i="21"/>
  <c r="L72" i="21"/>
  <c r="B72" i="21"/>
  <c r="Z71" i="21"/>
  <c r="T71" i="21"/>
  <c r="X71" i="21" s="1"/>
  <c r="P71" i="21"/>
  <c r="H71" i="21"/>
  <c r="D71" i="21"/>
  <c r="B71" i="21"/>
  <c r="Z70" i="21"/>
  <c r="X70" i="21"/>
  <c r="L70" i="21"/>
  <c r="N70" i="21" s="1"/>
  <c r="B70" i="21"/>
  <c r="T69" i="21"/>
  <c r="P69" i="21"/>
  <c r="X69" i="21" s="1"/>
  <c r="N69" i="21"/>
  <c r="H69" i="21"/>
  <c r="D69" i="21"/>
  <c r="L69" i="21" s="1"/>
  <c r="B69" i="21"/>
  <c r="X68" i="21"/>
  <c r="Z68" i="21" s="1"/>
  <c r="L68" i="21"/>
  <c r="N68" i="21" s="1"/>
  <c r="B68" i="21"/>
  <c r="X67" i="21"/>
  <c r="T67" i="21"/>
  <c r="Z67" i="21" s="1"/>
  <c r="P67" i="21"/>
  <c r="L67" i="21"/>
  <c r="N67" i="21" s="1"/>
  <c r="H67" i="21"/>
  <c r="D67" i="21"/>
  <c r="B67" i="21"/>
  <c r="Z66" i="21"/>
  <c r="X66" i="21"/>
  <c r="N66" i="21"/>
  <c r="L66" i="21"/>
  <c r="B66" i="21"/>
  <c r="T65" i="21"/>
  <c r="X65" i="21" s="1"/>
  <c r="P65" i="21"/>
  <c r="H65" i="21"/>
  <c r="L65" i="21" s="1"/>
  <c r="D65" i="21"/>
  <c r="B65" i="21"/>
  <c r="Z64" i="21"/>
  <c r="X64" i="21"/>
  <c r="L64" i="21"/>
  <c r="N64" i="21" s="1"/>
  <c r="B64" i="21"/>
  <c r="T63" i="21"/>
  <c r="P63" i="21"/>
  <c r="H63" i="21"/>
  <c r="N63" i="21" s="1"/>
  <c r="D63" i="21"/>
  <c r="L63" i="21" s="1"/>
  <c r="B63" i="21"/>
  <c r="X62" i="21"/>
  <c r="Z62" i="21" s="1"/>
  <c r="N62" i="21"/>
  <c r="L62" i="21"/>
  <c r="B62" i="21"/>
  <c r="T61" i="21"/>
  <c r="P61" i="21"/>
  <c r="X61" i="21" s="1"/>
  <c r="Z61" i="21" s="1"/>
  <c r="L61" i="21"/>
  <c r="H61" i="21"/>
  <c r="N61" i="21" s="1"/>
  <c r="D61" i="21"/>
  <c r="B61" i="21"/>
  <c r="Z60" i="21"/>
  <c r="X60" i="21"/>
  <c r="N60" i="21"/>
  <c r="L60" i="21"/>
  <c r="B60" i="21"/>
  <c r="T59" i="21"/>
  <c r="X59" i="21" s="1"/>
  <c r="Z59" i="21" s="1"/>
  <c r="P59" i="21"/>
  <c r="H59" i="21"/>
  <c r="D59" i="21"/>
  <c r="B59" i="21"/>
  <c r="Z58" i="21"/>
  <c r="X58" i="21"/>
  <c r="N58" i="21"/>
  <c r="L58" i="21"/>
  <c r="B58" i="21"/>
  <c r="T57" i="21"/>
  <c r="P57" i="21"/>
  <c r="N57" i="21"/>
  <c r="H57" i="21"/>
  <c r="D57" i="21"/>
  <c r="L57" i="21" s="1"/>
  <c r="B57" i="21"/>
  <c r="X56" i="21"/>
  <c r="Z56" i="21" s="1"/>
  <c r="N56" i="21"/>
  <c r="L56" i="21"/>
  <c r="B56" i="21"/>
  <c r="X55" i="21"/>
  <c r="T55" i="21"/>
  <c r="Z55" i="21" s="1"/>
  <c r="P55" i="21"/>
  <c r="H55" i="21"/>
  <c r="D55" i="21"/>
  <c r="L55" i="21" s="1"/>
  <c r="N55" i="21" s="1"/>
  <c r="B55" i="21"/>
  <c r="Z54" i="21"/>
  <c r="X54" i="21"/>
  <c r="N54" i="21"/>
  <c r="L54" i="21"/>
  <c r="B54" i="21"/>
  <c r="X53" i="21"/>
  <c r="Z53" i="21" s="1"/>
  <c r="L53" i="21"/>
  <c r="N53" i="21" s="1"/>
  <c r="B53" i="21"/>
  <c r="Z52" i="21"/>
  <c r="X52" i="21"/>
  <c r="T52" i="21"/>
  <c r="P52" i="21"/>
  <c r="H52" i="21"/>
  <c r="D52" i="21"/>
  <c r="B52" i="21"/>
  <c r="Z51" i="21"/>
  <c r="X51" i="21"/>
  <c r="L51" i="21"/>
  <c r="N51" i="21" s="1"/>
  <c r="B51" i="21"/>
  <c r="T50" i="21"/>
  <c r="P50" i="21"/>
  <c r="N50" i="21"/>
  <c r="H50" i="21"/>
  <c r="D50" i="21"/>
  <c r="L50" i="21" s="1"/>
  <c r="B50" i="21"/>
  <c r="X49" i="21"/>
  <c r="Z49" i="21" s="1"/>
  <c r="L49" i="21"/>
  <c r="N49" i="21" s="1"/>
  <c r="B49" i="21"/>
  <c r="Z48" i="21"/>
  <c r="T48" i="21"/>
  <c r="P48" i="21"/>
  <c r="X48" i="21" s="1"/>
  <c r="L48" i="21"/>
  <c r="H48" i="21"/>
  <c r="D48" i="21"/>
  <c r="B48" i="21"/>
  <c r="Z47" i="21"/>
  <c r="X47" i="21"/>
  <c r="N47" i="21"/>
  <c r="L47" i="21"/>
  <c r="B47" i="21"/>
  <c r="T46" i="21"/>
  <c r="P46" i="21"/>
  <c r="H46" i="21"/>
  <c r="N46" i="21" s="1"/>
  <c r="D46" i="21"/>
  <c r="L46" i="21" s="1"/>
  <c r="B46" i="21"/>
  <c r="X45" i="21"/>
  <c r="Z45" i="21" s="1"/>
  <c r="N45" i="21"/>
  <c r="L45" i="21"/>
  <c r="B45" i="21"/>
  <c r="X44" i="21"/>
  <c r="Z44" i="21" s="1"/>
  <c r="L44" i="21"/>
  <c r="N44" i="21" s="1"/>
  <c r="B44" i="21"/>
  <c r="X43" i="21"/>
  <c r="Z43" i="21" s="1"/>
  <c r="L43" i="21"/>
  <c r="N43" i="21" s="1"/>
  <c r="B43" i="21"/>
  <c r="X42" i="21"/>
  <c r="Z42" i="21" s="1"/>
  <c r="L42" i="21"/>
  <c r="N42" i="21" s="1"/>
  <c r="B42" i="21"/>
  <c r="Z41" i="21"/>
  <c r="X41" i="21"/>
  <c r="N41" i="21"/>
  <c r="L41" i="21"/>
  <c r="B41" i="21"/>
  <c r="X40" i="21"/>
  <c r="Z40" i="21" s="1"/>
  <c r="L40" i="21"/>
  <c r="N40" i="21" s="1"/>
  <c r="B40" i="21"/>
  <c r="T39" i="21"/>
  <c r="P39" i="21"/>
  <c r="X39" i="21" s="1"/>
  <c r="L39" i="21"/>
  <c r="H39" i="21"/>
  <c r="N39" i="21" s="1"/>
  <c r="D39" i="21"/>
  <c r="B39" i="21"/>
  <c r="X38" i="21"/>
  <c r="Z38" i="21" s="1"/>
  <c r="N38" i="21"/>
  <c r="L38" i="21"/>
  <c r="F38" i="21"/>
  <c r="B38" i="21"/>
  <c r="Z37" i="21"/>
  <c r="X37" i="21"/>
  <c r="N37" i="21"/>
  <c r="L37" i="21"/>
  <c r="B37" i="21"/>
  <c r="X36" i="21"/>
  <c r="Z36" i="21" s="1"/>
  <c r="N36" i="21"/>
  <c r="L36" i="21"/>
  <c r="B36" i="21"/>
  <c r="X35" i="21"/>
  <c r="Z35" i="21" s="1"/>
  <c r="N35" i="21"/>
  <c r="L35" i="21"/>
  <c r="B35" i="21"/>
  <c r="X34" i="21"/>
  <c r="Z34" i="21" s="1"/>
  <c r="N34" i="21"/>
  <c r="L34" i="21"/>
  <c r="B34" i="21"/>
  <c r="Z33" i="21"/>
  <c r="X33" i="21"/>
  <c r="N33" i="21"/>
  <c r="L33" i="21"/>
  <c r="B33" i="21"/>
  <c r="X32" i="21"/>
  <c r="Z32" i="21" s="1"/>
  <c r="N32" i="21"/>
  <c r="L32" i="21"/>
  <c r="B32" i="21"/>
  <c r="X31" i="21"/>
  <c r="Z31" i="21" s="1"/>
  <c r="N31" i="21"/>
  <c r="L31" i="21"/>
  <c r="B31" i="21"/>
  <c r="X30" i="21"/>
  <c r="T30" i="21"/>
  <c r="Z30" i="21" s="1"/>
  <c r="P30" i="21"/>
  <c r="L30" i="21"/>
  <c r="H30" i="21"/>
  <c r="D30" i="21"/>
  <c r="B30" i="21"/>
  <c r="T29" i="21"/>
  <c r="P29" i="21"/>
  <c r="X29" i="21" s="1"/>
  <c r="H29" i="21"/>
  <c r="D29" i="21"/>
  <c r="L29" i="21" s="1"/>
  <c r="N29" i="21" s="1"/>
  <c r="Z25" i="21"/>
  <c r="X25" i="21"/>
  <c r="L25" i="21"/>
  <c r="N25" i="21" s="1"/>
  <c r="B25" i="21"/>
  <c r="Z24" i="21"/>
  <c r="X24" i="21"/>
  <c r="L24" i="21"/>
  <c r="N24" i="21" s="1"/>
  <c r="B24" i="21"/>
  <c r="Z23" i="21"/>
  <c r="T23" i="21"/>
  <c r="P23" i="21"/>
  <c r="X23" i="21" s="1"/>
  <c r="H23" i="21"/>
  <c r="N23" i="21" s="1"/>
  <c r="D23" i="21"/>
  <c r="L23" i="21" s="1"/>
  <c r="Z21" i="21"/>
  <c r="T21" i="21"/>
  <c r="P21" i="21"/>
  <c r="X21" i="21" s="1"/>
  <c r="L21" i="21"/>
  <c r="H21" i="21"/>
  <c r="N21" i="21" s="1"/>
  <c r="D21" i="21"/>
  <c r="B21" i="21"/>
  <c r="T20" i="21"/>
  <c r="P20" i="21"/>
  <c r="H20" i="21"/>
  <c r="L20" i="21" s="1"/>
  <c r="D20" i="21"/>
  <c r="B20" i="21"/>
  <c r="T19" i="21"/>
  <c r="P19" i="21"/>
  <c r="X19" i="21" s="1"/>
  <c r="Z19" i="21" s="1"/>
  <c r="H19" i="21"/>
  <c r="D19" i="21"/>
  <c r="B19" i="21"/>
  <c r="T18" i="21"/>
  <c r="P18" i="21"/>
  <c r="X18" i="21" s="1"/>
  <c r="H18" i="21"/>
  <c r="D18" i="21"/>
  <c r="B18" i="21"/>
  <c r="Z17" i="21"/>
  <c r="T17" i="21"/>
  <c r="P17" i="21"/>
  <c r="X17" i="21" s="1"/>
  <c r="L17" i="21"/>
  <c r="H17" i="21"/>
  <c r="N17" i="21" s="1"/>
  <c r="D17" i="21"/>
  <c r="B17" i="21"/>
  <c r="T16" i="21"/>
  <c r="P16" i="21"/>
  <c r="X16" i="21" s="1"/>
  <c r="L16" i="21"/>
  <c r="H16" i="21"/>
  <c r="N16" i="21" s="1"/>
  <c r="D16" i="21"/>
  <c r="B16" i="21"/>
  <c r="T15" i="21"/>
  <c r="P15" i="21"/>
  <c r="X15" i="21" s="1"/>
  <c r="Z15" i="21" s="1"/>
  <c r="H15" i="21"/>
  <c r="D15" i="21"/>
  <c r="B15" i="21"/>
  <c r="T14" i="21"/>
  <c r="P14" i="21"/>
  <c r="X14" i="21" s="1"/>
  <c r="H14" i="21"/>
  <c r="D14" i="21"/>
  <c r="B14" i="21"/>
  <c r="T13" i="21"/>
  <c r="P13" i="21"/>
  <c r="X13" i="21" s="1"/>
  <c r="Z13" i="21" s="1"/>
  <c r="L13" i="21"/>
  <c r="H13" i="21"/>
  <c r="H12" i="21" s="1"/>
  <c r="J39" i="21" s="1"/>
  <c r="D13" i="21"/>
  <c r="D12" i="21" s="1"/>
  <c r="F34" i="21" s="1"/>
  <c r="B13" i="21"/>
  <c r="P12" i="21"/>
  <c r="D4" i="21"/>
  <c r="X270" i="18"/>
  <c r="Z270" i="18" s="1"/>
  <c r="N270" i="18"/>
  <c r="L270" i="18"/>
  <c r="T266" i="18"/>
  <c r="Z266" i="18" s="1"/>
  <c r="P266" i="18"/>
  <c r="X266" i="18" s="1"/>
  <c r="L266" i="18"/>
  <c r="H266" i="18"/>
  <c r="N266" i="18" s="1"/>
  <c r="D266" i="18"/>
  <c r="B266" i="18"/>
  <c r="Z265" i="18"/>
  <c r="X265" i="18"/>
  <c r="T265" i="18"/>
  <c r="P265" i="18"/>
  <c r="N265" i="18"/>
  <c r="L265" i="18"/>
  <c r="H265" i="18"/>
  <c r="D265" i="18"/>
  <c r="B265" i="18"/>
  <c r="T264" i="18"/>
  <c r="Z264" i="18" s="1"/>
  <c r="P264" i="18"/>
  <c r="X264" i="18" s="1"/>
  <c r="H264" i="18"/>
  <c r="D264" i="18"/>
  <c r="L264" i="18" s="1"/>
  <c r="N264" i="18" s="1"/>
  <c r="B264" i="18"/>
  <c r="T263" i="18"/>
  <c r="P263" i="18"/>
  <c r="X263" i="18" s="1"/>
  <c r="Z263" i="18" s="1"/>
  <c r="H263" i="18"/>
  <c r="D263" i="18"/>
  <c r="L263" i="18" s="1"/>
  <c r="N263" i="18" s="1"/>
  <c r="B263" i="18"/>
  <c r="T262" i="18"/>
  <c r="P262" i="18"/>
  <c r="H262" i="18"/>
  <c r="N262" i="18" s="1"/>
  <c r="D262" i="18"/>
  <c r="L262" i="18" s="1"/>
  <c r="B262" i="18"/>
  <c r="T261" i="18"/>
  <c r="P261" i="18"/>
  <c r="H261" i="18"/>
  <c r="D261" i="18"/>
  <c r="L261" i="18" s="1"/>
  <c r="B261" i="18"/>
  <c r="X260" i="18"/>
  <c r="T260" i="18"/>
  <c r="P260" i="18"/>
  <c r="H260" i="18"/>
  <c r="N260" i="18" s="1"/>
  <c r="D260" i="18"/>
  <c r="L260" i="18" s="1"/>
  <c r="B260" i="18"/>
  <c r="Z259" i="18"/>
  <c r="X259" i="18"/>
  <c r="T259" i="18"/>
  <c r="P259" i="18"/>
  <c r="N259" i="18"/>
  <c r="L259" i="18"/>
  <c r="H259" i="18"/>
  <c r="D259" i="18"/>
  <c r="B259" i="18"/>
  <c r="Z258" i="18"/>
  <c r="T258" i="18"/>
  <c r="P258" i="18"/>
  <c r="P257" i="18" s="1"/>
  <c r="H258" i="18"/>
  <c r="N258" i="18" s="1"/>
  <c r="D258" i="18"/>
  <c r="L258" i="18" s="1"/>
  <c r="B258" i="18"/>
  <c r="X255" i="18"/>
  <c r="Z255" i="18" s="1"/>
  <c r="N255" i="18"/>
  <c r="L255" i="18"/>
  <c r="B255" i="18"/>
  <c r="X254" i="18"/>
  <c r="T254" i="18"/>
  <c r="P254" i="18"/>
  <c r="H254" i="18"/>
  <c r="D254" i="18"/>
  <c r="L254" i="18" s="1"/>
  <c r="B254" i="18"/>
  <c r="X253" i="18"/>
  <c r="Z253" i="18" s="1"/>
  <c r="N253" i="18"/>
  <c r="L253" i="18"/>
  <c r="B253" i="18"/>
  <c r="X252" i="18"/>
  <c r="Z252" i="18" s="1"/>
  <c r="N252" i="18"/>
  <c r="L252" i="18"/>
  <c r="B252" i="18"/>
  <c r="Z251" i="18"/>
  <c r="X251" i="18"/>
  <c r="N251" i="18"/>
  <c r="L251" i="18"/>
  <c r="B251" i="18"/>
  <c r="T250" i="18"/>
  <c r="Z250" i="18" s="1"/>
  <c r="P250" i="18"/>
  <c r="X250" i="18" s="1"/>
  <c r="H250" i="18"/>
  <c r="D250" i="18"/>
  <c r="B250" i="18"/>
  <c r="X249" i="18"/>
  <c r="Z249" i="18" s="1"/>
  <c r="L249" i="18"/>
  <c r="N249" i="18" s="1"/>
  <c r="B249" i="18"/>
  <c r="T248" i="18"/>
  <c r="P248" i="18"/>
  <c r="X248" i="18" s="1"/>
  <c r="Z248" i="18" s="1"/>
  <c r="H248" i="18"/>
  <c r="D248" i="18"/>
  <c r="L248" i="18" s="1"/>
  <c r="B248" i="18"/>
  <c r="X247" i="18"/>
  <c r="Z247" i="18" s="1"/>
  <c r="N247" i="18"/>
  <c r="L247" i="18"/>
  <c r="B247" i="18"/>
  <c r="X246" i="18"/>
  <c r="Z246" i="18" s="1"/>
  <c r="N246" i="18"/>
  <c r="L246" i="18"/>
  <c r="B246" i="18"/>
  <c r="T245" i="18"/>
  <c r="P245" i="18"/>
  <c r="X245" i="18" s="1"/>
  <c r="Z245" i="18" s="1"/>
  <c r="H245" i="18"/>
  <c r="D245" i="18"/>
  <c r="L245" i="18" s="1"/>
  <c r="N245" i="18" s="1"/>
  <c r="B245" i="18"/>
  <c r="X244" i="18"/>
  <c r="Z244" i="18" s="1"/>
  <c r="N244" i="18"/>
  <c r="L244" i="18"/>
  <c r="B244" i="18"/>
  <c r="Z243" i="18"/>
  <c r="X243" i="18"/>
  <c r="N243" i="18"/>
  <c r="L243" i="18"/>
  <c r="B243" i="18"/>
  <c r="Z242" i="18"/>
  <c r="X242" i="18"/>
  <c r="N242" i="18"/>
  <c r="L242" i="18"/>
  <c r="B242" i="18"/>
  <c r="Z241" i="18"/>
  <c r="X241" i="18"/>
  <c r="L241" i="18"/>
  <c r="N241" i="18" s="1"/>
  <c r="B241" i="18"/>
  <c r="X240" i="18"/>
  <c r="Z240" i="18" s="1"/>
  <c r="N240" i="18"/>
  <c r="L240" i="18"/>
  <c r="B240" i="18"/>
  <c r="Z239" i="18"/>
  <c r="X239" i="18"/>
  <c r="N239" i="18"/>
  <c r="L239" i="18"/>
  <c r="B239" i="18"/>
  <c r="T238" i="18"/>
  <c r="P238" i="18"/>
  <c r="X238" i="18" s="1"/>
  <c r="H238" i="18"/>
  <c r="D238" i="18"/>
  <c r="B238" i="18"/>
  <c r="X237" i="18"/>
  <c r="Z237" i="18" s="1"/>
  <c r="N237" i="18"/>
  <c r="L237" i="18"/>
  <c r="B237" i="18"/>
  <c r="Z236" i="18"/>
  <c r="X236" i="18"/>
  <c r="L236" i="18"/>
  <c r="N236" i="18" s="1"/>
  <c r="B236" i="18"/>
  <c r="T235" i="18"/>
  <c r="P235" i="18"/>
  <c r="H235" i="18"/>
  <c r="N235" i="18" s="1"/>
  <c r="D235" i="18"/>
  <c r="L235" i="18" s="1"/>
  <c r="B235" i="18"/>
  <c r="X234" i="18"/>
  <c r="Z234" i="18" s="1"/>
  <c r="N234" i="18"/>
  <c r="L234" i="18"/>
  <c r="B234" i="18"/>
  <c r="Z233" i="18"/>
  <c r="X233" i="18"/>
  <c r="L233" i="18"/>
  <c r="N233" i="18" s="1"/>
  <c r="B233" i="18"/>
  <c r="X232" i="18"/>
  <c r="Z232" i="18" s="1"/>
  <c r="L232" i="18"/>
  <c r="N232" i="18" s="1"/>
  <c r="B232" i="18"/>
  <c r="Z231" i="18"/>
  <c r="X231" i="18"/>
  <c r="N231" i="18"/>
  <c r="L231" i="18"/>
  <c r="B231" i="18"/>
  <c r="X230" i="18"/>
  <c r="T230" i="18"/>
  <c r="Z230" i="18" s="1"/>
  <c r="P230" i="18"/>
  <c r="H230" i="18"/>
  <c r="N230" i="18" s="1"/>
  <c r="D230" i="18"/>
  <c r="L230" i="18" s="1"/>
  <c r="B230" i="18"/>
  <c r="X229" i="18"/>
  <c r="Z229" i="18" s="1"/>
  <c r="N229" i="18"/>
  <c r="L229" i="18"/>
  <c r="B229" i="18"/>
  <c r="X228" i="18"/>
  <c r="Z228" i="18" s="1"/>
  <c r="N228" i="18"/>
  <c r="L228" i="18"/>
  <c r="B228" i="18"/>
  <c r="Z227" i="18"/>
  <c r="X227" i="18"/>
  <c r="N227" i="18"/>
  <c r="L227" i="18"/>
  <c r="B227" i="18"/>
  <c r="T226" i="18"/>
  <c r="P226" i="18"/>
  <c r="X226" i="18" s="1"/>
  <c r="H226" i="18"/>
  <c r="D226" i="18"/>
  <c r="B226" i="18"/>
  <c r="X225" i="18"/>
  <c r="Z225" i="18" s="1"/>
  <c r="N225" i="18"/>
  <c r="L225" i="18"/>
  <c r="B225" i="18"/>
  <c r="Z224" i="18"/>
  <c r="X224" i="18"/>
  <c r="L224" i="18"/>
  <c r="N224" i="18" s="1"/>
  <c r="B224" i="18"/>
  <c r="Z223" i="18"/>
  <c r="X223" i="18"/>
  <c r="N223" i="18"/>
  <c r="L223" i="18"/>
  <c r="B223" i="18"/>
  <c r="T222" i="18"/>
  <c r="P222" i="18"/>
  <c r="N222" i="18"/>
  <c r="H222" i="18"/>
  <c r="D222" i="18"/>
  <c r="L222" i="18" s="1"/>
  <c r="B222" i="18"/>
  <c r="Z221" i="18"/>
  <c r="X221" i="18"/>
  <c r="L221" i="18"/>
  <c r="N221" i="18" s="1"/>
  <c r="B221" i="18"/>
  <c r="T220" i="18"/>
  <c r="Z220" i="18" s="1"/>
  <c r="P220" i="18"/>
  <c r="X220" i="18" s="1"/>
  <c r="L220" i="18"/>
  <c r="H220" i="18"/>
  <c r="D220" i="18"/>
  <c r="B220" i="18"/>
  <c r="Z219" i="18"/>
  <c r="X219" i="18"/>
  <c r="N219" i="18"/>
  <c r="L219" i="18"/>
  <c r="J219" i="18"/>
  <c r="B219" i="18"/>
  <c r="T218" i="18"/>
  <c r="Z218" i="18" s="1"/>
  <c r="P218" i="18"/>
  <c r="X218" i="18" s="1"/>
  <c r="L218" i="18"/>
  <c r="H218" i="18"/>
  <c r="N218" i="18" s="1"/>
  <c r="D218" i="18"/>
  <c r="B218" i="18"/>
  <c r="Z217" i="18"/>
  <c r="X217" i="18"/>
  <c r="N217" i="18"/>
  <c r="L217" i="18"/>
  <c r="B217" i="18"/>
  <c r="T216" i="18"/>
  <c r="P216" i="18"/>
  <c r="X216" i="18" s="1"/>
  <c r="Z216" i="18" s="1"/>
  <c r="H216" i="18"/>
  <c r="D216" i="18"/>
  <c r="L216" i="18" s="1"/>
  <c r="B216" i="18"/>
  <c r="Z215" i="18"/>
  <c r="X215" i="18"/>
  <c r="N215" i="18"/>
  <c r="L215" i="18"/>
  <c r="B215" i="18"/>
  <c r="X214" i="18"/>
  <c r="T214" i="18"/>
  <c r="P214" i="18"/>
  <c r="H214" i="18"/>
  <c r="D214" i="18"/>
  <c r="L214" i="18" s="1"/>
  <c r="B214" i="18"/>
  <c r="X213" i="18"/>
  <c r="Z213" i="18" s="1"/>
  <c r="N213" i="18"/>
  <c r="L213" i="18"/>
  <c r="B213" i="18"/>
  <c r="X212" i="18"/>
  <c r="T212" i="18"/>
  <c r="P212" i="18"/>
  <c r="H212" i="18"/>
  <c r="D212" i="18"/>
  <c r="L212" i="18" s="1"/>
  <c r="B212" i="18"/>
  <c r="Z211" i="18"/>
  <c r="X211" i="18"/>
  <c r="N211" i="18"/>
  <c r="L211" i="18"/>
  <c r="B211" i="18"/>
  <c r="Z210" i="18"/>
  <c r="X210" i="18"/>
  <c r="L210" i="18"/>
  <c r="N210" i="18" s="1"/>
  <c r="B210" i="18"/>
  <c r="T209" i="18"/>
  <c r="P209" i="18"/>
  <c r="X209" i="18" s="1"/>
  <c r="H209" i="18"/>
  <c r="D209" i="18"/>
  <c r="B209" i="18"/>
  <c r="X208" i="18"/>
  <c r="Z208" i="18" s="1"/>
  <c r="L208" i="18"/>
  <c r="N208" i="18" s="1"/>
  <c r="B208" i="18"/>
  <c r="T207" i="18"/>
  <c r="P207" i="18"/>
  <c r="X207" i="18" s="1"/>
  <c r="Z207" i="18" s="1"/>
  <c r="H207" i="18"/>
  <c r="D207" i="18"/>
  <c r="L207" i="18" s="1"/>
  <c r="N207" i="18" s="1"/>
  <c r="B207" i="18"/>
  <c r="Z206" i="18"/>
  <c r="X206" i="18"/>
  <c r="N206" i="18"/>
  <c r="L206" i="18"/>
  <c r="B206" i="18"/>
  <c r="X205" i="18"/>
  <c r="Z205" i="18" s="1"/>
  <c r="T205" i="18"/>
  <c r="P205" i="18"/>
  <c r="N205" i="18"/>
  <c r="L205" i="18"/>
  <c r="H205" i="18"/>
  <c r="D205" i="18"/>
  <c r="B205" i="18"/>
  <c r="Z204" i="18"/>
  <c r="X204" i="18"/>
  <c r="L204" i="18"/>
  <c r="N204" i="18" s="1"/>
  <c r="B204" i="18"/>
  <c r="T203" i="18"/>
  <c r="P203" i="18"/>
  <c r="H203" i="18"/>
  <c r="N203" i="18" s="1"/>
  <c r="D203" i="18"/>
  <c r="L203" i="18" s="1"/>
  <c r="B203" i="18"/>
  <c r="X202" i="18"/>
  <c r="Z202" i="18" s="1"/>
  <c r="N202" i="18"/>
  <c r="L202" i="18"/>
  <c r="B202" i="18"/>
  <c r="Z201" i="18"/>
  <c r="X201" i="18"/>
  <c r="L201" i="18"/>
  <c r="N201" i="18" s="1"/>
  <c r="B201" i="18"/>
  <c r="T200" i="18"/>
  <c r="P200" i="18"/>
  <c r="X200" i="18" s="1"/>
  <c r="L200" i="18"/>
  <c r="H200" i="18"/>
  <c r="N200" i="18" s="1"/>
  <c r="D200" i="18"/>
  <c r="B200" i="18"/>
  <c r="Z199" i="18"/>
  <c r="X199" i="18"/>
  <c r="N199" i="18"/>
  <c r="L199" i="18"/>
  <c r="B199" i="18"/>
  <c r="Z198" i="18"/>
  <c r="X198" i="18"/>
  <c r="N198" i="18"/>
  <c r="L198" i="18"/>
  <c r="B198" i="18"/>
  <c r="Z197" i="18"/>
  <c r="X197" i="18"/>
  <c r="T197" i="18"/>
  <c r="P197" i="18"/>
  <c r="N197" i="18"/>
  <c r="L197" i="18"/>
  <c r="H197" i="18"/>
  <c r="D197" i="18"/>
  <c r="B197" i="18"/>
  <c r="Z196" i="18"/>
  <c r="X196" i="18"/>
  <c r="L196" i="18"/>
  <c r="N196" i="18" s="1"/>
  <c r="B196" i="18"/>
  <c r="T195" i="18"/>
  <c r="P195" i="18"/>
  <c r="X195" i="18" s="1"/>
  <c r="Z195" i="18" s="1"/>
  <c r="H195" i="18"/>
  <c r="N195" i="18" s="1"/>
  <c r="D195" i="18"/>
  <c r="L195" i="18" s="1"/>
  <c r="B195" i="18"/>
  <c r="X194" i="18"/>
  <c r="Z194" i="18" s="1"/>
  <c r="N194" i="18"/>
  <c r="L194" i="18"/>
  <c r="B194" i="18"/>
  <c r="T193" i="18"/>
  <c r="P193" i="18"/>
  <c r="X193" i="18" s="1"/>
  <c r="Z193" i="18" s="1"/>
  <c r="H193" i="18"/>
  <c r="D193" i="18"/>
  <c r="L193" i="18" s="1"/>
  <c r="N193" i="18" s="1"/>
  <c r="B193" i="18"/>
  <c r="X192" i="18"/>
  <c r="Z192" i="18" s="1"/>
  <c r="N192" i="18"/>
  <c r="L192" i="18"/>
  <c r="B192" i="18"/>
  <c r="Z191" i="18"/>
  <c r="X191" i="18"/>
  <c r="T191" i="18"/>
  <c r="P191" i="18"/>
  <c r="L191" i="18"/>
  <c r="N191" i="18" s="1"/>
  <c r="H191" i="18"/>
  <c r="D191" i="18"/>
  <c r="B191" i="18"/>
  <c r="Z190" i="18"/>
  <c r="X190" i="18"/>
  <c r="L190" i="18"/>
  <c r="N190" i="18" s="1"/>
  <c r="B190" i="18"/>
  <c r="X189" i="18"/>
  <c r="Z189" i="18" s="1"/>
  <c r="L189" i="18"/>
  <c r="N189" i="18" s="1"/>
  <c r="B189" i="18"/>
  <c r="Z188" i="18"/>
  <c r="X188" i="18"/>
  <c r="L188" i="18"/>
  <c r="N188" i="18" s="1"/>
  <c r="B188" i="18"/>
  <c r="Z187" i="18"/>
  <c r="X187" i="18"/>
  <c r="N187" i="18"/>
  <c r="L187" i="18"/>
  <c r="B187" i="18"/>
  <c r="Z186" i="18"/>
  <c r="X186" i="18"/>
  <c r="L186" i="18"/>
  <c r="N186" i="18" s="1"/>
  <c r="B186" i="18"/>
  <c r="X185" i="18"/>
  <c r="Z185" i="18" s="1"/>
  <c r="L185" i="18"/>
  <c r="N185" i="18" s="1"/>
  <c r="B185" i="18"/>
  <c r="Z184" i="18"/>
  <c r="X184" i="18"/>
  <c r="L184" i="18"/>
  <c r="N184" i="18" s="1"/>
  <c r="B184" i="18"/>
  <c r="T183" i="18"/>
  <c r="P183" i="18"/>
  <c r="H183" i="18"/>
  <c r="N183" i="18" s="1"/>
  <c r="D183" i="18"/>
  <c r="L183" i="18" s="1"/>
  <c r="B183" i="18"/>
  <c r="X182" i="18"/>
  <c r="Z182" i="18" s="1"/>
  <c r="N182" i="18"/>
  <c r="L182" i="18"/>
  <c r="B182" i="18"/>
  <c r="X181" i="18"/>
  <c r="Z181" i="18" s="1"/>
  <c r="L181" i="18"/>
  <c r="N181" i="18" s="1"/>
  <c r="B181" i="18"/>
  <c r="X180" i="18"/>
  <c r="Z180" i="18" s="1"/>
  <c r="L180" i="18"/>
  <c r="N180" i="18" s="1"/>
  <c r="B180" i="18"/>
  <c r="X179" i="18"/>
  <c r="Z179" i="18" s="1"/>
  <c r="N179" i="18"/>
  <c r="L179" i="18"/>
  <c r="B179" i="18"/>
  <c r="X178" i="18"/>
  <c r="Z178" i="18" s="1"/>
  <c r="N178" i="18"/>
  <c r="L178" i="18"/>
  <c r="B178" i="18"/>
  <c r="X177" i="18"/>
  <c r="Z177" i="18" s="1"/>
  <c r="L177" i="18"/>
  <c r="N177" i="18" s="1"/>
  <c r="B177" i="18"/>
  <c r="X176" i="18"/>
  <c r="Z176" i="18" s="1"/>
  <c r="L176" i="18"/>
  <c r="N176" i="18" s="1"/>
  <c r="B176" i="18"/>
  <c r="X175" i="18"/>
  <c r="Z175" i="18" s="1"/>
  <c r="N175" i="18"/>
  <c r="L175" i="18"/>
  <c r="B175" i="18"/>
  <c r="X174" i="18"/>
  <c r="Z174" i="18" s="1"/>
  <c r="N174" i="18"/>
  <c r="L174" i="18"/>
  <c r="B174" i="18"/>
  <c r="T173" i="18"/>
  <c r="P173" i="18"/>
  <c r="X173" i="18" s="1"/>
  <c r="Z173" i="18" s="1"/>
  <c r="H173" i="18"/>
  <c r="D173" i="18"/>
  <c r="L173" i="18" s="1"/>
  <c r="N173" i="18" s="1"/>
  <c r="B173" i="18"/>
  <c r="X172" i="18"/>
  <c r="T172" i="18"/>
  <c r="P172" i="18"/>
  <c r="H172" i="18"/>
  <c r="D172" i="18"/>
  <c r="L172" i="18" s="1"/>
  <c r="H170" i="18"/>
  <c r="X168" i="18"/>
  <c r="Z168" i="18" s="1"/>
  <c r="N168" i="18"/>
  <c r="L168" i="18"/>
  <c r="B168" i="18"/>
  <c r="Z167" i="18"/>
  <c r="X167" i="18"/>
  <c r="N167" i="18"/>
  <c r="L167" i="18"/>
  <c r="B167" i="18"/>
  <c r="Z166" i="18"/>
  <c r="X166" i="18"/>
  <c r="L166" i="18"/>
  <c r="N166" i="18" s="1"/>
  <c r="B166" i="18"/>
  <c r="X165" i="18"/>
  <c r="Z165" i="18" s="1"/>
  <c r="N165" i="18"/>
  <c r="L165" i="18"/>
  <c r="B165" i="18"/>
  <c r="X164" i="18"/>
  <c r="Z164" i="18" s="1"/>
  <c r="N164" i="18"/>
  <c r="L164" i="18"/>
  <c r="B164" i="18"/>
  <c r="Z163" i="18"/>
  <c r="X163" i="18"/>
  <c r="N163" i="18"/>
  <c r="L163" i="18"/>
  <c r="B163" i="18"/>
  <c r="Z162" i="18"/>
  <c r="X162" i="18"/>
  <c r="L162" i="18"/>
  <c r="N162" i="18" s="1"/>
  <c r="B162" i="18"/>
  <c r="X161" i="18"/>
  <c r="Z161" i="18" s="1"/>
  <c r="N161" i="18"/>
  <c r="L161" i="18"/>
  <c r="B161" i="18"/>
  <c r="X160" i="18"/>
  <c r="Z160" i="18" s="1"/>
  <c r="N160" i="18"/>
  <c r="L160" i="18"/>
  <c r="B160" i="18"/>
  <c r="Z159" i="18"/>
  <c r="X159" i="18"/>
  <c r="N159" i="18"/>
  <c r="L159" i="18"/>
  <c r="B159" i="18"/>
  <c r="Z158" i="18"/>
  <c r="X158" i="18"/>
  <c r="N158" i="18"/>
  <c r="L158" i="18"/>
  <c r="B158" i="18"/>
  <c r="Z157" i="18"/>
  <c r="X157" i="18"/>
  <c r="N157" i="18"/>
  <c r="L157" i="18"/>
  <c r="B157" i="18"/>
  <c r="X156" i="18"/>
  <c r="Z156" i="18" s="1"/>
  <c r="N156" i="18"/>
  <c r="L156" i="18"/>
  <c r="B156" i="18"/>
  <c r="Z155" i="18"/>
  <c r="X155" i="18"/>
  <c r="N155" i="18"/>
  <c r="L155" i="18"/>
  <c r="B155" i="18"/>
  <c r="Z154" i="18"/>
  <c r="X154" i="18"/>
  <c r="L154" i="18"/>
  <c r="N154" i="18" s="1"/>
  <c r="B154" i="18"/>
  <c r="X153" i="18"/>
  <c r="Z153" i="18" s="1"/>
  <c r="L153" i="18"/>
  <c r="N153" i="18" s="1"/>
  <c r="B153" i="18"/>
  <c r="X152" i="18"/>
  <c r="Z152" i="18" s="1"/>
  <c r="L152" i="18"/>
  <c r="N152" i="18" s="1"/>
  <c r="B152" i="18"/>
  <c r="Z151" i="18"/>
  <c r="X151" i="18"/>
  <c r="N151" i="18"/>
  <c r="L151" i="18"/>
  <c r="B151" i="18"/>
  <c r="Z150" i="18"/>
  <c r="X150" i="18"/>
  <c r="L150" i="18"/>
  <c r="N150" i="18" s="1"/>
  <c r="B150" i="18"/>
  <c r="Z149" i="18"/>
  <c r="X149" i="18"/>
  <c r="N149" i="18"/>
  <c r="L149" i="18"/>
  <c r="B149" i="18"/>
  <c r="X148" i="18"/>
  <c r="Z148" i="18" s="1"/>
  <c r="N148" i="18"/>
  <c r="L148" i="18"/>
  <c r="B148" i="18"/>
  <c r="Z147" i="18"/>
  <c r="X147" i="18"/>
  <c r="N147" i="18"/>
  <c r="L147" i="18"/>
  <c r="B147" i="18"/>
  <c r="X146" i="18"/>
  <c r="Z146" i="18" s="1"/>
  <c r="L146" i="18"/>
  <c r="N146" i="18" s="1"/>
  <c r="B146" i="18"/>
  <c r="Z145" i="18"/>
  <c r="X145" i="18"/>
  <c r="L145" i="18"/>
  <c r="N145" i="18" s="1"/>
  <c r="B145" i="18"/>
  <c r="X144" i="18"/>
  <c r="Z144" i="18" s="1"/>
  <c r="N144" i="18"/>
  <c r="L144" i="18"/>
  <c r="B144" i="18"/>
  <c r="Z143" i="18"/>
  <c r="X143" i="18"/>
  <c r="N143" i="18"/>
  <c r="L143" i="18"/>
  <c r="B143" i="18"/>
  <c r="X142" i="18"/>
  <c r="Z142" i="18" s="1"/>
  <c r="L142" i="18"/>
  <c r="N142" i="18" s="1"/>
  <c r="B142" i="18"/>
  <c r="Z141" i="18"/>
  <c r="X141" i="18"/>
  <c r="L141" i="18"/>
  <c r="N141" i="18" s="1"/>
  <c r="B141" i="18"/>
  <c r="X140" i="18"/>
  <c r="Z140" i="18" s="1"/>
  <c r="N140" i="18"/>
  <c r="L140" i="18"/>
  <c r="B140" i="18"/>
  <c r="Z139" i="18"/>
  <c r="X139" i="18"/>
  <c r="N139" i="18"/>
  <c r="L139" i="18"/>
  <c r="B139" i="18"/>
  <c r="X138" i="18"/>
  <c r="Z138" i="18" s="1"/>
  <c r="L138" i="18"/>
  <c r="N138" i="18" s="1"/>
  <c r="B138" i="18"/>
  <c r="Z137" i="18"/>
  <c r="X137" i="18"/>
  <c r="L137" i="18"/>
  <c r="N137" i="18" s="1"/>
  <c r="B137" i="18"/>
  <c r="X136" i="18"/>
  <c r="Z136" i="18" s="1"/>
  <c r="N136" i="18"/>
  <c r="L136" i="18"/>
  <c r="B136" i="18"/>
  <c r="Z135" i="18"/>
  <c r="X135" i="18"/>
  <c r="N135" i="18"/>
  <c r="L135" i="18"/>
  <c r="B135" i="18"/>
  <c r="X134" i="18"/>
  <c r="Z134" i="18" s="1"/>
  <c r="L134" i="18"/>
  <c r="N134" i="18" s="1"/>
  <c r="B134" i="18"/>
  <c r="X133" i="18"/>
  <c r="Z133" i="18" s="1"/>
  <c r="L133" i="18"/>
  <c r="N133" i="18" s="1"/>
  <c r="B133" i="18"/>
  <c r="X132" i="18"/>
  <c r="Z132" i="18" s="1"/>
  <c r="N132" i="18"/>
  <c r="L132" i="18"/>
  <c r="B132" i="18"/>
  <c r="X131" i="18"/>
  <c r="Z131" i="18" s="1"/>
  <c r="L131" i="18"/>
  <c r="N131" i="18" s="1"/>
  <c r="B131" i="18"/>
  <c r="X130" i="18"/>
  <c r="Z130" i="18" s="1"/>
  <c r="N130" i="18"/>
  <c r="L130" i="18"/>
  <c r="B130" i="18"/>
  <c r="Z129" i="18"/>
  <c r="X129" i="18"/>
  <c r="L129" i="18"/>
  <c r="N129" i="18" s="1"/>
  <c r="B129" i="18"/>
  <c r="X128" i="18"/>
  <c r="Z128" i="18" s="1"/>
  <c r="L128" i="18"/>
  <c r="N128" i="18" s="1"/>
  <c r="B128" i="18"/>
  <c r="X127" i="18"/>
  <c r="Z127" i="18" s="1"/>
  <c r="N127" i="18"/>
  <c r="L127" i="18"/>
  <c r="B127" i="18"/>
  <c r="X126" i="18"/>
  <c r="Z126" i="18" s="1"/>
  <c r="N126" i="18"/>
  <c r="L126" i="18"/>
  <c r="B126" i="18"/>
  <c r="Z125" i="18"/>
  <c r="X125" i="18"/>
  <c r="N125" i="18"/>
  <c r="L125" i="18"/>
  <c r="B125" i="18"/>
  <c r="X124" i="18"/>
  <c r="Z124" i="18" s="1"/>
  <c r="L124" i="18"/>
  <c r="N124" i="18" s="1"/>
  <c r="B124" i="18"/>
  <c r="X123" i="18"/>
  <c r="Z123" i="18" s="1"/>
  <c r="L123" i="18"/>
  <c r="N123" i="18" s="1"/>
  <c r="B123" i="18"/>
  <c r="X122" i="18"/>
  <c r="Z122" i="18" s="1"/>
  <c r="N122" i="18"/>
  <c r="L122" i="18"/>
  <c r="B122" i="18"/>
  <c r="X121" i="18"/>
  <c r="Z121" i="18" s="1"/>
  <c r="L121" i="18"/>
  <c r="N121" i="18" s="1"/>
  <c r="B121" i="18"/>
  <c r="X120" i="18"/>
  <c r="Z120" i="18" s="1"/>
  <c r="N120" i="18"/>
  <c r="L120" i="18"/>
  <c r="B120" i="18"/>
  <c r="X119" i="18"/>
  <c r="Z119" i="18" s="1"/>
  <c r="L119" i="18"/>
  <c r="N119" i="18" s="1"/>
  <c r="B119" i="18"/>
  <c r="X118" i="18"/>
  <c r="Z118" i="18" s="1"/>
  <c r="N118" i="18"/>
  <c r="L118" i="18"/>
  <c r="B118" i="18"/>
  <c r="X117" i="18"/>
  <c r="Z117" i="18" s="1"/>
  <c r="L117" i="18"/>
  <c r="N117" i="18" s="1"/>
  <c r="B117" i="18"/>
  <c r="X116" i="18"/>
  <c r="Z116" i="18" s="1"/>
  <c r="L116" i="18"/>
  <c r="N116" i="18" s="1"/>
  <c r="B116" i="18"/>
  <c r="X115" i="18"/>
  <c r="Z115" i="18" s="1"/>
  <c r="T115" i="18"/>
  <c r="P115" i="18"/>
  <c r="H115" i="18"/>
  <c r="D115" i="18"/>
  <c r="L115" i="18" s="1"/>
  <c r="N115" i="18" s="1"/>
  <c r="X113" i="18"/>
  <c r="T113" i="18"/>
  <c r="Z113" i="18" s="1"/>
  <c r="P113" i="18"/>
  <c r="N113" i="18"/>
  <c r="L113" i="18"/>
  <c r="H113" i="18"/>
  <c r="D113" i="18"/>
  <c r="B113" i="18"/>
  <c r="Z112" i="18"/>
  <c r="T112" i="18"/>
  <c r="P112" i="18"/>
  <c r="X112" i="18" s="1"/>
  <c r="N112" i="18"/>
  <c r="H112" i="18"/>
  <c r="D112" i="18"/>
  <c r="L112" i="18" s="1"/>
  <c r="B112" i="18"/>
  <c r="T111" i="18"/>
  <c r="Z111" i="18" s="1"/>
  <c r="P111" i="18"/>
  <c r="X111" i="18" s="1"/>
  <c r="H111" i="18"/>
  <c r="N111" i="18" s="1"/>
  <c r="D111" i="18"/>
  <c r="L111" i="18" s="1"/>
  <c r="B111" i="18"/>
  <c r="X110" i="18"/>
  <c r="T110" i="18"/>
  <c r="P110" i="18"/>
  <c r="H110" i="18"/>
  <c r="D110" i="18"/>
  <c r="B110" i="18"/>
  <c r="X109" i="18"/>
  <c r="T109" i="18"/>
  <c r="P109" i="18"/>
  <c r="N109" i="18"/>
  <c r="L109" i="18"/>
  <c r="H109" i="18"/>
  <c r="D109" i="18"/>
  <c r="B109" i="18"/>
  <c r="Z108" i="18"/>
  <c r="T108" i="18"/>
  <c r="P108" i="18"/>
  <c r="X108" i="18" s="1"/>
  <c r="N108" i="18"/>
  <c r="H108" i="18"/>
  <c r="D108" i="18"/>
  <c r="L108" i="18" s="1"/>
  <c r="B108" i="18"/>
  <c r="T107" i="18"/>
  <c r="P107" i="18"/>
  <c r="X107" i="18" s="1"/>
  <c r="H107" i="18"/>
  <c r="D107" i="18"/>
  <c r="L107" i="18" s="1"/>
  <c r="B107" i="18"/>
  <c r="X106" i="18"/>
  <c r="T106" i="18"/>
  <c r="Z106" i="18" s="1"/>
  <c r="P106" i="18"/>
  <c r="H106" i="18"/>
  <c r="D106" i="18"/>
  <c r="B106" i="18"/>
  <c r="X105" i="18"/>
  <c r="T105" i="18"/>
  <c r="Z105" i="18" s="1"/>
  <c r="P105" i="18"/>
  <c r="N105" i="18"/>
  <c r="L105" i="18"/>
  <c r="H105" i="18"/>
  <c r="D105" i="18"/>
  <c r="B105" i="18"/>
  <c r="T104" i="18"/>
  <c r="P104" i="18"/>
  <c r="X104" i="18" s="1"/>
  <c r="Z104" i="18" s="1"/>
  <c r="N104" i="18"/>
  <c r="H104" i="18"/>
  <c r="D104" i="18"/>
  <c r="L104" i="18" s="1"/>
  <c r="B104" i="18"/>
  <c r="T103" i="18"/>
  <c r="Z103" i="18" s="1"/>
  <c r="P103" i="18"/>
  <c r="X103" i="18" s="1"/>
  <c r="H103" i="18"/>
  <c r="N103" i="18" s="1"/>
  <c r="D103" i="18"/>
  <c r="L103" i="18" s="1"/>
  <c r="B103" i="18"/>
  <c r="X102" i="18"/>
  <c r="T102" i="18"/>
  <c r="Z102" i="18" s="1"/>
  <c r="P102" i="18"/>
  <c r="H102" i="18"/>
  <c r="D102" i="18"/>
  <c r="B102" i="18"/>
  <c r="X101" i="18"/>
  <c r="T101" i="18"/>
  <c r="Z101" i="18" s="1"/>
  <c r="P101" i="18"/>
  <c r="N101" i="18"/>
  <c r="L101" i="18"/>
  <c r="H101" i="18"/>
  <c r="D101" i="18"/>
  <c r="B101" i="18"/>
  <c r="T100" i="18"/>
  <c r="P100" i="18"/>
  <c r="X100" i="18" s="1"/>
  <c r="Z100" i="18" s="1"/>
  <c r="N100" i="18"/>
  <c r="H100" i="18"/>
  <c r="D100" i="18"/>
  <c r="L100" i="18" s="1"/>
  <c r="B100" i="18"/>
  <c r="T99" i="18"/>
  <c r="Z99" i="18" s="1"/>
  <c r="P99" i="18"/>
  <c r="X99" i="18" s="1"/>
  <c r="H99" i="18"/>
  <c r="N99" i="18" s="1"/>
  <c r="D99" i="18"/>
  <c r="L99" i="18" s="1"/>
  <c r="B99" i="18"/>
  <c r="X98" i="18"/>
  <c r="T98" i="18"/>
  <c r="Z98" i="18" s="1"/>
  <c r="P98" i="18"/>
  <c r="H98" i="18"/>
  <c r="N98" i="18" s="1"/>
  <c r="D98" i="18"/>
  <c r="B98" i="18"/>
  <c r="X97" i="18"/>
  <c r="T97" i="18"/>
  <c r="P97" i="18"/>
  <c r="N97" i="18"/>
  <c r="L97" i="18"/>
  <c r="H97" i="18"/>
  <c r="D97" i="18"/>
  <c r="B97" i="18"/>
  <c r="T96" i="18"/>
  <c r="P96" i="18"/>
  <c r="X96" i="18" s="1"/>
  <c r="Z96" i="18" s="1"/>
  <c r="H96" i="18"/>
  <c r="D96" i="18"/>
  <c r="L96" i="18" s="1"/>
  <c r="N96" i="18" s="1"/>
  <c r="B96" i="18"/>
  <c r="T95" i="18"/>
  <c r="Z95" i="18" s="1"/>
  <c r="P95" i="18"/>
  <c r="X95" i="18" s="1"/>
  <c r="H95" i="18"/>
  <c r="D95" i="18"/>
  <c r="L95" i="18" s="1"/>
  <c r="N95" i="18" s="1"/>
  <c r="B95" i="18"/>
  <c r="X94" i="18"/>
  <c r="T94" i="18"/>
  <c r="Z94" i="18" s="1"/>
  <c r="P94" i="18"/>
  <c r="H94" i="18"/>
  <c r="D94" i="18"/>
  <c r="B94" i="18"/>
  <c r="X93" i="18"/>
  <c r="T93" i="18"/>
  <c r="Z93" i="18" s="1"/>
  <c r="P93" i="18"/>
  <c r="N93" i="18"/>
  <c r="L93" i="18"/>
  <c r="H93" i="18"/>
  <c r="D93" i="18"/>
  <c r="B93" i="18"/>
  <c r="T92" i="18"/>
  <c r="X92" i="18" s="1"/>
  <c r="Z92" i="18" s="1"/>
  <c r="P92" i="18"/>
  <c r="N92" i="18"/>
  <c r="H92" i="18"/>
  <c r="D92" i="18"/>
  <c r="L92" i="18" s="1"/>
  <c r="B92" i="18"/>
  <c r="T91" i="18"/>
  <c r="Z91" i="18" s="1"/>
  <c r="P91" i="18"/>
  <c r="X91" i="18" s="1"/>
  <c r="H91" i="18"/>
  <c r="D91" i="18"/>
  <c r="L91" i="18" s="1"/>
  <c r="N91" i="18" s="1"/>
  <c r="B91" i="18"/>
  <c r="X90" i="18"/>
  <c r="T90" i="18"/>
  <c r="P90" i="18"/>
  <c r="H90" i="18"/>
  <c r="D90" i="18"/>
  <c r="B90" i="18"/>
  <c r="X89" i="18"/>
  <c r="T89" i="18"/>
  <c r="P89" i="18"/>
  <c r="N89" i="18"/>
  <c r="L89" i="18"/>
  <c r="H89" i="18"/>
  <c r="D89" i="18"/>
  <c r="B89" i="18"/>
  <c r="T88" i="18"/>
  <c r="X88" i="18" s="1"/>
  <c r="Z88" i="18" s="1"/>
  <c r="P88" i="18"/>
  <c r="N88" i="18"/>
  <c r="H88" i="18"/>
  <c r="D88" i="18"/>
  <c r="L88" i="18" s="1"/>
  <c r="B88" i="18"/>
  <c r="T87" i="18"/>
  <c r="P87" i="18"/>
  <c r="X87" i="18" s="1"/>
  <c r="H87" i="18"/>
  <c r="D87" i="18"/>
  <c r="L87" i="18" s="1"/>
  <c r="N87" i="18" s="1"/>
  <c r="B87" i="18"/>
  <c r="X86" i="18"/>
  <c r="T86" i="18"/>
  <c r="P86" i="18"/>
  <c r="H86" i="18"/>
  <c r="D86" i="18"/>
  <c r="B86" i="18"/>
  <c r="X85" i="18"/>
  <c r="T85" i="18"/>
  <c r="P85" i="18"/>
  <c r="N85" i="18"/>
  <c r="L85" i="18"/>
  <c r="H85" i="18"/>
  <c r="D85" i="18"/>
  <c r="B85" i="18"/>
  <c r="T84" i="18"/>
  <c r="X84" i="18" s="1"/>
  <c r="Z84" i="18" s="1"/>
  <c r="P84" i="18"/>
  <c r="H84" i="18"/>
  <c r="D84" i="18"/>
  <c r="L84" i="18" s="1"/>
  <c r="N84" i="18" s="1"/>
  <c r="B84" i="18"/>
  <c r="T83" i="18"/>
  <c r="P83" i="18"/>
  <c r="X83" i="18" s="1"/>
  <c r="H83" i="18"/>
  <c r="D83" i="18"/>
  <c r="L83" i="18" s="1"/>
  <c r="N83" i="18" s="1"/>
  <c r="B83" i="18"/>
  <c r="X82" i="18"/>
  <c r="T82" i="18"/>
  <c r="Z82" i="18" s="1"/>
  <c r="P82" i="18"/>
  <c r="H82" i="18"/>
  <c r="D82" i="18"/>
  <c r="B82" i="18"/>
  <c r="X81" i="18"/>
  <c r="T81" i="18"/>
  <c r="Z81" i="18" s="1"/>
  <c r="P81" i="18"/>
  <c r="N81" i="18"/>
  <c r="L81" i="18"/>
  <c r="H81" i="18"/>
  <c r="D81" i="18"/>
  <c r="B81" i="18"/>
  <c r="T80" i="18"/>
  <c r="X80" i="18" s="1"/>
  <c r="Z80" i="18" s="1"/>
  <c r="P80" i="18"/>
  <c r="N80" i="18"/>
  <c r="H80" i="18"/>
  <c r="D80" i="18"/>
  <c r="L80" i="18" s="1"/>
  <c r="B80" i="18"/>
  <c r="T79" i="18"/>
  <c r="Z79" i="18" s="1"/>
  <c r="P79" i="18"/>
  <c r="X79" i="18" s="1"/>
  <c r="N79" i="18"/>
  <c r="H79" i="18"/>
  <c r="D79" i="18"/>
  <c r="L79" i="18" s="1"/>
  <c r="B79" i="18"/>
  <c r="X78" i="18"/>
  <c r="T78" i="18"/>
  <c r="P78" i="18"/>
  <c r="H78" i="18"/>
  <c r="D78" i="18"/>
  <c r="B78" i="18"/>
  <c r="X77" i="18"/>
  <c r="T77" i="18"/>
  <c r="P77" i="18"/>
  <c r="N77" i="18"/>
  <c r="L77" i="18"/>
  <c r="H77" i="18"/>
  <c r="D77" i="18"/>
  <c r="B77" i="18"/>
  <c r="T76" i="18"/>
  <c r="X76" i="18" s="1"/>
  <c r="Z76" i="18" s="1"/>
  <c r="P76" i="18"/>
  <c r="H76" i="18"/>
  <c r="D76" i="18"/>
  <c r="L76" i="18" s="1"/>
  <c r="N76" i="18" s="1"/>
  <c r="B76" i="18"/>
  <c r="T75" i="18"/>
  <c r="Z75" i="18" s="1"/>
  <c r="P75" i="18"/>
  <c r="X75" i="18" s="1"/>
  <c r="H75" i="18"/>
  <c r="D75" i="18"/>
  <c r="L75" i="18" s="1"/>
  <c r="N75" i="18" s="1"/>
  <c r="B75" i="18"/>
  <c r="X74" i="18"/>
  <c r="T74" i="18"/>
  <c r="Z74" i="18" s="1"/>
  <c r="P74" i="18"/>
  <c r="H74" i="18"/>
  <c r="D74" i="18"/>
  <c r="B74" i="18"/>
  <c r="X73" i="18"/>
  <c r="T73" i="18"/>
  <c r="Z73" i="18" s="1"/>
  <c r="P73" i="18"/>
  <c r="N73" i="18"/>
  <c r="L73" i="18"/>
  <c r="H73" i="18"/>
  <c r="D73" i="18"/>
  <c r="B73" i="18"/>
  <c r="T72" i="18"/>
  <c r="X72" i="18" s="1"/>
  <c r="Z72" i="18" s="1"/>
  <c r="P72" i="18"/>
  <c r="H72" i="18"/>
  <c r="D72" i="18"/>
  <c r="L72" i="18" s="1"/>
  <c r="N72" i="18" s="1"/>
  <c r="B72" i="18"/>
  <c r="T71" i="18"/>
  <c r="Z71" i="18" s="1"/>
  <c r="P71" i="18"/>
  <c r="X71" i="18" s="1"/>
  <c r="H71" i="18"/>
  <c r="D71" i="18"/>
  <c r="L71" i="18" s="1"/>
  <c r="N71" i="18" s="1"/>
  <c r="B71" i="18"/>
  <c r="X70" i="18"/>
  <c r="T70" i="18"/>
  <c r="P70" i="18"/>
  <c r="H70" i="18"/>
  <c r="D70" i="18"/>
  <c r="B70" i="18"/>
  <c r="X69" i="18"/>
  <c r="T69" i="18"/>
  <c r="P69" i="18"/>
  <c r="N69" i="18"/>
  <c r="L69" i="18"/>
  <c r="H69" i="18"/>
  <c r="D69" i="18"/>
  <c r="B69" i="18"/>
  <c r="T68" i="18"/>
  <c r="X68" i="18" s="1"/>
  <c r="Z68" i="18" s="1"/>
  <c r="P68" i="18"/>
  <c r="N68" i="18"/>
  <c r="H68" i="18"/>
  <c r="D68" i="18"/>
  <c r="L68" i="18" s="1"/>
  <c r="B68" i="18"/>
  <c r="T67" i="18"/>
  <c r="P67" i="18"/>
  <c r="X67" i="18" s="1"/>
  <c r="H67" i="18"/>
  <c r="D67" i="18"/>
  <c r="L67" i="18" s="1"/>
  <c r="N67" i="18" s="1"/>
  <c r="B67" i="18"/>
  <c r="X66" i="18"/>
  <c r="T66" i="18"/>
  <c r="Z66" i="18" s="1"/>
  <c r="P66" i="18"/>
  <c r="H66" i="18"/>
  <c r="D66" i="18"/>
  <c r="B66" i="18"/>
  <c r="X65" i="18"/>
  <c r="T65" i="18"/>
  <c r="P65" i="18"/>
  <c r="N65" i="18"/>
  <c r="L65" i="18"/>
  <c r="H65" i="18"/>
  <c r="D65" i="18"/>
  <c r="B65" i="18"/>
  <c r="T64" i="18"/>
  <c r="X64" i="18" s="1"/>
  <c r="Z64" i="18" s="1"/>
  <c r="P64" i="18"/>
  <c r="H64" i="18"/>
  <c r="D64" i="18"/>
  <c r="L64" i="18" s="1"/>
  <c r="N64" i="18" s="1"/>
  <c r="B64" i="18"/>
  <c r="T63" i="18"/>
  <c r="P63" i="18"/>
  <c r="X63" i="18" s="1"/>
  <c r="H63" i="18"/>
  <c r="D63" i="18"/>
  <c r="L63" i="18" s="1"/>
  <c r="N63" i="18" s="1"/>
  <c r="B63" i="18"/>
  <c r="X62" i="18"/>
  <c r="T62" i="18"/>
  <c r="P62" i="18"/>
  <c r="H62" i="18"/>
  <c r="D62" i="18"/>
  <c r="B62" i="18"/>
  <c r="X61" i="18"/>
  <c r="T61" i="18"/>
  <c r="P61" i="18"/>
  <c r="N61" i="18"/>
  <c r="L61" i="18"/>
  <c r="H61" i="18"/>
  <c r="D61" i="18"/>
  <c r="B61" i="18"/>
  <c r="T60" i="18"/>
  <c r="X60" i="18" s="1"/>
  <c r="Z60" i="18" s="1"/>
  <c r="P60" i="18"/>
  <c r="N60" i="18"/>
  <c r="H60" i="18"/>
  <c r="D60" i="18"/>
  <c r="L60" i="18" s="1"/>
  <c r="B60" i="18"/>
  <c r="T59" i="18"/>
  <c r="Z59" i="18" s="1"/>
  <c r="P59" i="18"/>
  <c r="X59" i="18" s="1"/>
  <c r="H59" i="18"/>
  <c r="D59" i="18"/>
  <c r="L59" i="18" s="1"/>
  <c r="N59" i="18" s="1"/>
  <c r="B59" i="18"/>
  <c r="X58" i="18"/>
  <c r="T58" i="18"/>
  <c r="Z58" i="18" s="1"/>
  <c r="P58" i="18"/>
  <c r="H58" i="18"/>
  <c r="D58" i="18"/>
  <c r="B58" i="18"/>
  <c r="X57" i="18"/>
  <c r="T57" i="18"/>
  <c r="Z57" i="18" s="1"/>
  <c r="P57" i="18"/>
  <c r="N57" i="18"/>
  <c r="L57" i="18"/>
  <c r="H57" i="18"/>
  <c r="D57" i="18"/>
  <c r="B57" i="18"/>
  <c r="T56" i="18"/>
  <c r="X56" i="18" s="1"/>
  <c r="Z56" i="18" s="1"/>
  <c r="P56" i="18"/>
  <c r="N56" i="18"/>
  <c r="H56" i="18"/>
  <c r="D56" i="18"/>
  <c r="L56" i="18" s="1"/>
  <c r="B56" i="18"/>
  <c r="T55" i="18"/>
  <c r="P55" i="18"/>
  <c r="X55" i="18" s="1"/>
  <c r="H55" i="18"/>
  <c r="D55" i="18"/>
  <c r="L55" i="18" s="1"/>
  <c r="B55" i="18"/>
  <c r="X54" i="18"/>
  <c r="T54" i="18"/>
  <c r="P54" i="18"/>
  <c r="H54" i="18"/>
  <c r="D54" i="18"/>
  <c r="B54" i="18"/>
  <c r="X53" i="18"/>
  <c r="T53" i="18"/>
  <c r="P53" i="18"/>
  <c r="N53" i="18"/>
  <c r="L53" i="18"/>
  <c r="H53" i="18"/>
  <c r="D53" i="18"/>
  <c r="B53" i="18"/>
  <c r="T52" i="18"/>
  <c r="X52" i="18" s="1"/>
  <c r="Z52" i="18" s="1"/>
  <c r="P52" i="18"/>
  <c r="H52" i="18"/>
  <c r="D52" i="18"/>
  <c r="L52" i="18" s="1"/>
  <c r="N52" i="18" s="1"/>
  <c r="B52" i="18"/>
  <c r="T51" i="18"/>
  <c r="Z51" i="18" s="1"/>
  <c r="P51" i="18"/>
  <c r="X51" i="18" s="1"/>
  <c r="H51" i="18"/>
  <c r="D51" i="18"/>
  <c r="L51" i="18" s="1"/>
  <c r="N51" i="18" s="1"/>
  <c r="B51" i="18"/>
  <c r="X50" i="18"/>
  <c r="T50" i="18"/>
  <c r="Z50" i="18" s="1"/>
  <c r="P50" i="18"/>
  <c r="H50" i="18"/>
  <c r="D50" i="18"/>
  <c r="B50" i="18"/>
  <c r="X49" i="18"/>
  <c r="T49" i="18"/>
  <c r="Z49" i="18" s="1"/>
  <c r="P49" i="18"/>
  <c r="N49" i="18"/>
  <c r="L49" i="18"/>
  <c r="H49" i="18"/>
  <c r="D49" i="18"/>
  <c r="B49" i="18"/>
  <c r="T48" i="18"/>
  <c r="X48" i="18" s="1"/>
  <c r="Z48" i="18" s="1"/>
  <c r="P48" i="18"/>
  <c r="H48" i="18"/>
  <c r="D48" i="18"/>
  <c r="L48" i="18" s="1"/>
  <c r="N48" i="18" s="1"/>
  <c r="B48" i="18"/>
  <c r="T47" i="18"/>
  <c r="P47" i="18"/>
  <c r="X47" i="18" s="1"/>
  <c r="H47" i="18"/>
  <c r="D47" i="18"/>
  <c r="L47" i="18" s="1"/>
  <c r="N47" i="18" s="1"/>
  <c r="B47" i="18"/>
  <c r="X46" i="18"/>
  <c r="T46" i="18"/>
  <c r="P46" i="18"/>
  <c r="H46" i="18"/>
  <c r="D46" i="18"/>
  <c r="B46" i="18"/>
  <c r="X45" i="18"/>
  <c r="T45" i="18"/>
  <c r="P45" i="18"/>
  <c r="N45" i="18"/>
  <c r="L45" i="18"/>
  <c r="H45" i="18"/>
  <c r="D45" i="18"/>
  <c r="B45" i="18"/>
  <c r="T44" i="18"/>
  <c r="P44" i="18"/>
  <c r="X44" i="18" s="1"/>
  <c r="Z44" i="18" s="1"/>
  <c r="N44" i="18"/>
  <c r="H44" i="18"/>
  <c r="D44" i="18"/>
  <c r="L44" i="18" s="1"/>
  <c r="B44" i="18"/>
  <c r="T43" i="18"/>
  <c r="P43" i="18"/>
  <c r="X43" i="18" s="1"/>
  <c r="H43" i="18"/>
  <c r="D43" i="18"/>
  <c r="L43" i="18" s="1"/>
  <c r="N43" i="18" s="1"/>
  <c r="B43" i="18"/>
  <c r="X42" i="18"/>
  <c r="T42" i="18"/>
  <c r="P42" i="18"/>
  <c r="H42" i="18"/>
  <c r="N42" i="18" s="1"/>
  <c r="D42" i="18"/>
  <c r="B42" i="18"/>
  <c r="X41" i="18"/>
  <c r="T41" i="18"/>
  <c r="P41" i="18"/>
  <c r="N41" i="18"/>
  <c r="L41" i="18"/>
  <c r="H41" i="18"/>
  <c r="D41" i="18"/>
  <c r="B41" i="18"/>
  <c r="T40" i="18"/>
  <c r="X40" i="18" s="1"/>
  <c r="Z40" i="18" s="1"/>
  <c r="P40" i="18"/>
  <c r="N40" i="18"/>
  <c r="H40" i="18"/>
  <c r="D40" i="18"/>
  <c r="L40" i="18" s="1"/>
  <c r="B40" i="18"/>
  <c r="T39" i="18"/>
  <c r="P39" i="18"/>
  <c r="X39" i="18" s="1"/>
  <c r="H39" i="18"/>
  <c r="D39" i="18"/>
  <c r="L39" i="18" s="1"/>
  <c r="N39" i="18" s="1"/>
  <c r="B39" i="18"/>
  <c r="X38" i="18"/>
  <c r="T38" i="18"/>
  <c r="Z38" i="18" s="1"/>
  <c r="P38" i="18"/>
  <c r="L38" i="18"/>
  <c r="H38" i="18"/>
  <c r="N38" i="18" s="1"/>
  <c r="D38" i="18"/>
  <c r="B38" i="18"/>
  <c r="X37" i="18"/>
  <c r="T37" i="18"/>
  <c r="Z37" i="18" s="1"/>
  <c r="P37" i="18"/>
  <c r="N37" i="18"/>
  <c r="L37" i="18"/>
  <c r="H37" i="18"/>
  <c r="D37" i="18"/>
  <c r="B37" i="18"/>
  <c r="T36" i="18"/>
  <c r="X36" i="18" s="1"/>
  <c r="Z36" i="18" s="1"/>
  <c r="P36" i="18"/>
  <c r="H36" i="18"/>
  <c r="D36" i="18"/>
  <c r="L36" i="18" s="1"/>
  <c r="N36" i="18" s="1"/>
  <c r="B36" i="18"/>
  <c r="T35" i="18"/>
  <c r="P35" i="18"/>
  <c r="X35" i="18" s="1"/>
  <c r="H35" i="18"/>
  <c r="D35" i="18"/>
  <c r="L35" i="18" s="1"/>
  <c r="N35" i="18" s="1"/>
  <c r="B35" i="18"/>
  <c r="X34" i="18"/>
  <c r="T34" i="18"/>
  <c r="P34" i="18"/>
  <c r="L34" i="18"/>
  <c r="H34" i="18"/>
  <c r="N34" i="18" s="1"/>
  <c r="D34" i="18"/>
  <c r="B34" i="18"/>
  <c r="X33" i="18"/>
  <c r="T33" i="18"/>
  <c r="Z33" i="18" s="1"/>
  <c r="P33" i="18"/>
  <c r="N33" i="18"/>
  <c r="L33" i="18"/>
  <c r="H33" i="18"/>
  <c r="D33" i="18"/>
  <c r="B33" i="18"/>
  <c r="T32" i="18"/>
  <c r="X32" i="18" s="1"/>
  <c r="Z32" i="18" s="1"/>
  <c r="P32" i="18"/>
  <c r="N32" i="18"/>
  <c r="H32" i="18"/>
  <c r="D32" i="18"/>
  <c r="L32" i="18" s="1"/>
  <c r="B32" i="18"/>
  <c r="T31" i="18"/>
  <c r="P31" i="18"/>
  <c r="X31" i="18" s="1"/>
  <c r="H31" i="18"/>
  <c r="D31" i="18"/>
  <c r="L31" i="18" s="1"/>
  <c r="N31" i="18" s="1"/>
  <c r="B31" i="18"/>
  <c r="X30" i="18"/>
  <c r="T30" i="18"/>
  <c r="Z30" i="18" s="1"/>
  <c r="P30" i="18"/>
  <c r="L30" i="18"/>
  <c r="H30" i="18"/>
  <c r="N30" i="18" s="1"/>
  <c r="D30" i="18"/>
  <c r="B30" i="18"/>
  <c r="X29" i="18"/>
  <c r="T29" i="18"/>
  <c r="Z29" i="18" s="1"/>
  <c r="P29" i="18"/>
  <c r="N29" i="18"/>
  <c r="L29" i="18"/>
  <c r="H29" i="18"/>
  <c r="D29" i="18"/>
  <c r="B29" i="18"/>
  <c r="T28" i="18"/>
  <c r="X28" i="18" s="1"/>
  <c r="Z28" i="18" s="1"/>
  <c r="P28" i="18"/>
  <c r="H28" i="18"/>
  <c r="D28" i="18"/>
  <c r="L28" i="18" s="1"/>
  <c r="N28" i="18" s="1"/>
  <c r="B28" i="18"/>
  <c r="T27" i="18"/>
  <c r="P27" i="18"/>
  <c r="X27" i="18" s="1"/>
  <c r="H27" i="18"/>
  <c r="D27" i="18"/>
  <c r="L27" i="18" s="1"/>
  <c r="N27" i="18" s="1"/>
  <c r="B27" i="18"/>
  <c r="X26" i="18"/>
  <c r="T26" i="18"/>
  <c r="Z26" i="18" s="1"/>
  <c r="P26" i="18"/>
  <c r="L26" i="18"/>
  <c r="H26" i="18"/>
  <c r="N26" i="18" s="1"/>
  <c r="D26" i="18"/>
  <c r="B26" i="18"/>
  <c r="X25" i="18"/>
  <c r="T25" i="18"/>
  <c r="Z25" i="18" s="1"/>
  <c r="P25" i="18"/>
  <c r="N25" i="18"/>
  <c r="L25" i="18"/>
  <c r="H25" i="18"/>
  <c r="D25" i="18"/>
  <c r="B25" i="18"/>
  <c r="T24" i="18"/>
  <c r="P24" i="18"/>
  <c r="X24" i="18" s="1"/>
  <c r="Z24" i="18" s="1"/>
  <c r="H24" i="18"/>
  <c r="D24" i="18"/>
  <c r="L24" i="18" s="1"/>
  <c r="N24" i="18" s="1"/>
  <c r="B24" i="18"/>
  <c r="T23" i="18"/>
  <c r="P23" i="18"/>
  <c r="X23" i="18" s="1"/>
  <c r="H23" i="18"/>
  <c r="N23" i="18" s="1"/>
  <c r="D23" i="18"/>
  <c r="L23" i="18" s="1"/>
  <c r="B23" i="18"/>
  <c r="X22" i="18"/>
  <c r="T22" i="18"/>
  <c r="P22" i="18"/>
  <c r="L22" i="18"/>
  <c r="H22" i="18"/>
  <c r="N22" i="18" s="1"/>
  <c r="D22" i="18"/>
  <c r="B22" i="18"/>
  <c r="X21" i="18"/>
  <c r="T21" i="18"/>
  <c r="Z21" i="18" s="1"/>
  <c r="P21" i="18"/>
  <c r="N21" i="18"/>
  <c r="L21" i="18"/>
  <c r="H21" i="18"/>
  <c r="D21" i="18"/>
  <c r="B21" i="18"/>
  <c r="T20" i="18"/>
  <c r="P20" i="18"/>
  <c r="X20" i="18" s="1"/>
  <c r="Z20" i="18" s="1"/>
  <c r="N20" i="18"/>
  <c r="H20" i="18"/>
  <c r="D20" i="18"/>
  <c r="L20" i="18" s="1"/>
  <c r="B20" i="18"/>
  <c r="T19" i="18"/>
  <c r="Z19" i="18" s="1"/>
  <c r="P19" i="18"/>
  <c r="X19" i="18" s="1"/>
  <c r="H19" i="18"/>
  <c r="D19" i="18"/>
  <c r="B19" i="18"/>
  <c r="X18" i="18"/>
  <c r="T18" i="18"/>
  <c r="P18" i="18"/>
  <c r="L18" i="18"/>
  <c r="H18" i="18"/>
  <c r="N18" i="18" s="1"/>
  <c r="D18" i="18"/>
  <c r="B18" i="18"/>
  <c r="X17" i="18"/>
  <c r="T17" i="18"/>
  <c r="P17" i="18"/>
  <c r="N17" i="18"/>
  <c r="L17" i="18"/>
  <c r="H17" i="18"/>
  <c r="D17" i="18"/>
  <c r="B17" i="18"/>
  <c r="T16" i="18"/>
  <c r="P16" i="18"/>
  <c r="X16" i="18" s="1"/>
  <c r="H16" i="18"/>
  <c r="D16" i="18"/>
  <c r="L16" i="18" s="1"/>
  <c r="N16" i="18" s="1"/>
  <c r="B16" i="18"/>
  <c r="T15" i="18"/>
  <c r="P15" i="18"/>
  <c r="X15" i="18" s="1"/>
  <c r="H15" i="18"/>
  <c r="D15" i="18"/>
  <c r="L15" i="18" s="1"/>
  <c r="B15" i="18"/>
  <c r="X14" i="18"/>
  <c r="T14" i="18"/>
  <c r="Z14" i="18" s="1"/>
  <c r="P14" i="18"/>
  <c r="L14" i="18"/>
  <c r="H14" i="18"/>
  <c r="H12" i="18" s="1"/>
  <c r="J225" i="18" s="1"/>
  <c r="D14" i="18"/>
  <c r="B14" i="18"/>
  <c r="X13" i="18"/>
  <c r="T13" i="18"/>
  <c r="T12" i="18" s="1"/>
  <c r="V230" i="18" s="1"/>
  <c r="P13" i="18"/>
  <c r="N13" i="18"/>
  <c r="L13" i="18"/>
  <c r="H13" i="18"/>
  <c r="D13" i="18"/>
  <c r="B13" i="18"/>
  <c r="D4" i="18"/>
  <c r="Z246" i="15"/>
  <c r="X246" i="15"/>
  <c r="L246" i="15"/>
  <c r="N246" i="15" s="1"/>
  <c r="Z242" i="15"/>
  <c r="X242" i="15"/>
  <c r="T242" i="15"/>
  <c r="P242" i="15"/>
  <c r="H242" i="15"/>
  <c r="N242" i="15" s="1"/>
  <c r="D242" i="15"/>
  <c r="B242" i="15"/>
  <c r="T241" i="15"/>
  <c r="P241" i="15"/>
  <c r="X241" i="15" s="1"/>
  <c r="Z241" i="15" s="1"/>
  <c r="J241" i="15"/>
  <c r="H241" i="15"/>
  <c r="D241" i="15"/>
  <c r="L241" i="15" s="1"/>
  <c r="B241" i="15"/>
  <c r="T240" i="15"/>
  <c r="P240" i="15"/>
  <c r="L240" i="15"/>
  <c r="N240" i="15" s="1"/>
  <c r="H240" i="15"/>
  <c r="D240" i="15"/>
  <c r="B240" i="15"/>
  <c r="T239" i="15"/>
  <c r="P239" i="15"/>
  <c r="X239" i="15" s="1"/>
  <c r="Z239" i="15" s="1"/>
  <c r="H239" i="15"/>
  <c r="L239" i="15" s="1"/>
  <c r="D239" i="15"/>
  <c r="B239" i="15"/>
  <c r="T238" i="15"/>
  <c r="P238" i="15"/>
  <c r="X238" i="15" s="1"/>
  <c r="Z238" i="15" s="1"/>
  <c r="J238" i="15"/>
  <c r="H238" i="15"/>
  <c r="H235" i="15" s="1"/>
  <c r="D238" i="15"/>
  <c r="L238" i="15" s="1"/>
  <c r="N238" i="15" s="1"/>
  <c r="B238" i="15"/>
  <c r="T237" i="15"/>
  <c r="R237" i="15"/>
  <c r="P237" i="15"/>
  <c r="X237" i="15" s="1"/>
  <c r="Z237" i="15" s="1"/>
  <c r="L237" i="15"/>
  <c r="H237" i="15"/>
  <c r="D237" i="15"/>
  <c r="B237" i="15"/>
  <c r="T236" i="15"/>
  <c r="P236" i="15"/>
  <c r="X236" i="15" s="1"/>
  <c r="N236" i="15"/>
  <c r="L236" i="15"/>
  <c r="H236" i="15"/>
  <c r="D236" i="15"/>
  <c r="D235" i="15" s="1"/>
  <c r="B236" i="15"/>
  <c r="P235" i="15"/>
  <c r="X233" i="15"/>
  <c r="Z233" i="15" s="1"/>
  <c r="V233" i="15"/>
  <c r="L233" i="15"/>
  <c r="N233" i="15" s="1"/>
  <c r="B233" i="15"/>
  <c r="T232" i="15"/>
  <c r="P232" i="15"/>
  <c r="X232" i="15" s="1"/>
  <c r="Z232" i="15" s="1"/>
  <c r="J232" i="15"/>
  <c r="H232" i="15"/>
  <c r="D232" i="15"/>
  <c r="L232" i="15" s="1"/>
  <c r="N232" i="15" s="1"/>
  <c r="B232" i="15"/>
  <c r="Z231" i="15"/>
  <c r="X231" i="15"/>
  <c r="N231" i="15"/>
  <c r="L231" i="15"/>
  <c r="B231" i="15"/>
  <c r="X230" i="15"/>
  <c r="Z230" i="15" s="1"/>
  <c r="N230" i="15"/>
  <c r="L230" i="15"/>
  <c r="B230" i="15"/>
  <c r="X229" i="15"/>
  <c r="Z229" i="15" s="1"/>
  <c r="L229" i="15"/>
  <c r="N229" i="15" s="1"/>
  <c r="B229" i="15"/>
  <c r="X228" i="15"/>
  <c r="T228" i="15"/>
  <c r="Z228" i="15" s="1"/>
  <c r="R228" i="15"/>
  <c r="P228" i="15"/>
  <c r="H228" i="15"/>
  <c r="D228" i="15"/>
  <c r="L228" i="15" s="1"/>
  <c r="B228" i="15"/>
  <c r="Z227" i="15"/>
  <c r="X227" i="15"/>
  <c r="R227" i="15"/>
  <c r="N227" i="15"/>
  <c r="L227" i="15"/>
  <c r="B227" i="15"/>
  <c r="T226" i="15"/>
  <c r="P226" i="15"/>
  <c r="N226" i="15"/>
  <c r="L226" i="15"/>
  <c r="H226" i="15"/>
  <c r="D226" i="15"/>
  <c r="B226" i="15"/>
  <c r="Z225" i="15"/>
  <c r="X225" i="15"/>
  <c r="L225" i="15"/>
  <c r="N225" i="15" s="1"/>
  <c r="B225" i="15"/>
  <c r="X224" i="15"/>
  <c r="Z224" i="15" s="1"/>
  <c r="L224" i="15"/>
  <c r="N224" i="15" s="1"/>
  <c r="B224" i="15"/>
  <c r="T223" i="15"/>
  <c r="P223" i="15"/>
  <c r="X223" i="15" s="1"/>
  <c r="Z223" i="15" s="1"/>
  <c r="J223" i="15"/>
  <c r="H223" i="15"/>
  <c r="N223" i="15" s="1"/>
  <c r="D223" i="15"/>
  <c r="L223" i="15" s="1"/>
  <c r="B223" i="15"/>
  <c r="X222" i="15"/>
  <c r="Z222" i="15" s="1"/>
  <c r="N222" i="15"/>
  <c r="L222" i="15"/>
  <c r="B222" i="15"/>
  <c r="X221" i="15"/>
  <c r="Z221" i="15" s="1"/>
  <c r="L221" i="15"/>
  <c r="N221" i="15" s="1"/>
  <c r="B221" i="15"/>
  <c r="X220" i="15"/>
  <c r="Z220" i="15" s="1"/>
  <c r="N220" i="15"/>
  <c r="L220" i="15"/>
  <c r="B220" i="15"/>
  <c r="Z219" i="15"/>
  <c r="X219" i="15"/>
  <c r="N219" i="15"/>
  <c r="L219" i="15"/>
  <c r="B219" i="15"/>
  <c r="Z218" i="15"/>
  <c r="X218" i="15"/>
  <c r="N218" i="15"/>
  <c r="L218" i="15"/>
  <c r="B218" i="15"/>
  <c r="X217" i="15"/>
  <c r="Z217" i="15" s="1"/>
  <c r="L217" i="15"/>
  <c r="N217" i="15" s="1"/>
  <c r="B217" i="15"/>
  <c r="X216" i="15"/>
  <c r="T216" i="15"/>
  <c r="R216" i="15"/>
  <c r="P216" i="15"/>
  <c r="H216" i="15"/>
  <c r="N216" i="15" s="1"/>
  <c r="D216" i="15"/>
  <c r="L216" i="15" s="1"/>
  <c r="B216" i="15"/>
  <c r="Z215" i="15"/>
  <c r="X215" i="15"/>
  <c r="R215" i="15"/>
  <c r="N215" i="15"/>
  <c r="L215" i="15"/>
  <c r="B215" i="15"/>
  <c r="X214" i="15"/>
  <c r="Z214" i="15" s="1"/>
  <c r="R214" i="15"/>
  <c r="N214" i="15"/>
  <c r="L214" i="15"/>
  <c r="J214" i="15"/>
  <c r="B214" i="15"/>
  <c r="T213" i="15"/>
  <c r="P213" i="15"/>
  <c r="X213" i="15" s="1"/>
  <c r="H213" i="15"/>
  <c r="L213" i="15" s="1"/>
  <c r="D213" i="15"/>
  <c r="B213" i="15"/>
  <c r="X212" i="15"/>
  <c r="Z212" i="15" s="1"/>
  <c r="L212" i="15"/>
  <c r="N212" i="15" s="1"/>
  <c r="B212" i="15"/>
  <c r="Z211" i="15"/>
  <c r="X211" i="15"/>
  <c r="N211" i="15"/>
  <c r="L211" i="15"/>
  <c r="B211" i="15"/>
  <c r="Z210" i="15"/>
  <c r="X210" i="15"/>
  <c r="N210" i="15"/>
  <c r="L210" i="15"/>
  <c r="B210" i="15"/>
  <c r="X209" i="15"/>
  <c r="Z209" i="15" s="1"/>
  <c r="L209" i="15"/>
  <c r="N209" i="15" s="1"/>
  <c r="B209" i="15"/>
  <c r="T208" i="15"/>
  <c r="P208" i="15"/>
  <c r="X208" i="15" s="1"/>
  <c r="J208" i="15"/>
  <c r="H208" i="15"/>
  <c r="D208" i="15"/>
  <c r="L208" i="15" s="1"/>
  <c r="N208" i="15" s="1"/>
  <c r="B208" i="15"/>
  <c r="X207" i="15"/>
  <c r="Z207" i="15" s="1"/>
  <c r="N207" i="15"/>
  <c r="L207" i="15"/>
  <c r="B207" i="15"/>
  <c r="X206" i="15"/>
  <c r="Z206" i="15" s="1"/>
  <c r="L206" i="15"/>
  <c r="N206" i="15" s="1"/>
  <c r="B206" i="15"/>
  <c r="X205" i="15"/>
  <c r="Z205" i="15" s="1"/>
  <c r="N205" i="15"/>
  <c r="L205" i="15"/>
  <c r="B205" i="15"/>
  <c r="X204" i="15"/>
  <c r="T204" i="15"/>
  <c r="Z204" i="15" s="1"/>
  <c r="R204" i="15"/>
  <c r="P204" i="15"/>
  <c r="H204" i="15"/>
  <c r="N204" i="15" s="1"/>
  <c r="D204" i="15"/>
  <c r="L204" i="15" s="1"/>
  <c r="B204" i="15"/>
  <c r="Z203" i="15"/>
  <c r="X203" i="15"/>
  <c r="R203" i="15"/>
  <c r="N203" i="15"/>
  <c r="L203" i="15"/>
  <c r="B203" i="15"/>
  <c r="X202" i="15"/>
  <c r="Z202" i="15" s="1"/>
  <c r="R202" i="15"/>
  <c r="N202" i="15"/>
  <c r="L202" i="15"/>
  <c r="J202" i="15"/>
  <c r="B202" i="15"/>
  <c r="X201" i="15"/>
  <c r="Z201" i="15" s="1"/>
  <c r="L201" i="15"/>
  <c r="N201" i="15" s="1"/>
  <c r="J201" i="15"/>
  <c r="B201" i="15"/>
  <c r="Z200" i="15"/>
  <c r="X200" i="15"/>
  <c r="T200" i="15"/>
  <c r="P200" i="15"/>
  <c r="H200" i="15"/>
  <c r="D200" i="15"/>
  <c r="L200" i="15" s="1"/>
  <c r="B200" i="15"/>
  <c r="Z199" i="15"/>
  <c r="X199" i="15"/>
  <c r="N199" i="15"/>
  <c r="L199" i="15"/>
  <c r="B199" i="15"/>
  <c r="T198" i="15"/>
  <c r="P198" i="15"/>
  <c r="X198" i="15" s="1"/>
  <c r="Z198" i="15" s="1"/>
  <c r="H198" i="15"/>
  <c r="N198" i="15" s="1"/>
  <c r="D198" i="15"/>
  <c r="L198" i="15" s="1"/>
  <c r="B198" i="15"/>
  <c r="X197" i="15"/>
  <c r="Z197" i="15" s="1"/>
  <c r="N197" i="15"/>
  <c r="L197" i="15"/>
  <c r="B197" i="15"/>
  <c r="X196" i="15"/>
  <c r="Z196" i="15" s="1"/>
  <c r="T196" i="15"/>
  <c r="R196" i="15"/>
  <c r="P196" i="15"/>
  <c r="H196" i="15"/>
  <c r="N196" i="15" s="1"/>
  <c r="D196" i="15"/>
  <c r="L196" i="15" s="1"/>
  <c r="B196" i="15"/>
  <c r="Z195" i="15"/>
  <c r="X195" i="15"/>
  <c r="R195" i="15"/>
  <c r="N195" i="15"/>
  <c r="L195" i="15"/>
  <c r="B195" i="15"/>
  <c r="T194" i="15"/>
  <c r="P194" i="15"/>
  <c r="N194" i="15"/>
  <c r="L194" i="15"/>
  <c r="H194" i="15"/>
  <c r="D194" i="15"/>
  <c r="B194" i="15"/>
  <c r="Z193" i="15"/>
  <c r="X193" i="15"/>
  <c r="L193" i="15"/>
  <c r="N193" i="15" s="1"/>
  <c r="B193" i="15"/>
  <c r="T192" i="15"/>
  <c r="Z192" i="15" s="1"/>
  <c r="P192" i="15"/>
  <c r="X192" i="15" s="1"/>
  <c r="J192" i="15"/>
  <c r="H192" i="15"/>
  <c r="D192" i="15"/>
  <c r="L192" i="15" s="1"/>
  <c r="N192" i="15" s="1"/>
  <c r="B192" i="15"/>
  <c r="Z191" i="15"/>
  <c r="X191" i="15"/>
  <c r="N191" i="15"/>
  <c r="L191" i="15"/>
  <c r="B191" i="15"/>
  <c r="T190" i="15"/>
  <c r="Z190" i="15" s="1"/>
  <c r="P190" i="15"/>
  <c r="X190" i="15" s="1"/>
  <c r="L190" i="15"/>
  <c r="H190" i="15"/>
  <c r="N190" i="15" s="1"/>
  <c r="D190" i="15"/>
  <c r="B190" i="15"/>
  <c r="Z189" i="15"/>
  <c r="X189" i="15"/>
  <c r="L189" i="15"/>
  <c r="N189" i="15" s="1"/>
  <c r="J189" i="15"/>
  <c r="B189" i="15"/>
  <c r="Z188" i="15"/>
  <c r="X188" i="15"/>
  <c r="L188" i="15"/>
  <c r="N188" i="15" s="1"/>
  <c r="B188" i="15"/>
  <c r="T187" i="15"/>
  <c r="X187" i="15" s="1"/>
  <c r="Z187" i="15" s="1"/>
  <c r="P187" i="15"/>
  <c r="H187" i="15"/>
  <c r="D187" i="15"/>
  <c r="L187" i="15" s="1"/>
  <c r="N187" i="15" s="1"/>
  <c r="B187" i="15"/>
  <c r="Z186" i="15"/>
  <c r="X186" i="15"/>
  <c r="V186" i="15"/>
  <c r="L186" i="15"/>
  <c r="N186" i="15" s="1"/>
  <c r="B186" i="15"/>
  <c r="T185" i="15"/>
  <c r="P185" i="15"/>
  <c r="X185" i="15" s="1"/>
  <c r="H185" i="15"/>
  <c r="D185" i="15"/>
  <c r="L185" i="15" s="1"/>
  <c r="N185" i="15" s="1"/>
  <c r="B185" i="15"/>
  <c r="X184" i="15"/>
  <c r="Z184" i="15" s="1"/>
  <c r="N184" i="15"/>
  <c r="L184" i="15"/>
  <c r="B184" i="15"/>
  <c r="T183" i="15"/>
  <c r="R183" i="15"/>
  <c r="P183" i="15"/>
  <c r="X183" i="15" s="1"/>
  <c r="L183" i="15"/>
  <c r="H183" i="15"/>
  <c r="N183" i="15" s="1"/>
  <c r="D183" i="15"/>
  <c r="B183" i="15"/>
  <c r="Z182" i="15"/>
  <c r="X182" i="15"/>
  <c r="R182" i="15"/>
  <c r="N182" i="15"/>
  <c r="L182" i="15"/>
  <c r="J182" i="15"/>
  <c r="B182" i="15"/>
  <c r="T181" i="15"/>
  <c r="P181" i="15"/>
  <c r="X181" i="15" s="1"/>
  <c r="H181" i="15"/>
  <c r="D181" i="15"/>
  <c r="B181" i="15"/>
  <c r="Z180" i="15"/>
  <c r="X180" i="15"/>
  <c r="L180" i="15"/>
  <c r="N180" i="15" s="1"/>
  <c r="B180" i="15"/>
  <c r="X179" i="15"/>
  <c r="Z179" i="15" s="1"/>
  <c r="N179" i="15"/>
  <c r="L179" i="15"/>
  <c r="B179" i="15"/>
  <c r="T178" i="15"/>
  <c r="P178" i="15"/>
  <c r="X178" i="15" s="1"/>
  <c r="Z178" i="15" s="1"/>
  <c r="H178" i="15"/>
  <c r="D178" i="15"/>
  <c r="L178" i="15" s="1"/>
  <c r="B178" i="15"/>
  <c r="X177" i="15"/>
  <c r="Z177" i="15" s="1"/>
  <c r="L177" i="15"/>
  <c r="N177" i="15" s="1"/>
  <c r="B177" i="15"/>
  <c r="X176" i="15"/>
  <c r="Z176" i="15" s="1"/>
  <c r="N176" i="15"/>
  <c r="L176" i="15"/>
  <c r="B176" i="15"/>
  <c r="T175" i="15"/>
  <c r="Z175" i="15" s="1"/>
  <c r="R175" i="15"/>
  <c r="P175" i="15"/>
  <c r="X175" i="15" s="1"/>
  <c r="L175" i="15"/>
  <c r="H175" i="15"/>
  <c r="D175" i="15"/>
  <c r="B175" i="15"/>
  <c r="X174" i="15"/>
  <c r="Z174" i="15" s="1"/>
  <c r="R174" i="15"/>
  <c r="N174" i="15"/>
  <c r="L174" i="15"/>
  <c r="J174" i="15"/>
  <c r="B174" i="15"/>
  <c r="X173" i="15"/>
  <c r="T173" i="15"/>
  <c r="Z173" i="15" s="1"/>
  <c r="P173" i="15"/>
  <c r="H173" i="15"/>
  <c r="L173" i="15" s="1"/>
  <c r="D173" i="15"/>
  <c r="B173" i="15"/>
  <c r="Z172" i="15"/>
  <c r="X172" i="15"/>
  <c r="L172" i="15"/>
  <c r="N172" i="15" s="1"/>
  <c r="B172" i="15"/>
  <c r="T171" i="15"/>
  <c r="Z171" i="15" s="1"/>
  <c r="P171" i="15"/>
  <c r="X171" i="15" s="1"/>
  <c r="J171" i="15"/>
  <c r="H171" i="15"/>
  <c r="N171" i="15" s="1"/>
  <c r="D171" i="15"/>
  <c r="L171" i="15" s="1"/>
  <c r="B171" i="15"/>
  <c r="X170" i="15"/>
  <c r="Z170" i="15" s="1"/>
  <c r="N170" i="15"/>
  <c r="L170" i="15"/>
  <c r="B170" i="15"/>
  <c r="X169" i="15"/>
  <c r="T169" i="15"/>
  <c r="Z169" i="15" s="1"/>
  <c r="P169" i="15"/>
  <c r="H169" i="15"/>
  <c r="N169" i="15" s="1"/>
  <c r="D169" i="15"/>
  <c r="L169" i="15" s="1"/>
  <c r="B169" i="15"/>
  <c r="Z168" i="15"/>
  <c r="X168" i="15"/>
  <c r="N168" i="15"/>
  <c r="L168" i="15"/>
  <c r="B168" i="15"/>
  <c r="Z167" i="15"/>
  <c r="X167" i="15"/>
  <c r="R167" i="15"/>
  <c r="N167" i="15"/>
  <c r="L167" i="15"/>
  <c r="B167" i="15"/>
  <c r="X166" i="15"/>
  <c r="Z166" i="15" s="1"/>
  <c r="R166" i="15"/>
  <c r="N166" i="15"/>
  <c r="L166" i="15"/>
  <c r="J166" i="15"/>
  <c r="B166" i="15"/>
  <c r="X165" i="15"/>
  <c r="Z165" i="15" s="1"/>
  <c r="L165" i="15"/>
  <c r="N165" i="15" s="1"/>
  <c r="J165" i="15"/>
  <c r="B165" i="15"/>
  <c r="Z164" i="15"/>
  <c r="X164" i="15"/>
  <c r="L164" i="15"/>
  <c r="N164" i="15" s="1"/>
  <c r="B164" i="15"/>
  <c r="Z163" i="15"/>
  <c r="X163" i="15"/>
  <c r="R163" i="15"/>
  <c r="L163" i="15"/>
  <c r="N163" i="15" s="1"/>
  <c r="B163" i="15"/>
  <c r="X162" i="15"/>
  <c r="Z162" i="15" s="1"/>
  <c r="R162" i="15"/>
  <c r="N162" i="15"/>
  <c r="L162" i="15"/>
  <c r="J162" i="15"/>
  <c r="B162" i="15"/>
  <c r="T161" i="15"/>
  <c r="Z161" i="15" s="1"/>
  <c r="P161" i="15"/>
  <c r="X161" i="15" s="1"/>
  <c r="H161" i="15"/>
  <c r="L161" i="15" s="1"/>
  <c r="D161" i="15"/>
  <c r="B161" i="15"/>
  <c r="X160" i="15"/>
  <c r="Z160" i="15" s="1"/>
  <c r="L160" i="15"/>
  <c r="N160" i="15" s="1"/>
  <c r="B160" i="15"/>
  <c r="X159" i="15"/>
  <c r="Z159" i="15" s="1"/>
  <c r="N159" i="15"/>
  <c r="L159" i="15"/>
  <c r="B159" i="15"/>
  <c r="Z158" i="15"/>
  <c r="X158" i="15"/>
  <c r="N158" i="15"/>
  <c r="L158" i="15"/>
  <c r="B158" i="15"/>
  <c r="X157" i="15"/>
  <c r="Z157" i="15" s="1"/>
  <c r="L157" i="15"/>
  <c r="N157" i="15" s="1"/>
  <c r="B157" i="15"/>
  <c r="X156" i="15"/>
  <c r="Z156" i="15" s="1"/>
  <c r="L156" i="15"/>
  <c r="N156" i="15" s="1"/>
  <c r="B156" i="15"/>
  <c r="X155" i="15"/>
  <c r="Z155" i="15" s="1"/>
  <c r="L155" i="15"/>
  <c r="N155" i="15" s="1"/>
  <c r="B155" i="15"/>
  <c r="Z154" i="15"/>
  <c r="X154" i="15"/>
  <c r="N154" i="15"/>
  <c r="L154" i="15"/>
  <c r="B154" i="15"/>
  <c r="X153" i="15"/>
  <c r="Z153" i="15" s="1"/>
  <c r="V153" i="15"/>
  <c r="L153" i="15"/>
  <c r="N153" i="15" s="1"/>
  <c r="B153" i="15"/>
  <c r="X152" i="15"/>
  <c r="Z152" i="15" s="1"/>
  <c r="L152" i="15"/>
  <c r="N152" i="15" s="1"/>
  <c r="B152" i="15"/>
  <c r="T151" i="15"/>
  <c r="Z151" i="15" s="1"/>
  <c r="P151" i="15"/>
  <c r="X151" i="15" s="1"/>
  <c r="J151" i="15"/>
  <c r="H151" i="15"/>
  <c r="N151" i="15" s="1"/>
  <c r="D151" i="15"/>
  <c r="L151" i="15" s="1"/>
  <c r="B151" i="15"/>
  <c r="T150" i="15"/>
  <c r="Z150" i="15" s="1"/>
  <c r="P150" i="15"/>
  <c r="X150" i="15" s="1"/>
  <c r="L150" i="15"/>
  <c r="H150" i="15"/>
  <c r="N150" i="15" s="1"/>
  <c r="D150" i="15"/>
  <c r="X146" i="15"/>
  <c r="Z146" i="15" s="1"/>
  <c r="N146" i="15"/>
  <c r="L146" i="15"/>
  <c r="B146" i="15"/>
  <c r="X145" i="15"/>
  <c r="Z145" i="15" s="1"/>
  <c r="N145" i="15"/>
  <c r="L145" i="15"/>
  <c r="B145" i="15"/>
  <c r="X144" i="15"/>
  <c r="Z144" i="15" s="1"/>
  <c r="N144" i="15"/>
  <c r="L144" i="15"/>
  <c r="B144" i="15"/>
  <c r="Z143" i="15"/>
  <c r="X143" i="15"/>
  <c r="N143" i="15"/>
  <c r="L143" i="15"/>
  <c r="B143" i="15"/>
  <c r="X142" i="15"/>
  <c r="Z142" i="15" s="1"/>
  <c r="L142" i="15"/>
  <c r="N142" i="15" s="1"/>
  <c r="B142" i="15"/>
  <c r="X141" i="15"/>
  <c r="Z141" i="15" s="1"/>
  <c r="N141" i="15"/>
  <c r="L141" i="15"/>
  <c r="B141" i="15"/>
  <c r="X140" i="15"/>
  <c r="Z140" i="15" s="1"/>
  <c r="N140" i="15"/>
  <c r="L140" i="15"/>
  <c r="B140" i="15"/>
  <c r="Z139" i="15"/>
  <c r="X139" i="15"/>
  <c r="N139" i="15"/>
  <c r="L139" i="15"/>
  <c r="B139" i="15"/>
  <c r="Z138" i="15"/>
  <c r="X138" i="15"/>
  <c r="N138" i="15"/>
  <c r="L138" i="15"/>
  <c r="B138" i="15"/>
  <c r="X137" i="15"/>
  <c r="Z137" i="15" s="1"/>
  <c r="L137" i="15"/>
  <c r="N137" i="15" s="1"/>
  <c r="B137" i="15"/>
  <c r="X136" i="15"/>
  <c r="Z136" i="15" s="1"/>
  <c r="N136" i="15"/>
  <c r="L136" i="15"/>
  <c r="B136" i="15"/>
  <c r="Z135" i="15"/>
  <c r="X135" i="15"/>
  <c r="N135" i="15"/>
  <c r="L135" i="15"/>
  <c r="B135" i="15"/>
  <c r="X134" i="15"/>
  <c r="Z134" i="15" s="1"/>
  <c r="L134" i="15"/>
  <c r="N134" i="15" s="1"/>
  <c r="B134" i="15"/>
  <c r="X133" i="15"/>
  <c r="Z133" i="15" s="1"/>
  <c r="L133" i="15"/>
  <c r="N133" i="15" s="1"/>
  <c r="B133" i="15"/>
  <c r="X132" i="15"/>
  <c r="Z132" i="15" s="1"/>
  <c r="N132" i="15"/>
  <c r="L132" i="15"/>
  <c r="B132" i="15"/>
  <c r="Z131" i="15"/>
  <c r="X131" i="15"/>
  <c r="N131" i="15"/>
  <c r="L131" i="15"/>
  <c r="B131" i="15"/>
  <c r="X130" i="15"/>
  <c r="Z130" i="15" s="1"/>
  <c r="L130" i="15"/>
  <c r="N130" i="15" s="1"/>
  <c r="B130" i="15"/>
  <c r="Z129" i="15"/>
  <c r="X129" i="15"/>
  <c r="N129" i="15"/>
  <c r="L129" i="15"/>
  <c r="B129" i="15"/>
  <c r="X128" i="15"/>
  <c r="Z128" i="15" s="1"/>
  <c r="N128" i="15"/>
  <c r="L128" i="15"/>
  <c r="B128" i="15"/>
  <c r="Z127" i="15"/>
  <c r="X127" i="15"/>
  <c r="N127" i="15"/>
  <c r="L127" i="15"/>
  <c r="B127" i="15"/>
  <c r="X126" i="15"/>
  <c r="Z126" i="15" s="1"/>
  <c r="L126" i="15"/>
  <c r="N126" i="15" s="1"/>
  <c r="B126" i="15"/>
  <c r="X125" i="15"/>
  <c r="Z125" i="15" s="1"/>
  <c r="L125" i="15"/>
  <c r="N125" i="15" s="1"/>
  <c r="B125" i="15"/>
  <c r="X124" i="15"/>
  <c r="Z124" i="15" s="1"/>
  <c r="N124" i="15"/>
  <c r="L124" i="15"/>
  <c r="B124" i="15"/>
  <c r="Z123" i="15"/>
  <c r="X123" i="15"/>
  <c r="N123" i="15"/>
  <c r="L123" i="15"/>
  <c r="B123" i="15"/>
  <c r="X122" i="15"/>
  <c r="Z122" i="15" s="1"/>
  <c r="L122" i="15"/>
  <c r="N122" i="15" s="1"/>
  <c r="B122" i="15"/>
  <c r="X121" i="15"/>
  <c r="Z121" i="15" s="1"/>
  <c r="L121" i="15"/>
  <c r="N121" i="15" s="1"/>
  <c r="B121" i="15"/>
  <c r="X120" i="15"/>
  <c r="Z120" i="15" s="1"/>
  <c r="N120" i="15"/>
  <c r="L120" i="15"/>
  <c r="B120" i="15"/>
  <c r="Z119" i="15"/>
  <c r="X119" i="15"/>
  <c r="N119" i="15"/>
  <c r="L119" i="15"/>
  <c r="B119" i="15"/>
  <c r="X118" i="15"/>
  <c r="Z118" i="15" s="1"/>
  <c r="L118" i="15"/>
  <c r="N118" i="15" s="1"/>
  <c r="B118" i="15"/>
  <c r="X117" i="15"/>
  <c r="Z117" i="15" s="1"/>
  <c r="N117" i="15"/>
  <c r="L117" i="15"/>
  <c r="B117" i="15"/>
  <c r="X116" i="15"/>
  <c r="Z116" i="15" s="1"/>
  <c r="N116" i="15"/>
  <c r="L116" i="15"/>
  <c r="B116" i="15"/>
  <c r="Z115" i="15"/>
  <c r="X115" i="15"/>
  <c r="N115" i="15"/>
  <c r="L115" i="15"/>
  <c r="B115" i="15"/>
  <c r="X114" i="15"/>
  <c r="Z114" i="15" s="1"/>
  <c r="L114" i="15"/>
  <c r="N114" i="15" s="1"/>
  <c r="B114" i="15"/>
  <c r="X113" i="15"/>
  <c r="Z113" i="15" s="1"/>
  <c r="L113" i="15"/>
  <c r="N113" i="15" s="1"/>
  <c r="B113" i="15"/>
  <c r="X112" i="15"/>
  <c r="Z112" i="15" s="1"/>
  <c r="N112" i="15"/>
  <c r="L112" i="15"/>
  <c r="B112" i="15"/>
  <c r="Z111" i="15"/>
  <c r="X111" i="15"/>
  <c r="N111" i="15"/>
  <c r="L111" i="15"/>
  <c r="B111" i="15"/>
  <c r="X110" i="15"/>
  <c r="Z110" i="15" s="1"/>
  <c r="L110" i="15"/>
  <c r="N110" i="15" s="1"/>
  <c r="B110" i="15"/>
  <c r="X109" i="15"/>
  <c r="Z109" i="15" s="1"/>
  <c r="L109" i="15"/>
  <c r="N109" i="15" s="1"/>
  <c r="B109" i="15"/>
  <c r="X108" i="15"/>
  <c r="Z108" i="15" s="1"/>
  <c r="N108" i="15"/>
  <c r="L108" i="15"/>
  <c r="B108" i="15"/>
  <c r="Z107" i="15"/>
  <c r="X107" i="15"/>
  <c r="N107" i="15"/>
  <c r="L107" i="15"/>
  <c r="B107" i="15"/>
  <c r="X106" i="15"/>
  <c r="Z106" i="15" s="1"/>
  <c r="L106" i="15"/>
  <c r="N106" i="15" s="1"/>
  <c r="B106" i="15"/>
  <c r="X105" i="15"/>
  <c r="Z105" i="15" s="1"/>
  <c r="L105" i="15"/>
  <c r="N105" i="15" s="1"/>
  <c r="B105" i="15"/>
  <c r="X104" i="15"/>
  <c r="Z104" i="15" s="1"/>
  <c r="N104" i="15"/>
  <c r="L104" i="15"/>
  <c r="B104" i="15"/>
  <c r="Z103" i="15"/>
  <c r="X103" i="15"/>
  <c r="N103" i="15"/>
  <c r="L103" i="15"/>
  <c r="B103" i="15"/>
  <c r="Z102" i="15"/>
  <c r="X102" i="15"/>
  <c r="L102" i="15"/>
  <c r="N102" i="15" s="1"/>
  <c r="B102" i="15"/>
  <c r="X101" i="15"/>
  <c r="Z101" i="15" s="1"/>
  <c r="L101" i="15"/>
  <c r="N101" i="15" s="1"/>
  <c r="B101" i="15"/>
  <c r="X100" i="15"/>
  <c r="Z100" i="15" s="1"/>
  <c r="N100" i="15"/>
  <c r="L100" i="15"/>
  <c r="B100" i="15"/>
  <c r="Z99" i="15"/>
  <c r="X99" i="15"/>
  <c r="N99" i="15"/>
  <c r="L99" i="15"/>
  <c r="B99" i="15"/>
  <c r="T98" i="15"/>
  <c r="P98" i="15"/>
  <c r="X98" i="15" s="1"/>
  <c r="L98" i="15"/>
  <c r="H98" i="15"/>
  <c r="D98" i="15"/>
  <c r="T96" i="15"/>
  <c r="Z96" i="15" s="1"/>
  <c r="P96" i="15"/>
  <c r="X96" i="15" s="1"/>
  <c r="N96" i="15"/>
  <c r="H96" i="15"/>
  <c r="D96" i="15"/>
  <c r="L96" i="15" s="1"/>
  <c r="B96" i="15"/>
  <c r="X95" i="15"/>
  <c r="T95" i="15"/>
  <c r="Z95" i="15" s="1"/>
  <c r="P95" i="15"/>
  <c r="L95" i="15"/>
  <c r="H95" i="15"/>
  <c r="N95" i="15" s="1"/>
  <c r="D95" i="15"/>
  <c r="B95" i="15"/>
  <c r="X94" i="15"/>
  <c r="T94" i="15"/>
  <c r="P94" i="15"/>
  <c r="N94" i="15"/>
  <c r="L94" i="15"/>
  <c r="H94" i="15"/>
  <c r="D94" i="15"/>
  <c r="B94" i="15"/>
  <c r="T93" i="15"/>
  <c r="Z93" i="15" s="1"/>
  <c r="P93" i="15"/>
  <c r="N93" i="15"/>
  <c r="H93" i="15"/>
  <c r="D93" i="15"/>
  <c r="L93" i="15" s="1"/>
  <c r="B93" i="15"/>
  <c r="T92" i="15"/>
  <c r="P92" i="15"/>
  <c r="X92" i="15" s="1"/>
  <c r="H92" i="15"/>
  <c r="D92" i="15"/>
  <c r="L92" i="15" s="1"/>
  <c r="N92" i="15" s="1"/>
  <c r="B92" i="15"/>
  <c r="X91" i="15"/>
  <c r="T91" i="15"/>
  <c r="P91" i="15"/>
  <c r="L91" i="15"/>
  <c r="H91" i="15"/>
  <c r="N91" i="15" s="1"/>
  <c r="D91" i="15"/>
  <c r="B91" i="15"/>
  <c r="X90" i="15"/>
  <c r="T90" i="15"/>
  <c r="Z90" i="15" s="1"/>
  <c r="P90" i="15"/>
  <c r="N90" i="15"/>
  <c r="L90" i="15"/>
  <c r="H90" i="15"/>
  <c r="D90" i="15"/>
  <c r="B90" i="15"/>
  <c r="T89" i="15"/>
  <c r="P89" i="15"/>
  <c r="N89" i="15"/>
  <c r="H89" i="15"/>
  <c r="D89" i="15"/>
  <c r="L89" i="15" s="1"/>
  <c r="B89" i="15"/>
  <c r="T88" i="15"/>
  <c r="P88" i="15"/>
  <c r="X88" i="15" s="1"/>
  <c r="H88" i="15"/>
  <c r="D88" i="15"/>
  <c r="L88" i="15" s="1"/>
  <c r="N88" i="15" s="1"/>
  <c r="B88" i="15"/>
  <c r="X87" i="15"/>
  <c r="T87" i="15"/>
  <c r="P87" i="15"/>
  <c r="L87" i="15"/>
  <c r="H87" i="15"/>
  <c r="N87" i="15" s="1"/>
  <c r="D87" i="15"/>
  <c r="B87" i="15"/>
  <c r="X86" i="15"/>
  <c r="T86" i="15"/>
  <c r="Z86" i="15" s="1"/>
  <c r="P86" i="15"/>
  <c r="N86" i="15"/>
  <c r="L86" i="15"/>
  <c r="H86" i="15"/>
  <c r="D86" i="15"/>
  <c r="B86" i="15"/>
  <c r="T85" i="15"/>
  <c r="P85" i="15"/>
  <c r="H85" i="15"/>
  <c r="D85" i="15"/>
  <c r="L85" i="15" s="1"/>
  <c r="N85" i="15" s="1"/>
  <c r="B85" i="15"/>
  <c r="T84" i="15"/>
  <c r="Z84" i="15" s="1"/>
  <c r="P84" i="15"/>
  <c r="X84" i="15" s="1"/>
  <c r="H84" i="15"/>
  <c r="D84" i="15"/>
  <c r="L84" i="15" s="1"/>
  <c r="B84" i="15"/>
  <c r="X83" i="15"/>
  <c r="T83" i="15"/>
  <c r="Z83" i="15" s="1"/>
  <c r="P83" i="15"/>
  <c r="L83" i="15"/>
  <c r="H83" i="15"/>
  <c r="N83" i="15" s="1"/>
  <c r="D83" i="15"/>
  <c r="B83" i="15"/>
  <c r="X82" i="15"/>
  <c r="T82" i="15"/>
  <c r="P82" i="15"/>
  <c r="N82" i="15"/>
  <c r="L82" i="15"/>
  <c r="H82" i="15"/>
  <c r="D82" i="15"/>
  <c r="B82" i="15"/>
  <c r="T81" i="15"/>
  <c r="P81" i="15"/>
  <c r="X81" i="15" s="1"/>
  <c r="H81" i="15"/>
  <c r="D81" i="15"/>
  <c r="L81" i="15" s="1"/>
  <c r="N81" i="15" s="1"/>
  <c r="B81" i="15"/>
  <c r="T80" i="15"/>
  <c r="P80" i="15"/>
  <c r="H80" i="15"/>
  <c r="D80" i="15"/>
  <c r="L80" i="15" s="1"/>
  <c r="N80" i="15" s="1"/>
  <c r="B80" i="15"/>
  <c r="X79" i="15"/>
  <c r="T79" i="15"/>
  <c r="P79" i="15"/>
  <c r="L79" i="15"/>
  <c r="N79" i="15" s="1"/>
  <c r="H79" i="15"/>
  <c r="D79" i="15"/>
  <c r="B79" i="15"/>
  <c r="X78" i="15"/>
  <c r="T78" i="15"/>
  <c r="Z78" i="15" s="1"/>
  <c r="P78" i="15"/>
  <c r="N78" i="15"/>
  <c r="L78" i="15"/>
  <c r="H78" i="15"/>
  <c r="D78" i="15"/>
  <c r="B78" i="15"/>
  <c r="T77" i="15"/>
  <c r="P77" i="15"/>
  <c r="N77" i="15"/>
  <c r="H77" i="15"/>
  <c r="D77" i="15"/>
  <c r="L77" i="15" s="1"/>
  <c r="B77" i="15"/>
  <c r="T76" i="15"/>
  <c r="P76" i="15"/>
  <c r="X76" i="15" s="1"/>
  <c r="N76" i="15"/>
  <c r="H76" i="15"/>
  <c r="D76" i="15"/>
  <c r="L76" i="15" s="1"/>
  <c r="B76" i="15"/>
  <c r="X75" i="15"/>
  <c r="T75" i="15"/>
  <c r="Z75" i="15" s="1"/>
  <c r="P75" i="15"/>
  <c r="L75" i="15"/>
  <c r="H75" i="15"/>
  <c r="N75" i="15" s="1"/>
  <c r="D75" i="15"/>
  <c r="B75" i="15"/>
  <c r="X74" i="15"/>
  <c r="T74" i="15"/>
  <c r="Z74" i="15" s="1"/>
  <c r="P74" i="15"/>
  <c r="N74" i="15"/>
  <c r="L74" i="15"/>
  <c r="H74" i="15"/>
  <c r="D74" i="15"/>
  <c r="B74" i="15"/>
  <c r="T73" i="15"/>
  <c r="P73" i="15"/>
  <c r="H73" i="15"/>
  <c r="D73" i="15"/>
  <c r="L73" i="15" s="1"/>
  <c r="N73" i="15" s="1"/>
  <c r="B73" i="15"/>
  <c r="T72" i="15"/>
  <c r="Z72" i="15" s="1"/>
  <c r="P72" i="15"/>
  <c r="X72" i="15" s="1"/>
  <c r="H72" i="15"/>
  <c r="D72" i="15"/>
  <c r="L72" i="15" s="1"/>
  <c r="N72" i="15" s="1"/>
  <c r="B72" i="15"/>
  <c r="X71" i="15"/>
  <c r="T71" i="15"/>
  <c r="P71" i="15"/>
  <c r="L71" i="15"/>
  <c r="H71" i="15"/>
  <c r="N71" i="15" s="1"/>
  <c r="D71" i="15"/>
  <c r="B71" i="15"/>
  <c r="X70" i="15"/>
  <c r="T70" i="15"/>
  <c r="P70" i="15"/>
  <c r="N70" i="15"/>
  <c r="L70" i="15"/>
  <c r="H70" i="15"/>
  <c r="D70" i="15"/>
  <c r="B70" i="15"/>
  <c r="T69" i="15"/>
  <c r="P69" i="15"/>
  <c r="H69" i="15"/>
  <c r="D69" i="15"/>
  <c r="L69" i="15" s="1"/>
  <c r="N69" i="15" s="1"/>
  <c r="B69" i="15"/>
  <c r="T68" i="15"/>
  <c r="P68" i="15"/>
  <c r="X68" i="15" s="1"/>
  <c r="H68" i="15"/>
  <c r="D68" i="15"/>
  <c r="L68" i="15" s="1"/>
  <c r="N68" i="15" s="1"/>
  <c r="B68" i="15"/>
  <c r="X67" i="15"/>
  <c r="T67" i="15"/>
  <c r="Z67" i="15" s="1"/>
  <c r="P67" i="15"/>
  <c r="L67" i="15"/>
  <c r="H67" i="15"/>
  <c r="N67" i="15" s="1"/>
  <c r="D67" i="15"/>
  <c r="B67" i="15"/>
  <c r="X66" i="15"/>
  <c r="T66" i="15"/>
  <c r="Z66" i="15" s="1"/>
  <c r="P66" i="15"/>
  <c r="N66" i="15"/>
  <c r="L66" i="15"/>
  <c r="H66" i="15"/>
  <c r="D66" i="15"/>
  <c r="B66" i="15"/>
  <c r="T65" i="15"/>
  <c r="P65" i="15"/>
  <c r="X65" i="15" s="1"/>
  <c r="N65" i="15"/>
  <c r="H65" i="15"/>
  <c r="D65" i="15"/>
  <c r="L65" i="15" s="1"/>
  <c r="B65" i="15"/>
  <c r="T64" i="15"/>
  <c r="P64" i="15"/>
  <c r="H64" i="15"/>
  <c r="N64" i="15" s="1"/>
  <c r="D64" i="15"/>
  <c r="L64" i="15" s="1"/>
  <c r="B64" i="15"/>
  <c r="X63" i="15"/>
  <c r="T63" i="15"/>
  <c r="Z63" i="15" s="1"/>
  <c r="P63" i="15"/>
  <c r="L63" i="15"/>
  <c r="N63" i="15" s="1"/>
  <c r="H63" i="15"/>
  <c r="D63" i="15"/>
  <c r="B63" i="15"/>
  <c r="X62" i="15"/>
  <c r="T62" i="15"/>
  <c r="Z62" i="15" s="1"/>
  <c r="P62" i="15"/>
  <c r="N62" i="15"/>
  <c r="L62" i="15"/>
  <c r="H62" i="15"/>
  <c r="D62" i="15"/>
  <c r="B62" i="15"/>
  <c r="T61" i="15"/>
  <c r="Z61" i="15" s="1"/>
  <c r="P61" i="15"/>
  <c r="X61" i="15" s="1"/>
  <c r="H61" i="15"/>
  <c r="D61" i="15"/>
  <c r="L61" i="15" s="1"/>
  <c r="N61" i="15" s="1"/>
  <c r="B61" i="15"/>
  <c r="T60" i="15"/>
  <c r="P60" i="15"/>
  <c r="H60" i="15"/>
  <c r="D60" i="15"/>
  <c r="L60" i="15" s="1"/>
  <c r="N60" i="15" s="1"/>
  <c r="B60" i="15"/>
  <c r="X59" i="15"/>
  <c r="T59" i="15"/>
  <c r="P59" i="15"/>
  <c r="L59" i="15"/>
  <c r="N59" i="15" s="1"/>
  <c r="H59" i="15"/>
  <c r="D59" i="15"/>
  <c r="B59" i="15"/>
  <c r="X58" i="15"/>
  <c r="T58" i="15"/>
  <c r="P58" i="15"/>
  <c r="N58" i="15"/>
  <c r="L58" i="15"/>
  <c r="H58" i="15"/>
  <c r="D58" i="15"/>
  <c r="B58" i="15"/>
  <c r="T57" i="15"/>
  <c r="P57" i="15"/>
  <c r="N57" i="15"/>
  <c r="H57" i="15"/>
  <c r="D57" i="15"/>
  <c r="L57" i="15" s="1"/>
  <c r="B57" i="15"/>
  <c r="T56" i="15"/>
  <c r="P56" i="15"/>
  <c r="H56" i="15"/>
  <c r="D56" i="15"/>
  <c r="L56" i="15" s="1"/>
  <c r="N56" i="15" s="1"/>
  <c r="B56" i="15"/>
  <c r="X55" i="15"/>
  <c r="T55" i="15"/>
  <c r="Z55" i="15" s="1"/>
  <c r="P55" i="15"/>
  <c r="L55" i="15"/>
  <c r="N55" i="15" s="1"/>
  <c r="H55" i="15"/>
  <c r="D55" i="15"/>
  <c r="B55" i="15"/>
  <c r="X54" i="15"/>
  <c r="T54" i="15"/>
  <c r="Z54" i="15" s="1"/>
  <c r="P54" i="15"/>
  <c r="N54" i="15"/>
  <c r="L54" i="15"/>
  <c r="H54" i="15"/>
  <c r="D54" i="15"/>
  <c r="B54" i="15"/>
  <c r="T53" i="15"/>
  <c r="P53" i="15"/>
  <c r="N53" i="15"/>
  <c r="H53" i="15"/>
  <c r="D53" i="15"/>
  <c r="L53" i="15" s="1"/>
  <c r="B53" i="15"/>
  <c r="T52" i="15"/>
  <c r="P52" i="15"/>
  <c r="H52" i="15"/>
  <c r="N52" i="15" s="1"/>
  <c r="D52" i="15"/>
  <c r="L52" i="15" s="1"/>
  <c r="B52" i="15"/>
  <c r="X51" i="15"/>
  <c r="T51" i="15"/>
  <c r="Z51" i="15" s="1"/>
  <c r="P51" i="15"/>
  <c r="L51" i="15"/>
  <c r="N51" i="15" s="1"/>
  <c r="H51" i="15"/>
  <c r="D51" i="15"/>
  <c r="B51" i="15"/>
  <c r="X50" i="15"/>
  <c r="T50" i="15"/>
  <c r="Z50" i="15" s="1"/>
  <c r="P50" i="15"/>
  <c r="N50" i="15"/>
  <c r="L50" i="15"/>
  <c r="H50" i="15"/>
  <c r="D50" i="15"/>
  <c r="B50" i="15"/>
  <c r="T49" i="15"/>
  <c r="Z49" i="15" s="1"/>
  <c r="P49" i="15"/>
  <c r="X49" i="15" s="1"/>
  <c r="H49" i="15"/>
  <c r="D49" i="15"/>
  <c r="L49" i="15" s="1"/>
  <c r="N49" i="15" s="1"/>
  <c r="B49" i="15"/>
  <c r="T48" i="15"/>
  <c r="P48" i="15"/>
  <c r="H48" i="15"/>
  <c r="D48" i="15"/>
  <c r="L48" i="15" s="1"/>
  <c r="N48" i="15" s="1"/>
  <c r="B48" i="15"/>
  <c r="X47" i="15"/>
  <c r="T47" i="15"/>
  <c r="P47" i="15"/>
  <c r="L47" i="15"/>
  <c r="N47" i="15" s="1"/>
  <c r="H47" i="15"/>
  <c r="D47" i="15"/>
  <c r="B47" i="15"/>
  <c r="X46" i="15"/>
  <c r="T46" i="15"/>
  <c r="P46" i="15"/>
  <c r="N46" i="15"/>
  <c r="L46" i="15"/>
  <c r="H46" i="15"/>
  <c r="D46" i="15"/>
  <c r="B46" i="15"/>
  <c r="T45" i="15"/>
  <c r="P45" i="15"/>
  <c r="H45" i="15"/>
  <c r="D45" i="15"/>
  <c r="L45" i="15" s="1"/>
  <c r="N45" i="15" s="1"/>
  <c r="B45" i="15"/>
  <c r="T44" i="15"/>
  <c r="P44" i="15"/>
  <c r="H44" i="15"/>
  <c r="D44" i="15"/>
  <c r="L44" i="15" s="1"/>
  <c r="N44" i="15" s="1"/>
  <c r="B44" i="15"/>
  <c r="X43" i="15"/>
  <c r="T43" i="15"/>
  <c r="Z43" i="15" s="1"/>
  <c r="P43" i="15"/>
  <c r="L43" i="15"/>
  <c r="N43" i="15" s="1"/>
  <c r="H43" i="15"/>
  <c r="D43" i="15"/>
  <c r="B43" i="15"/>
  <c r="X42" i="15"/>
  <c r="T42" i="15"/>
  <c r="Z42" i="15" s="1"/>
  <c r="P42" i="15"/>
  <c r="N42" i="15"/>
  <c r="L42" i="15"/>
  <c r="H42" i="15"/>
  <c r="D42" i="15"/>
  <c r="B42" i="15"/>
  <c r="T41" i="15"/>
  <c r="P41" i="15"/>
  <c r="N41" i="15"/>
  <c r="H41" i="15"/>
  <c r="D41" i="15"/>
  <c r="L41" i="15" s="1"/>
  <c r="B41" i="15"/>
  <c r="T40" i="15"/>
  <c r="P40" i="15"/>
  <c r="H40" i="15"/>
  <c r="D40" i="15"/>
  <c r="L40" i="15" s="1"/>
  <c r="N40" i="15" s="1"/>
  <c r="B40" i="15"/>
  <c r="X39" i="15"/>
  <c r="T39" i="15"/>
  <c r="Z39" i="15" s="1"/>
  <c r="P39" i="15"/>
  <c r="L39" i="15"/>
  <c r="N39" i="15" s="1"/>
  <c r="H39" i="15"/>
  <c r="D39" i="15"/>
  <c r="B39" i="15"/>
  <c r="X38" i="15"/>
  <c r="T38" i="15"/>
  <c r="Z38" i="15" s="1"/>
  <c r="P38" i="15"/>
  <c r="N38" i="15"/>
  <c r="L38" i="15"/>
  <c r="H38" i="15"/>
  <c r="D38" i="15"/>
  <c r="B38" i="15"/>
  <c r="T37" i="15"/>
  <c r="P37" i="15"/>
  <c r="H37" i="15"/>
  <c r="D37" i="15"/>
  <c r="L37" i="15" s="1"/>
  <c r="N37" i="15" s="1"/>
  <c r="B37" i="15"/>
  <c r="T36" i="15"/>
  <c r="P36" i="15"/>
  <c r="H36" i="15"/>
  <c r="D36" i="15"/>
  <c r="L36" i="15" s="1"/>
  <c r="N36" i="15" s="1"/>
  <c r="B36" i="15"/>
  <c r="X35" i="15"/>
  <c r="T35" i="15"/>
  <c r="P35" i="15"/>
  <c r="L35" i="15"/>
  <c r="N35" i="15" s="1"/>
  <c r="H35" i="15"/>
  <c r="D35" i="15"/>
  <c r="B35" i="15"/>
  <c r="X34" i="15"/>
  <c r="T34" i="15"/>
  <c r="P34" i="15"/>
  <c r="N34" i="15"/>
  <c r="L34" i="15"/>
  <c r="H34" i="15"/>
  <c r="D34" i="15"/>
  <c r="B34" i="15"/>
  <c r="T33" i="15"/>
  <c r="P33" i="15"/>
  <c r="N33" i="15"/>
  <c r="H33" i="15"/>
  <c r="D33" i="15"/>
  <c r="L33" i="15" s="1"/>
  <c r="B33" i="15"/>
  <c r="T32" i="15"/>
  <c r="P32" i="15"/>
  <c r="H32" i="15"/>
  <c r="D32" i="15"/>
  <c r="L32" i="15" s="1"/>
  <c r="N32" i="15" s="1"/>
  <c r="B32" i="15"/>
  <c r="X31" i="15"/>
  <c r="T31" i="15"/>
  <c r="Z31" i="15" s="1"/>
  <c r="P31" i="15"/>
  <c r="L31" i="15"/>
  <c r="N31" i="15" s="1"/>
  <c r="H31" i="15"/>
  <c r="D31" i="15"/>
  <c r="B31" i="15"/>
  <c r="X30" i="15"/>
  <c r="T30" i="15"/>
  <c r="Z30" i="15" s="1"/>
  <c r="P30" i="15"/>
  <c r="N30" i="15"/>
  <c r="L30" i="15"/>
  <c r="H30" i="15"/>
  <c r="D30" i="15"/>
  <c r="B30" i="15"/>
  <c r="T29" i="15"/>
  <c r="P29" i="15"/>
  <c r="N29" i="15"/>
  <c r="H29" i="15"/>
  <c r="D29" i="15"/>
  <c r="L29" i="15" s="1"/>
  <c r="B29" i="15"/>
  <c r="T28" i="15"/>
  <c r="P28" i="15"/>
  <c r="H28" i="15"/>
  <c r="D28" i="15"/>
  <c r="L28" i="15" s="1"/>
  <c r="N28" i="15" s="1"/>
  <c r="B28" i="15"/>
  <c r="X27" i="15"/>
  <c r="T27" i="15"/>
  <c r="Z27" i="15" s="1"/>
  <c r="P27" i="15"/>
  <c r="L27" i="15"/>
  <c r="N27" i="15" s="1"/>
  <c r="H27" i="15"/>
  <c r="D27" i="15"/>
  <c r="B27" i="15"/>
  <c r="X26" i="15"/>
  <c r="T26" i="15"/>
  <c r="Z26" i="15" s="1"/>
  <c r="P26" i="15"/>
  <c r="N26" i="15"/>
  <c r="L26" i="15"/>
  <c r="H26" i="15"/>
  <c r="D26" i="15"/>
  <c r="B26" i="15"/>
  <c r="T25" i="15"/>
  <c r="P25" i="15"/>
  <c r="H25" i="15"/>
  <c r="D25" i="15"/>
  <c r="L25" i="15" s="1"/>
  <c r="N25" i="15" s="1"/>
  <c r="B25" i="15"/>
  <c r="T24" i="15"/>
  <c r="Z24" i="15" s="1"/>
  <c r="P24" i="15"/>
  <c r="X24" i="15" s="1"/>
  <c r="H24" i="15"/>
  <c r="D24" i="15"/>
  <c r="L24" i="15" s="1"/>
  <c r="N24" i="15" s="1"/>
  <c r="B24" i="15"/>
  <c r="X23" i="15"/>
  <c r="T23" i="15"/>
  <c r="P23" i="15"/>
  <c r="L23" i="15"/>
  <c r="H23" i="15"/>
  <c r="N23" i="15" s="1"/>
  <c r="D23" i="15"/>
  <c r="B23" i="15"/>
  <c r="X22" i="15"/>
  <c r="T22" i="15"/>
  <c r="P22" i="15"/>
  <c r="N22" i="15"/>
  <c r="L22" i="15"/>
  <c r="H22" i="15"/>
  <c r="D22" i="15"/>
  <c r="B22" i="15"/>
  <c r="T21" i="15"/>
  <c r="P21" i="15"/>
  <c r="N21" i="15"/>
  <c r="H21" i="15"/>
  <c r="D21" i="15"/>
  <c r="L21" i="15" s="1"/>
  <c r="B21" i="15"/>
  <c r="T20" i="15"/>
  <c r="P20" i="15"/>
  <c r="H20" i="15"/>
  <c r="D20" i="15"/>
  <c r="L20" i="15" s="1"/>
  <c r="N20" i="15" s="1"/>
  <c r="B20" i="15"/>
  <c r="X19" i="15"/>
  <c r="T19" i="15"/>
  <c r="Z19" i="15" s="1"/>
  <c r="P19" i="15"/>
  <c r="L19" i="15"/>
  <c r="N19" i="15" s="1"/>
  <c r="H19" i="15"/>
  <c r="D19" i="15"/>
  <c r="B19" i="15"/>
  <c r="X18" i="15"/>
  <c r="T18" i="15"/>
  <c r="Z18" i="15" s="1"/>
  <c r="P18" i="15"/>
  <c r="N18" i="15"/>
  <c r="L18" i="15"/>
  <c r="H18" i="15"/>
  <c r="D18" i="15"/>
  <c r="B18" i="15"/>
  <c r="T17" i="15"/>
  <c r="P17" i="15"/>
  <c r="X17" i="15" s="1"/>
  <c r="N17" i="15"/>
  <c r="H17" i="15"/>
  <c r="D17" i="15"/>
  <c r="L17" i="15" s="1"/>
  <c r="B17" i="15"/>
  <c r="T16" i="15"/>
  <c r="P16" i="15"/>
  <c r="H16" i="15"/>
  <c r="D16" i="15"/>
  <c r="L16" i="15" s="1"/>
  <c r="N16" i="15" s="1"/>
  <c r="B16" i="15"/>
  <c r="X15" i="15"/>
  <c r="T15" i="15"/>
  <c r="Z15" i="15" s="1"/>
  <c r="P15" i="15"/>
  <c r="L15" i="15"/>
  <c r="N15" i="15" s="1"/>
  <c r="H15" i="15"/>
  <c r="D15" i="15"/>
  <c r="B15" i="15"/>
  <c r="X14" i="15"/>
  <c r="T14" i="15"/>
  <c r="Z14" i="15" s="1"/>
  <c r="P14" i="15"/>
  <c r="N14" i="15"/>
  <c r="L14" i="15"/>
  <c r="H14" i="15"/>
  <c r="D14" i="15"/>
  <c r="B14" i="15"/>
  <c r="T13" i="15"/>
  <c r="T12" i="15" s="1"/>
  <c r="V185" i="15" s="1"/>
  <c r="P13" i="15"/>
  <c r="X13" i="15" s="1"/>
  <c r="H13" i="15"/>
  <c r="D13" i="15"/>
  <c r="L13" i="15" s="1"/>
  <c r="N13" i="15" s="1"/>
  <c r="B13" i="15"/>
  <c r="P12" i="15"/>
  <c r="R235" i="15" s="1"/>
  <c r="H12" i="15"/>
  <c r="J239" i="15" s="1"/>
  <c r="D4" i="15"/>
  <c r="Z256" i="12"/>
  <c r="X256" i="12"/>
  <c r="L256" i="12"/>
  <c r="N256" i="12" s="1"/>
  <c r="Z252" i="12"/>
  <c r="T252" i="12"/>
  <c r="X252" i="12" s="1"/>
  <c r="P252" i="12"/>
  <c r="H252" i="12"/>
  <c r="N252" i="12" s="1"/>
  <c r="D252" i="12"/>
  <c r="L252" i="12" s="1"/>
  <c r="B252" i="12"/>
  <c r="T251" i="12"/>
  <c r="T245" i="12" s="1"/>
  <c r="P251" i="12"/>
  <c r="X251" i="12" s="1"/>
  <c r="Z251" i="12" s="1"/>
  <c r="H251" i="12"/>
  <c r="D251" i="12"/>
  <c r="L251" i="12" s="1"/>
  <c r="B251" i="12"/>
  <c r="X250" i="12"/>
  <c r="T250" i="12"/>
  <c r="P250" i="12"/>
  <c r="H250" i="12"/>
  <c r="D250" i="12"/>
  <c r="L250" i="12" s="1"/>
  <c r="B250" i="12"/>
  <c r="Z249" i="12"/>
  <c r="X249" i="12"/>
  <c r="T249" i="12"/>
  <c r="P249" i="12"/>
  <c r="H249" i="12"/>
  <c r="D249" i="12"/>
  <c r="B249" i="12"/>
  <c r="Z248" i="12"/>
  <c r="X248" i="12"/>
  <c r="T248" i="12"/>
  <c r="P248" i="12"/>
  <c r="H248" i="12"/>
  <c r="N248" i="12" s="1"/>
  <c r="D248" i="12"/>
  <c r="L248" i="12" s="1"/>
  <c r="B248" i="12"/>
  <c r="T247" i="12"/>
  <c r="P247" i="12"/>
  <c r="X247" i="12" s="1"/>
  <c r="Z247" i="12" s="1"/>
  <c r="L247" i="12"/>
  <c r="H247" i="12"/>
  <c r="D247" i="12"/>
  <c r="D245" i="12" s="1"/>
  <c r="B247" i="12"/>
  <c r="T246" i="12"/>
  <c r="Z246" i="12" s="1"/>
  <c r="P246" i="12"/>
  <c r="X246" i="12" s="1"/>
  <c r="N246" i="12"/>
  <c r="H246" i="12"/>
  <c r="D246" i="12"/>
  <c r="B246" i="12"/>
  <c r="P245" i="12"/>
  <c r="X245" i="12" s="1"/>
  <c r="X243" i="12"/>
  <c r="Z243" i="12" s="1"/>
  <c r="L243" i="12"/>
  <c r="N243" i="12" s="1"/>
  <c r="B243" i="12"/>
  <c r="Z242" i="12"/>
  <c r="X242" i="12"/>
  <c r="T242" i="12"/>
  <c r="P242" i="12"/>
  <c r="H242" i="12"/>
  <c r="D242" i="12"/>
  <c r="L242" i="12" s="1"/>
  <c r="B242" i="12"/>
  <c r="X241" i="12"/>
  <c r="Z241" i="12" s="1"/>
  <c r="N241" i="12"/>
  <c r="L241" i="12"/>
  <c r="B241" i="12"/>
  <c r="X240" i="12"/>
  <c r="Z240" i="12" s="1"/>
  <c r="N240" i="12"/>
  <c r="L240" i="12"/>
  <c r="B240" i="12"/>
  <c r="X239" i="12"/>
  <c r="Z239" i="12" s="1"/>
  <c r="N239" i="12"/>
  <c r="L239" i="12"/>
  <c r="B239" i="12"/>
  <c r="T238" i="12"/>
  <c r="Z238" i="12" s="1"/>
  <c r="P238" i="12"/>
  <c r="X238" i="12" s="1"/>
  <c r="L238" i="12"/>
  <c r="H238" i="12"/>
  <c r="N238" i="12" s="1"/>
  <c r="D238" i="12"/>
  <c r="B238" i="12"/>
  <c r="X237" i="12"/>
  <c r="Z237" i="12" s="1"/>
  <c r="N237" i="12"/>
  <c r="L237" i="12"/>
  <c r="B237" i="12"/>
  <c r="T236" i="12"/>
  <c r="P236" i="12"/>
  <c r="X236" i="12" s="1"/>
  <c r="H236" i="12"/>
  <c r="D236" i="12"/>
  <c r="B236" i="12"/>
  <c r="X235" i="12"/>
  <c r="Z235" i="12" s="1"/>
  <c r="L235" i="12"/>
  <c r="N235" i="12" s="1"/>
  <c r="B235" i="12"/>
  <c r="Z234" i="12"/>
  <c r="X234" i="12"/>
  <c r="N234" i="12"/>
  <c r="L234" i="12"/>
  <c r="B234" i="12"/>
  <c r="T233" i="12"/>
  <c r="P233" i="12"/>
  <c r="X233" i="12" s="1"/>
  <c r="Z233" i="12" s="1"/>
  <c r="H233" i="12"/>
  <c r="D233" i="12"/>
  <c r="L233" i="12" s="1"/>
  <c r="B233" i="12"/>
  <c r="X232" i="12"/>
  <c r="Z232" i="12" s="1"/>
  <c r="N232" i="12"/>
  <c r="L232" i="12"/>
  <c r="B232" i="12"/>
  <c r="X231" i="12"/>
  <c r="Z231" i="12" s="1"/>
  <c r="N231" i="12"/>
  <c r="L231" i="12"/>
  <c r="B231" i="12"/>
  <c r="Z230" i="12"/>
  <c r="X230" i="12"/>
  <c r="N230" i="12"/>
  <c r="L230" i="12"/>
  <c r="B230" i="12"/>
  <c r="X229" i="12"/>
  <c r="Z229" i="12" s="1"/>
  <c r="L229" i="12"/>
  <c r="N229" i="12" s="1"/>
  <c r="B229" i="12"/>
  <c r="X228" i="12"/>
  <c r="Z228" i="12" s="1"/>
  <c r="L228" i="12"/>
  <c r="N228" i="12" s="1"/>
  <c r="B228" i="12"/>
  <c r="X227" i="12"/>
  <c r="Z227" i="12" s="1"/>
  <c r="N227" i="12"/>
  <c r="L227" i="12"/>
  <c r="B227" i="12"/>
  <c r="Z226" i="12"/>
  <c r="X226" i="12"/>
  <c r="N226" i="12"/>
  <c r="L226" i="12"/>
  <c r="B226" i="12"/>
  <c r="T225" i="12"/>
  <c r="Z225" i="12" s="1"/>
  <c r="P225" i="12"/>
  <c r="X225" i="12" s="1"/>
  <c r="L225" i="12"/>
  <c r="H225" i="12"/>
  <c r="N225" i="12" s="1"/>
  <c r="D225" i="12"/>
  <c r="B225" i="12"/>
  <c r="X224" i="12"/>
  <c r="Z224" i="12" s="1"/>
  <c r="N224" i="12"/>
  <c r="L224" i="12"/>
  <c r="B224" i="12"/>
  <c r="Z223" i="12"/>
  <c r="X223" i="12"/>
  <c r="L223" i="12"/>
  <c r="N223" i="12" s="1"/>
  <c r="B223" i="12"/>
  <c r="T222" i="12"/>
  <c r="X222" i="12" s="1"/>
  <c r="P222" i="12"/>
  <c r="H222" i="12"/>
  <c r="N222" i="12" s="1"/>
  <c r="D222" i="12"/>
  <c r="L222" i="12" s="1"/>
  <c r="B222" i="12"/>
  <c r="Z221" i="12"/>
  <c r="X221" i="12"/>
  <c r="N221" i="12"/>
  <c r="L221" i="12"/>
  <c r="B221" i="12"/>
  <c r="X220" i="12"/>
  <c r="Z220" i="12" s="1"/>
  <c r="L220" i="12"/>
  <c r="N220" i="12" s="1"/>
  <c r="B220" i="12"/>
  <c r="X219" i="12"/>
  <c r="Z219" i="12" s="1"/>
  <c r="L219" i="12"/>
  <c r="N219" i="12" s="1"/>
  <c r="B219" i="12"/>
  <c r="Z218" i="12"/>
  <c r="X218" i="12"/>
  <c r="L218" i="12"/>
  <c r="N218" i="12" s="1"/>
  <c r="B218" i="12"/>
  <c r="Z217" i="12"/>
  <c r="X217" i="12"/>
  <c r="N217" i="12"/>
  <c r="L217" i="12"/>
  <c r="B217" i="12"/>
  <c r="T216" i="12"/>
  <c r="Z216" i="12" s="1"/>
  <c r="P216" i="12"/>
  <c r="X216" i="12" s="1"/>
  <c r="H216" i="12"/>
  <c r="N216" i="12" s="1"/>
  <c r="D216" i="12"/>
  <c r="L216" i="12" s="1"/>
  <c r="B216" i="12"/>
  <c r="X215" i="12"/>
  <c r="Z215" i="12" s="1"/>
  <c r="N215" i="12"/>
  <c r="L215" i="12"/>
  <c r="B215" i="12"/>
  <c r="X214" i="12"/>
  <c r="Z214" i="12" s="1"/>
  <c r="N214" i="12"/>
  <c r="L214" i="12"/>
  <c r="B214" i="12"/>
  <c r="Z213" i="12"/>
  <c r="X213" i="12"/>
  <c r="N213" i="12"/>
  <c r="L213" i="12"/>
  <c r="B213" i="12"/>
  <c r="X212" i="12"/>
  <c r="T212" i="12"/>
  <c r="P212" i="12"/>
  <c r="H212" i="12"/>
  <c r="N212" i="12" s="1"/>
  <c r="D212" i="12"/>
  <c r="L212" i="12" s="1"/>
  <c r="B212" i="12"/>
  <c r="Z211" i="12"/>
  <c r="X211" i="12"/>
  <c r="N211" i="12"/>
  <c r="L211" i="12"/>
  <c r="B211" i="12"/>
  <c r="Z210" i="12"/>
  <c r="X210" i="12"/>
  <c r="N210" i="12"/>
  <c r="L210" i="12"/>
  <c r="B210" i="12"/>
  <c r="X209" i="12"/>
  <c r="Z209" i="12" s="1"/>
  <c r="N209" i="12"/>
  <c r="L209" i="12"/>
  <c r="B209" i="12"/>
  <c r="X208" i="12"/>
  <c r="T208" i="12"/>
  <c r="Z208" i="12" s="1"/>
  <c r="P208" i="12"/>
  <c r="H208" i="12"/>
  <c r="L208" i="12" s="1"/>
  <c r="D208" i="12"/>
  <c r="B208" i="12"/>
  <c r="X207" i="12"/>
  <c r="Z207" i="12" s="1"/>
  <c r="L207" i="12"/>
  <c r="N207" i="12" s="1"/>
  <c r="B207" i="12"/>
  <c r="T206" i="12"/>
  <c r="P206" i="12"/>
  <c r="X206" i="12" s="1"/>
  <c r="J206" i="12"/>
  <c r="H206" i="12"/>
  <c r="N206" i="12" s="1"/>
  <c r="D206" i="12"/>
  <c r="L206" i="12" s="1"/>
  <c r="B206" i="12"/>
  <c r="X205" i="12"/>
  <c r="Z205" i="12" s="1"/>
  <c r="N205" i="12"/>
  <c r="L205" i="12"/>
  <c r="B205" i="12"/>
  <c r="X204" i="12"/>
  <c r="T204" i="12"/>
  <c r="P204" i="12"/>
  <c r="N204" i="12"/>
  <c r="H204" i="12"/>
  <c r="D204" i="12"/>
  <c r="L204" i="12" s="1"/>
  <c r="B204" i="12"/>
  <c r="Z203" i="12"/>
  <c r="X203" i="12"/>
  <c r="L203" i="12"/>
  <c r="N203" i="12" s="1"/>
  <c r="B203" i="12"/>
  <c r="Z202" i="12"/>
  <c r="T202" i="12"/>
  <c r="X202" i="12" s="1"/>
  <c r="P202" i="12"/>
  <c r="H202" i="12"/>
  <c r="N202" i="12" s="1"/>
  <c r="D202" i="12"/>
  <c r="L202" i="12" s="1"/>
  <c r="B202" i="12"/>
  <c r="Z201" i="12"/>
  <c r="X201" i="12"/>
  <c r="N201" i="12"/>
  <c r="L201" i="12"/>
  <c r="B201" i="12"/>
  <c r="T200" i="12"/>
  <c r="P200" i="12"/>
  <c r="X200" i="12" s="1"/>
  <c r="H200" i="12"/>
  <c r="N200" i="12" s="1"/>
  <c r="D200" i="12"/>
  <c r="L200" i="12" s="1"/>
  <c r="B200" i="12"/>
  <c r="X199" i="12"/>
  <c r="Z199" i="12" s="1"/>
  <c r="N199" i="12"/>
  <c r="L199" i="12"/>
  <c r="B199" i="12"/>
  <c r="T198" i="12"/>
  <c r="P198" i="12"/>
  <c r="X198" i="12" s="1"/>
  <c r="L198" i="12"/>
  <c r="H198" i="12"/>
  <c r="N198" i="12" s="1"/>
  <c r="D198" i="12"/>
  <c r="B198" i="12"/>
  <c r="X197" i="12"/>
  <c r="Z197" i="12" s="1"/>
  <c r="N197" i="12"/>
  <c r="L197" i="12"/>
  <c r="J197" i="12"/>
  <c r="B197" i="12"/>
  <c r="X196" i="12"/>
  <c r="T196" i="12"/>
  <c r="Z196" i="12" s="1"/>
  <c r="P196" i="12"/>
  <c r="H196" i="12"/>
  <c r="D196" i="12"/>
  <c r="B196" i="12"/>
  <c r="Z195" i="12"/>
  <c r="X195" i="12"/>
  <c r="L195" i="12"/>
  <c r="N195" i="12" s="1"/>
  <c r="B195" i="12"/>
  <c r="X194" i="12"/>
  <c r="Z194" i="12" s="1"/>
  <c r="N194" i="12"/>
  <c r="L194" i="12"/>
  <c r="B194" i="12"/>
  <c r="T193" i="12"/>
  <c r="P193" i="12"/>
  <c r="X193" i="12" s="1"/>
  <c r="Z193" i="12" s="1"/>
  <c r="H193" i="12"/>
  <c r="D193" i="12"/>
  <c r="L193" i="12" s="1"/>
  <c r="N193" i="12" s="1"/>
  <c r="B193" i="12"/>
  <c r="X192" i="12"/>
  <c r="Z192" i="12" s="1"/>
  <c r="L192" i="12"/>
  <c r="N192" i="12" s="1"/>
  <c r="B192" i="12"/>
  <c r="X191" i="12"/>
  <c r="T191" i="12"/>
  <c r="Z191" i="12" s="1"/>
  <c r="P191" i="12"/>
  <c r="H191" i="12"/>
  <c r="N191" i="12" s="1"/>
  <c r="D191" i="12"/>
  <c r="L191" i="12" s="1"/>
  <c r="B191" i="12"/>
  <c r="Z190" i="12"/>
  <c r="X190" i="12"/>
  <c r="N190" i="12"/>
  <c r="L190" i="12"/>
  <c r="B190" i="12"/>
  <c r="T189" i="12"/>
  <c r="P189" i="12"/>
  <c r="N189" i="12"/>
  <c r="H189" i="12"/>
  <c r="D189" i="12"/>
  <c r="L189" i="12" s="1"/>
  <c r="B189" i="12"/>
  <c r="Z188" i="12"/>
  <c r="X188" i="12"/>
  <c r="L188" i="12"/>
  <c r="N188" i="12" s="1"/>
  <c r="B188" i="12"/>
  <c r="T187" i="12"/>
  <c r="P187" i="12"/>
  <c r="X187" i="12" s="1"/>
  <c r="H187" i="12"/>
  <c r="D187" i="12"/>
  <c r="L187" i="12" s="1"/>
  <c r="N187" i="12" s="1"/>
  <c r="B187" i="12"/>
  <c r="Z186" i="12"/>
  <c r="X186" i="12"/>
  <c r="N186" i="12"/>
  <c r="L186" i="12"/>
  <c r="B186" i="12"/>
  <c r="X185" i="12"/>
  <c r="Z185" i="12" s="1"/>
  <c r="N185" i="12"/>
  <c r="L185" i="12"/>
  <c r="B185" i="12"/>
  <c r="X184" i="12"/>
  <c r="T184" i="12"/>
  <c r="P184" i="12"/>
  <c r="H184" i="12"/>
  <c r="D184" i="12"/>
  <c r="L184" i="12" s="1"/>
  <c r="N184" i="12" s="1"/>
  <c r="B184" i="12"/>
  <c r="Z183" i="12"/>
  <c r="X183" i="12"/>
  <c r="L183" i="12"/>
  <c r="N183" i="12" s="1"/>
  <c r="B183" i="12"/>
  <c r="Z182" i="12"/>
  <c r="X182" i="12"/>
  <c r="N182" i="12"/>
  <c r="L182" i="12"/>
  <c r="B182" i="12"/>
  <c r="T181" i="12"/>
  <c r="P181" i="12"/>
  <c r="H181" i="12"/>
  <c r="D181" i="12"/>
  <c r="L181" i="12" s="1"/>
  <c r="N181" i="12" s="1"/>
  <c r="B181" i="12"/>
  <c r="X180" i="12"/>
  <c r="Z180" i="12" s="1"/>
  <c r="L180" i="12"/>
  <c r="N180" i="12" s="1"/>
  <c r="B180" i="12"/>
  <c r="T179" i="12"/>
  <c r="Z179" i="12" s="1"/>
  <c r="P179" i="12"/>
  <c r="X179" i="12" s="1"/>
  <c r="J179" i="12"/>
  <c r="H179" i="12"/>
  <c r="D179" i="12"/>
  <c r="L179" i="12" s="1"/>
  <c r="N179" i="12" s="1"/>
  <c r="B179" i="12"/>
  <c r="Z178" i="12"/>
  <c r="X178" i="12"/>
  <c r="N178" i="12"/>
  <c r="L178" i="12"/>
  <c r="B178" i="12"/>
  <c r="T177" i="12"/>
  <c r="P177" i="12"/>
  <c r="L177" i="12"/>
  <c r="H177" i="12"/>
  <c r="D177" i="12"/>
  <c r="B177" i="12"/>
  <c r="Z176" i="12"/>
  <c r="X176" i="12"/>
  <c r="N176" i="12"/>
  <c r="L176" i="12"/>
  <c r="B176" i="12"/>
  <c r="Z175" i="12"/>
  <c r="T175" i="12"/>
  <c r="P175" i="12"/>
  <c r="X175" i="12" s="1"/>
  <c r="H175" i="12"/>
  <c r="D175" i="12"/>
  <c r="L175" i="12" s="1"/>
  <c r="B175" i="12"/>
  <c r="Z174" i="12"/>
  <c r="X174" i="12"/>
  <c r="N174" i="12"/>
  <c r="L174" i="12"/>
  <c r="B174" i="12"/>
  <c r="Z173" i="12"/>
  <c r="X173" i="12"/>
  <c r="L173" i="12"/>
  <c r="N173" i="12" s="1"/>
  <c r="B173" i="12"/>
  <c r="X172" i="12"/>
  <c r="Z172" i="12" s="1"/>
  <c r="L172" i="12"/>
  <c r="N172" i="12" s="1"/>
  <c r="B172" i="12"/>
  <c r="X171" i="12"/>
  <c r="Z171" i="12" s="1"/>
  <c r="L171" i="12"/>
  <c r="N171" i="12" s="1"/>
  <c r="B171" i="12"/>
  <c r="X170" i="12"/>
  <c r="Z170" i="12" s="1"/>
  <c r="N170" i="12"/>
  <c r="L170" i="12"/>
  <c r="B170" i="12"/>
  <c r="Z169" i="12"/>
  <c r="X169" i="12"/>
  <c r="L169" i="12"/>
  <c r="N169" i="12" s="1"/>
  <c r="B169" i="12"/>
  <c r="Z168" i="12"/>
  <c r="X168" i="12"/>
  <c r="L168" i="12"/>
  <c r="N168" i="12" s="1"/>
  <c r="B168" i="12"/>
  <c r="T167" i="12"/>
  <c r="Z167" i="12" s="1"/>
  <c r="P167" i="12"/>
  <c r="X167" i="12" s="1"/>
  <c r="H167" i="12"/>
  <c r="D167" i="12"/>
  <c r="L167" i="12" s="1"/>
  <c r="N167" i="12" s="1"/>
  <c r="B167" i="12"/>
  <c r="X166" i="12"/>
  <c r="Z166" i="12" s="1"/>
  <c r="N166" i="12"/>
  <c r="L166" i="12"/>
  <c r="B166" i="12"/>
  <c r="X165" i="12"/>
  <c r="Z165" i="12" s="1"/>
  <c r="N165" i="12"/>
  <c r="L165" i="12"/>
  <c r="B165" i="12"/>
  <c r="X164" i="12"/>
  <c r="Z164" i="12" s="1"/>
  <c r="N164" i="12"/>
  <c r="L164" i="12"/>
  <c r="B164" i="12"/>
  <c r="X163" i="12"/>
  <c r="Z163" i="12" s="1"/>
  <c r="N163" i="12"/>
  <c r="L163" i="12"/>
  <c r="B163" i="12"/>
  <c r="X162" i="12"/>
  <c r="Z162" i="12" s="1"/>
  <c r="N162" i="12"/>
  <c r="L162" i="12"/>
  <c r="B162" i="12"/>
  <c r="X161" i="12"/>
  <c r="Z161" i="12" s="1"/>
  <c r="L161" i="12"/>
  <c r="N161" i="12" s="1"/>
  <c r="B161" i="12"/>
  <c r="X160" i="12"/>
  <c r="Z160" i="12" s="1"/>
  <c r="L160" i="12"/>
  <c r="N160" i="12" s="1"/>
  <c r="B160" i="12"/>
  <c r="X159" i="12"/>
  <c r="Z159" i="12" s="1"/>
  <c r="N159" i="12"/>
  <c r="L159" i="12"/>
  <c r="B159" i="12"/>
  <c r="X158" i="12"/>
  <c r="Z158" i="12" s="1"/>
  <c r="N158" i="12"/>
  <c r="L158" i="12"/>
  <c r="B158" i="12"/>
  <c r="T157" i="12"/>
  <c r="P157" i="12"/>
  <c r="X157" i="12" s="1"/>
  <c r="Z157" i="12" s="1"/>
  <c r="L157" i="12"/>
  <c r="H157" i="12"/>
  <c r="N157" i="12" s="1"/>
  <c r="D157" i="12"/>
  <c r="B157" i="12"/>
  <c r="T156" i="12"/>
  <c r="Z156" i="12" s="1"/>
  <c r="P156" i="12"/>
  <c r="X156" i="12" s="1"/>
  <c r="H156" i="12"/>
  <c r="D156" i="12"/>
  <c r="Z152" i="12"/>
  <c r="X152" i="12"/>
  <c r="N152" i="12"/>
  <c r="L152" i="12"/>
  <c r="B152" i="12"/>
  <c r="Z151" i="12"/>
  <c r="X151" i="12"/>
  <c r="N151" i="12"/>
  <c r="L151" i="12"/>
  <c r="B151" i="12"/>
  <c r="Z150" i="12"/>
  <c r="X150" i="12"/>
  <c r="R150" i="12"/>
  <c r="L150" i="12"/>
  <c r="N150" i="12" s="1"/>
  <c r="B150" i="12"/>
  <c r="Z149" i="12"/>
  <c r="X149" i="12"/>
  <c r="N149" i="12"/>
  <c r="L149" i="12"/>
  <c r="B149" i="12"/>
  <c r="X148" i="12"/>
  <c r="Z148" i="12" s="1"/>
  <c r="L148" i="12"/>
  <c r="N148" i="12" s="1"/>
  <c r="J148" i="12"/>
  <c r="B148" i="12"/>
  <c r="Z147" i="12"/>
  <c r="X147" i="12"/>
  <c r="L147" i="12"/>
  <c r="N147" i="12" s="1"/>
  <c r="B147" i="12"/>
  <c r="Z146" i="12"/>
  <c r="X146" i="12"/>
  <c r="L146" i="12"/>
  <c r="N146" i="12" s="1"/>
  <c r="B146" i="12"/>
  <c r="Z145" i="12"/>
  <c r="X145" i="12"/>
  <c r="N145" i="12"/>
  <c r="L145" i="12"/>
  <c r="B145" i="12"/>
  <c r="X144" i="12"/>
  <c r="Z144" i="12" s="1"/>
  <c r="N144" i="12"/>
  <c r="L144" i="12"/>
  <c r="B144" i="12"/>
  <c r="Z143" i="12"/>
  <c r="X143" i="12"/>
  <c r="L143" i="12"/>
  <c r="N143" i="12" s="1"/>
  <c r="B143" i="12"/>
  <c r="Z142" i="12"/>
  <c r="X142" i="12"/>
  <c r="N142" i="12"/>
  <c r="L142" i="12"/>
  <c r="B142" i="12"/>
  <c r="Z141" i="12"/>
  <c r="X141" i="12"/>
  <c r="L141" i="12"/>
  <c r="N141" i="12" s="1"/>
  <c r="B141" i="12"/>
  <c r="X140" i="12"/>
  <c r="Z140" i="12" s="1"/>
  <c r="L140" i="12"/>
  <c r="N140" i="12" s="1"/>
  <c r="B140" i="12"/>
  <c r="Z139" i="12"/>
  <c r="X139" i="12"/>
  <c r="L139" i="12"/>
  <c r="N139" i="12" s="1"/>
  <c r="B139" i="12"/>
  <c r="Z138" i="12"/>
  <c r="X138" i="12"/>
  <c r="L138" i="12"/>
  <c r="N138" i="12" s="1"/>
  <c r="B138" i="12"/>
  <c r="Z137" i="12"/>
  <c r="X137" i="12"/>
  <c r="L137" i="12"/>
  <c r="N137" i="12" s="1"/>
  <c r="B137" i="12"/>
  <c r="Z136" i="12"/>
  <c r="X136" i="12"/>
  <c r="L136" i="12"/>
  <c r="N136" i="12" s="1"/>
  <c r="B136" i="12"/>
  <c r="Z135" i="12"/>
  <c r="X135" i="12"/>
  <c r="N135" i="12"/>
  <c r="L135" i="12"/>
  <c r="B135" i="12"/>
  <c r="Z134" i="12"/>
  <c r="X134" i="12"/>
  <c r="R134" i="12"/>
  <c r="L134" i="12"/>
  <c r="N134" i="12" s="1"/>
  <c r="B134" i="12"/>
  <c r="Z133" i="12"/>
  <c r="X133" i="12"/>
  <c r="R133" i="12"/>
  <c r="L133" i="12"/>
  <c r="N133" i="12" s="1"/>
  <c r="B133" i="12"/>
  <c r="X132" i="12"/>
  <c r="Z132" i="12" s="1"/>
  <c r="L132" i="12"/>
  <c r="N132" i="12" s="1"/>
  <c r="J132" i="12"/>
  <c r="B132" i="12"/>
  <c r="Z131" i="12"/>
  <c r="X131" i="12"/>
  <c r="L131" i="12"/>
  <c r="N131" i="12" s="1"/>
  <c r="B131" i="12"/>
  <c r="Z130" i="12"/>
  <c r="X130" i="12"/>
  <c r="L130" i="12"/>
  <c r="N130" i="12" s="1"/>
  <c r="B130" i="12"/>
  <c r="Z129" i="12"/>
  <c r="X129" i="12"/>
  <c r="L129" i="12"/>
  <c r="N129" i="12" s="1"/>
  <c r="B129" i="12"/>
  <c r="X128" i="12"/>
  <c r="Z128" i="12" s="1"/>
  <c r="L128" i="12"/>
  <c r="N128" i="12" s="1"/>
  <c r="B128" i="12"/>
  <c r="Z127" i="12"/>
  <c r="X127" i="12"/>
  <c r="L127" i="12"/>
  <c r="N127" i="12" s="1"/>
  <c r="B127" i="12"/>
  <c r="Z126" i="12"/>
  <c r="X126" i="12"/>
  <c r="R126" i="12"/>
  <c r="L126" i="12"/>
  <c r="N126" i="12" s="1"/>
  <c r="B126" i="12"/>
  <c r="Z125" i="12"/>
  <c r="X125" i="12"/>
  <c r="R125" i="12"/>
  <c r="L125" i="12"/>
  <c r="N125" i="12" s="1"/>
  <c r="B125" i="12"/>
  <c r="X124" i="12"/>
  <c r="Z124" i="12" s="1"/>
  <c r="L124" i="12"/>
  <c r="N124" i="12" s="1"/>
  <c r="J124" i="12"/>
  <c r="B124" i="12"/>
  <c r="Z123" i="12"/>
  <c r="X123" i="12"/>
  <c r="L123" i="12"/>
  <c r="N123" i="12" s="1"/>
  <c r="B123" i="12"/>
  <c r="Z122" i="12"/>
  <c r="X122" i="12"/>
  <c r="L122" i="12"/>
  <c r="N122" i="12" s="1"/>
  <c r="B122" i="12"/>
  <c r="Z121" i="12"/>
  <c r="X121" i="12"/>
  <c r="L121" i="12"/>
  <c r="N121" i="12" s="1"/>
  <c r="B121" i="12"/>
  <c r="Z120" i="12"/>
  <c r="X120" i="12"/>
  <c r="L120" i="12"/>
  <c r="N120" i="12" s="1"/>
  <c r="B120" i="12"/>
  <c r="Z119" i="12"/>
  <c r="X119" i="12"/>
  <c r="L119" i="12"/>
  <c r="N119" i="12" s="1"/>
  <c r="B119" i="12"/>
  <c r="Z118" i="12"/>
  <c r="X118" i="12"/>
  <c r="L118" i="12"/>
  <c r="N118" i="12" s="1"/>
  <c r="B118" i="12"/>
  <c r="Z117" i="12"/>
  <c r="X117" i="12"/>
  <c r="L117" i="12"/>
  <c r="N117" i="12" s="1"/>
  <c r="B117" i="12"/>
  <c r="X116" i="12"/>
  <c r="Z116" i="12" s="1"/>
  <c r="L116" i="12"/>
  <c r="N116" i="12" s="1"/>
  <c r="B116" i="12"/>
  <c r="Z115" i="12"/>
  <c r="X115" i="12"/>
  <c r="L115" i="12"/>
  <c r="N115" i="12" s="1"/>
  <c r="B115" i="12"/>
  <c r="Z114" i="12"/>
  <c r="X114" i="12"/>
  <c r="L114" i="12"/>
  <c r="N114" i="12" s="1"/>
  <c r="B114" i="12"/>
  <c r="Z113" i="12"/>
  <c r="X113" i="12"/>
  <c r="L113" i="12"/>
  <c r="N113" i="12" s="1"/>
  <c r="B113" i="12"/>
  <c r="Z112" i="12"/>
  <c r="X112" i="12"/>
  <c r="N112" i="12"/>
  <c r="L112" i="12"/>
  <c r="J112" i="12"/>
  <c r="B112" i="12"/>
  <c r="Z111" i="12"/>
  <c r="X111" i="12"/>
  <c r="L111" i="12"/>
  <c r="N111" i="12" s="1"/>
  <c r="J111" i="12"/>
  <c r="B111" i="12"/>
  <c r="Z110" i="12"/>
  <c r="X110" i="12"/>
  <c r="L110" i="12"/>
  <c r="N110" i="12" s="1"/>
  <c r="B110" i="12"/>
  <c r="Z109" i="12"/>
  <c r="X109" i="12"/>
  <c r="L109" i="12"/>
  <c r="N109" i="12" s="1"/>
  <c r="B109" i="12"/>
  <c r="X108" i="12"/>
  <c r="Z108" i="12" s="1"/>
  <c r="R108" i="12"/>
  <c r="L108" i="12"/>
  <c r="N108" i="12" s="1"/>
  <c r="B108" i="12"/>
  <c r="X107" i="12"/>
  <c r="Z107" i="12" s="1"/>
  <c r="L107" i="12"/>
  <c r="N107" i="12" s="1"/>
  <c r="B107" i="12"/>
  <c r="X106" i="12"/>
  <c r="Z106" i="12" s="1"/>
  <c r="N106" i="12"/>
  <c r="L106" i="12"/>
  <c r="B106" i="12"/>
  <c r="X105" i="12"/>
  <c r="Z105" i="12" s="1"/>
  <c r="N105" i="12"/>
  <c r="L105" i="12"/>
  <c r="B105" i="12"/>
  <c r="X104" i="12"/>
  <c r="Z104" i="12" s="1"/>
  <c r="N104" i="12"/>
  <c r="L104" i="12"/>
  <c r="B104" i="12"/>
  <c r="X103" i="12"/>
  <c r="Z103" i="12" s="1"/>
  <c r="L103" i="12"/>
  <c r="N103" i="12" s="1"/>
  <c r="B103" i="12"/>
  <c r="T102" i="12"/>
  <c r="Z102" i="12" s="1"/>
  <c r="R102" i="12"/>
  <c r="P102" i="12"/>
  <c r="X102" i="12" s="1"/>
  <c r="H102" i="12"/>
  <c r="D102" i="12"/>
  <c r="L102" i="12" s="1"/>
  <c r="T100" i="12"/>
  <c r="Z100" i="12" s="1"/>
  <c r="P100" i="12"/>
  <c r="X100" i="12" s="1"/>
  <c r="N100" i="12"/>
  <c r="L100" i="12"/>
  <c r="H100" i="12"/>
  <c r="D100" i="12"/>
  <c r="B100" i="12"/>
  <c r="X99" i="12"/>
  <c r="T99" i="12"/>
  <c r="Z99" i="12" s="1"/>
  <c r="P99" i="12"/>
  <c r="H99" i="12"/>
  <c r="D99" i="12"/>
  <c r="L99" i="12" s="1"/>
  <c r="B99" i="12"/>
  <c r="T98" i="12"/>
  <c r="P98" i="12"/>
  <c r="N98" i="12"/>
  <c r="L98" i="12"/>
  <c r="H98" i="12"/>
  <c r="D98" i="12"/>
  <c r="B98" i="12"/>
  <c r="X97" i="12"/>
  <c r="T97" i="12"/>
  <c r="Z97" i="12" s="1"/>
  <c r="P97" i="12"/>
  <c r="N97" i="12"/>
  <c r="H97" i="12"/>
  <c r="D97" i="12"/>
  <c r="L97" i="12" s="1"/>
  <c r="B97" i="12"/>
  <c r="T96" i="12"/>
  <c r="Z96" i="12" s="1"/>
  <c r="P96" i="12"/>
  <c r="X96" i="12" s="1"/>
  <c r="N96" i="12"/>
  <c r="L96" i="12"/>
  <c r="H96" i="12"/>
  <c r="D96" i="12"/>
  <c r="B96" i="12"/>
  <c r="X95" i="12"/>
  <c r="T95" i="12"/>
  <c r="Z95" i="12" s="1"/>
  <c r="P95" i="12"/>
  <c r="H95" i="12"/>
  <c r="D95" i="12"/>
  <c r="L95" i="12" s="1"/>
  <c r="B95" i="12"/>
  <c r="T94" i="12"/>
  <c r="P94" i="12"/>
  <c r="N94" i="12"/>
  <c r="L94" i="12"/>
  <c r="H94" i="12"/>
  <c r="D94" i="12"/>
  <c r="B94" i="12"/>
  <c r="X93" i="12"/>
  <c r="T93" i="12"/>
  <c r="P93" i="12"/>
  <c r="H93" i="12"/>
  <c r="D93" i="12"/>
  <c r="L93" i="12" s="1"/>
  <c r="N93" i="12" s="1"/>
  <c r="B93" i="12"/>
  <c r="T92" i="12"/>
  <c r="P92" i="12"/>
  <c r="X92" i="12" s="1"/>
  <c r="N92" i="12"/>
  <c r="L92" i="12"/>
  <c r="H92" i="12"/>
  <c r="D92" i="12"/>
  <c r="B92" i="12"/>
  <c r="X91" i="12"/>
  <c r="T91" i="12"/>
  <c r="P91" i="12"/>
  <c r="H91" i="12"/>
  <c r="N91" i="12" s="1"/>
  <c r="D91" i="12"/>
  <c r="L91" i="12" s="1"/>
  <c r="B91" i="12"/>
  <c r="T90" i="12"/>
  <c r="P90" i="12"/>
  <c r="N90" i="12"/>
  <c r="L90" i="12"/>
  <c r="H90" i="12"/>
  <c r="D90" i="12"/>
  <c r="B90" i="12"/>
  <c r="X89" i="12"/>
  <c r="T89" i="12"/>
  <c r="P89" i="12"/>
  <c r="H89" i="12"/>
  <c r="D89" i="12"/>
  <c r="L89" i="12" s="1"/>
  <c r="N89" i="12" s="1"/>
  <c r="B89" i="12"/>
  <c r="T88" i="12"/>
  <c r="Z88" i="12" s="1"/>
  <c r="P88" i="12"/>
  <c r="X88" i="12" s="1"/>
  <c r="N88" i="12"/>
  <c r="L88" i="12"/>
  <c r="H88" i="12"/>
  <c r="D88" i="12"/>
  <c r="B88" i="12"/>
  <c r="X87" i="12"/>
  <c r="T87" i="12"/>
  <c r="Z87" i="12" s="1"/>
  <c r="P87" i="12"/>
  <c r="H87" i="12"/>
  <c r="D87" i="12"/>
  <c r="L87" i="12" s="1"/>
  <c r="B87" i="12"/>
  <c r="T86" i="12"/>
  <c r="P86" i="12"/>
  <c r="N86" i="12"/>
  <c r="L86" i="12"/>
  <c r="H86" i="12"/>
  <c r="D86" i="12"/>
  <c r="B86" i="12"/>
  <c r="X85" i="12"/>
  <c r="T85" i="12"/>
  <c r="P85" i="12"/>
  <c r="H85" i="12"/>
  <c r="D85" i="12"/>
  <c r="L85" i="12" s="1"/>
  <c r="N85" i="12" s="1"/>
  <c r="B85" i="12"/>
  <c r="T84" i="12"/>
  <c r="Z84" i="12" s="1"/>
  <c r="P84" i="12"/>
  <c r="X84" i="12" s="1"/>
  <c r="N84" i="12"/>
  <c r="L84" i="12"/>
  <c r="H84" i="12"/>
  <c r="D84" i="12"/>
  <c r="B84" i="12"/>
  <c r="X83" i="12"/>
  <c r="T83" i="12"/>
  <c r="Z83" i="12" s="1"/>
  <c r="P83" i="12"/>
  <c r="H83" i="12"/>
  <c r="N83" i="12" s="1"/>
  <c r="D83" i="12"/>
  <c r="L83" i="12" s="1"/>
  <c r="B83" i="12"/>
  <c r="T82" i="12"/>
  <c r="P82" i="12"/>
  <c r="N82" i="12"/>
  <c r="L82" i="12"/>
  <c r="H82" i="12"/>
  <c r="D82" i="12"/>
  <c r="B82" i="12"/>
  <c r="X81" i="12"/>
  <c r="T81" i="12"/>
  <c r="Z81" i="12" s="1"/>
  <c r="P81" i="12"/>
  <c r="H81" i="12"/>
  <c r="D81" i="12"/>
  <c r="L81" i="12" s="1"/>
  <c r="N81" i="12" s="1"/>
  <c r="B81" i="12"/>
  <c r="T80" i="12"/>
  <c r="Z80" i="12" s="1"/>
  <c r="P80" i="12"/>
  <c r="X80" i="12" s="1"/>
  <c r="N80" i="12"/>
  <c r="L80" i="12"/>
  <c r="H80" i="12"/>
  <c r="D80" i="12"/>
  <c r="B80" i="12"/>
  <c r="X79" i="12"/>
  <c r="T79" i="12"/>
  <c r="P79" i="12"/>
  <c r="H79" i="12"/>
  <c r="N79" i="12" s="1"/>
  <c r="D79" i="12"/>
  <c r="L79" i="12" s="1"/>
  <c r="B79" i="12"/>
  <c r="T78" i="12"/>
  <c r="P78" i="12"/>
  <c r="N78" i="12"/>
  <c r="L78" i="12"/>
  <c r="H78" i="12"/>
  <c r="D78" i="12"/>
  <c r="B78" i="12"/>
  <c r="X77" i="12"/>
  <c r="T77" i="12"/>
  <c r="P77" i="12"/>
  <c r="H77" i="12"/>
  <c r="D77" i="12"/>
  <c r="L77" i="12" s="1"/>
  <c r="N77" i="12" s="1"/>
  <c r="B77" i="12"/>
  <c r="T76" i="12"/>
  <c r="Z76" i="12" s="1"/>
  <c r="P76" i="12"/>
  <c r="X76" i="12" s="1"/>
  <c r="N76" i="12"/>
  <c r="L76" i="12"/>
  <c r="H76" i="12"/>
  <c r="D76" i="12"/>
  <c r="B76" i="12"/>
  <c r="X75" i="12"/>
  <c r="T75" i="12"/>
  <c r="Z75" i="12" s="1"/>
  <c r="P75" i="12"/>
  <c r="H75" i="12"/>
  <c r="N75" i="12" s="1"/>
  <c r="D75" i="12"/>
  <c r="L75" i="12" s="1"/>
  <c r="B75" i="12"/>
  <c r="T74" i="12"/>
  <c r="P74" i="12"/>
  <c r="N74" i="12"/>
  <c r="L74" i="12"/>
  <c r="H74" i="12"/>
  <c r="D74" i="12"/>
  <c r="B74" i="12"/>
  <c r="X73" i="12"/>
  <c r="T73" i="12"/>
  <c r="P73" i="12"/>
  <c r="N73" i="12"/>
  <c r="H73" i="12"/>
  <c r="D73" i="12"/>
  <c r="L73" i="12" s="1"/>
  <c r="B73" i="12"/>
  <c r="T72" i="12"/>
  <c r="P72" i="12"/>
  <c r="X72" i="12" s="1"/>
  <c r="N72" i="12"/>
  <c r="L72" i="12"/>
  <c r="H72" i="12"/>
  <c r="D72" i="12"/>
  <c r="B72" i="12"/>
  <c r="X71" i="12"/>
  <c r="T71" i="12"/>
  <c r="P71" i="12"/>
  <c r="H71" i="12"/>
  <c r="D71" i="12"/>
  <c r="L71" i="12" s="1"/>
  <c r="B71" i="12"/>
  <c r="T70" i="12"/>
  <c r="P70" i="12"/>
  <c r="N70" i="12"/>
  <c r="L70" i="12"/>
  <c r="H70" i="12"/>
  <c r="D70" i="12"/>
  <c r="B70" i="12"/>
  <c r="X69" i="12"/>
  <c r="T69" i="12"/>
  <c r="P69" i="12"/>
  <c r="H69" i="12"/>
  <c r="D69" i="12"/>
  <c r="L69" i="12" s="1"/>
  <c r="N69" i="12" s="1"/>
  <c r="B69" i="12"/>
  <c r="T68" i="12"/>
  <c r="Z68" i="12" s="1"/>
  <c r="P68" i="12"/>
  <c r="X68" i="12" s="1"/>
  <c r="N68" i="12"/>
  <c r="L68" i="12"/>
  <c r="H68" i="12"/>
  <c r="D68" i="12"/>
  <c r="B68" i="12"/>
  <c r="X67" i="12"/>
  <c r="T67" i="12"/>
  <c r="Z67" i="12" s="1"/>
  <c r="P67" i="12"/>
  <c r="H67" i="12"/>
  <c r="D67" i="12"/>
  <c r="L67" i="12" s="1"/>
  <c r="B67" i="12"/>
  <c r="T66" i="12"/>
  <c r="P66" i="12"/>
  <c r="N66" i="12"/>
  <c r="L66" i="12"/>
  <c r="H66" i="12"/>
  <c r="D66" i="12"/>
  <c r="B66" i="12"/>
  <c r="X65" i="12"/>
  <c r="T65" i="12"/>
  <c r="Z65" i="12" s="1"/>
  <c r="P65" i="12"/>
  <c r="H65" i="12"/>
  <c r="D65" i="12"/>
  <c r="L65" i="12" s="1"/>
  <c r="N65" i="12" s="1"/>
  <c r="B65" i="12"/>
  <c r="T64" i="12"/>
  <c r="P64" i="12"/>
  <c r="X64" i="12" s="1"/>
  <c r="N64" i="12"/>
  <c r="L64" i="12"/>
  <c r="H64" i="12"/>
  <c r="D64" i="12"/>
  <c r="B64" i="12"/>
  <c r="X63" i="12"/>
  <c r="T63" i="12"/>
  <c r="P63" i="12"/>
  <c r="H63" i="12"/>
  <c r="N63" i="12" s="1"/>
  <c r="D63" i="12"/>
  <c r="L63" i="12" s="1"/>
  <c r="B63" i="12"/>
  <c r="T62" i="12"/>
  <c r="P62" i="12"/>
  <c r="N62" i="12"/>
  <c r="L62" i="12"/>
  <c r="H62" i="12"/>
  <c r="D62" i="12"/>
  <c r="B62" i="12"/>
  <c r="X61" i="12"/>
  <c r="T61" i="12"/>
  <c r="Z61" i="12" s="1"/>
  <c r="P61" i="12"/>
  <c r="H61" i="12"/>
  <c r="D61" i="12"/>
  <c r="L61" i="12" s="1"/>
  <c r="N61" i="12" s="1"/>
  <c r="B61" i="12"/>
  <c r="T60" i="12"/>
  <c r="P60" i="12"/>
  <c r="X60" i="12" s="1"/>
  <c r="N60" i="12"/>
  <c r="L60" i="12"/>
  <c r="H60" i="12"/>
  <c r="D60" i="12"/>
  <c r="B60" i="12"/>
  <c r="X59" i="12"/>
  <c r="T59" i="12"/>
  <c r="Z59" i="12" s="1"/>
  <c r="P59" i="12"/>
  <c r="H59" i="12"/>
  <c r="D59" i="12"/>
  <c r="L59" i="12" s="1"/>
  <c r="B59" i="12"/>
  <c r="T58" i="12"/>
  <c r="P58" i="12"/>
  <c r="N58" i="12"/>
  <c r="L58" i="12"/>
  <c r="H58" i="12"/>
  <c r="D58" i="12"/>
  <c r="B58" i="12"/>
  <c r="X57" i="12"/>
  <c r="T57" i="12"/>
  <c r="P57" i="12"/>
  <c r="H57" i="12"/>
  <c r="D57" i="12"/>
  <c r="L57" i="12" s="1"/>
  <c r="N57" i="12" s="1"/>
  <c r="B57" i="12"/>
  <c r="T56" i="12"/>
  <c r="Z56" i="12" s="1"/>
  <c r="P56" i="12"/>
  <c r="X56" i="12" s="1"/>
  <c r="N56" i="12"/>
  <c r="L56" i="12"/>
  <c r="H56" i="12"/>
  <c r="D56" i="12"/>
  <c r="B56" i="12"/>
  <c r="X55" i="12"/>
  <c r="T55" i="12"/>
  <c r="P55" i="12"/>
  <c r="H55" i="12"/>
  <c r="D55" i="12"/>
  <c r="L55" i="12" s="1"/>
  <c r="B55" i="12"/>
  <c r="T54" i="12"/>
  <c r="P54" i="12"/>
  <c r="N54" i="12"/>
  <c r="L54" i="12"/>
  <c r="H54" i="12"/>
  <c r="D54" i="12"/>
  <c r="B54" i="12"/>
  <c r="X53" i="12"/>
  <c r="T53" i="12"/>
  <c r="Z53" i="12" s="1"/>
  <c r="P53" i="12"/>
  <c r="H53" i="12"/>
  <c r="D53" i="12"/>
  <c r="L53" i="12" s="1"/>
  <c r="N53" i="12" s="1"/>
  <c r="B53" i="12"/>
  <c r="T52" i="12"/>
  <c r="P52" i="12"/>
  <c r="X52" i="12" s="1"/>
  <c r="N52" i="12"/>
  <c r="L52" i="12"/>
  <c r="H52" i="12"/>
  <c r="D52" i="12"/>
  <c r="B52" i="12"/>
  <c r="X51" i="12"/>
  <c r="T51" i="12"/>
  <c r="P51" i="12"/>
  <c r="H51" i="12"/>
  <c r="N51" i="12" s="1"/>
  <c r="D51" i="12"/>
  <c r="L51" i="12" s="1"/>
  <c r="B51" i="12"/>
  <c r="T50" i="12"/>
  <c r="P50" i="12"/>
  <c r="N50" i="12"/>
  <c r="L50" i="12"/>
  <c r="H50" i="12"/>
  <c r="D50" i="12"/>
  <c r="B50" i="12"/>
  <c r="X49" i="12"/>
  <c r="T49" i="12"/>
  <c r="Z49" i="12" s="1"/>
  <c r="P49" i="12"/>
  <c r="H49" i="12"/>
  <c r="D49" i="12"/>
  <c r="L49" i="12" s="1"/>
  <c r="N49" i="12" s="1"/>
  <c r="B49" i="12"/>
  <c r="T48" i="12"/>
  <c r="P48" i="12"/>
  <c r="N48" i="12"/>
  <c r="L48" i="12"/>
  <c r="H48" i="12"/>
  <c r="D48" i="12"/>
  <c r="B48" i="12"/>
  <c r="X47" i="12"/>
  <c r="T47" i="12"/>
  <c r="P47" i="12"/>
  <c r="H47" i="12"/>
  <c r="D47" i="12"/>
  <c r="L47" i="12" s="1"/>
  <c r="N47" i="12" s="1"/>
  <c r="B47" i="12"/>
  <c r="T46" i="12"/>
  <c r="P46" i="12"/>
  <c r="N46" i="12"/>
  <c r="L46" i="12"/>
  <c r="H46" i="12"/>
  <c r="D46" i="12"/>
  <c r="B46" i="12"/>
  <c r="X45" i="12"/>
  <c r="T45" i="12"/>
  <c r="P45" i="12"/>
  <c r="H45" i="12"/>
  <c r="D45" i="12"/>
  <c r="L45" i="12" s="1"/>
  <c r="N45" i="12" s="1"/>
  <c r="B45" i="12"/>
  <c r="T44" i="12"/>
  <c r="P44" i="12"/>
  <c r="N44" i="12"/>
  <c r="L44" i="12"/>
  <c r="H44" i="12"/>
  <c r="D44" i="12"/>
  <c r="B44" i="12"/>
  <c r="X43" i="12"/>
  <c r="T43" i="12"/>
  <c r="P43" i="12"/>
  <c r="H43" i="12"/>
  <c r="D43" i="12"/>
  <c r="L43" i="12" s="1"/>
  <c r="N43" i="12" s="1"/>
  <c r="B43" i="12"/>
  <c r="T42" i="12"/>
  <c r="P42" i="12"/>
  <c r="N42" i="12"/>
  <c r="L42" i="12"/>
  <c r="H42" i="12"/>
  <c r="D42" i="12"/>
  <c r="B42" i="12"/>
  <c r="X41" i="12"/>
  <c r="T41" i="12"/>
  <c r="Z41" i="12" s="1"/>
  <c r="P41" i="12"/>
  <c r="H41" i="12"/>
  <c r="D41" i="12"/>
  <c r="L41" i="12" s="1"/>
  <c r="N41" i="12" s="1"/>
  <c r="B41" i="12"/>
  <c r="T40" i="12"/>
  <c r="P40" i="12"/>
  <c r="N40" i="12"/>
  <c r="L40" i="12"/>
  <c r="H40" i="12"/>
  <c r="D40" i="12"/>
  <c r="B40" i="12"/>
  <c r="X39" i="12"/>
  <c r="T39" i="12"/>
  <c r="P39" i="12"/>
  <c r="H39" i="12"/>
  <c r="D39" i="12"/>
  <c r="L39" i="12" s="1"/>
  <c r="N39" i="12" s="1"/>
  <c r="B39" i="12"/>
  <c r="T38" i="12"/>
  <c r="P38" i="12"/>
  <c r="N38" i="12"/>
  <c r="L38" i="12"/>
  <c r="H38" i="12"/>
  <c r="D38" i="12"/>
  <c r="B38" i="12"/>
  <c r="X37" i="12"/>
  <c r="T37" i="12"/>
  <c r="Z37" i="12" s="1"/>
  <c r="P37" i="12"/>
  <c r="H37" i="12"/>
  <c r="D37" i="12"/>
  <c r="L37" i="12" s="1"/>
  <c r="N37" i="12" s="1"/>
  <c r="B37" i="12"/>
  <c r="T36" i="12"/>
  <c r="P36" i="12"/>
  <c r="N36" i="12"/>
  <c r="L36" i="12"/>
  <c r="H36" i="12"/>
  <c r="D36" i="12"/>
  <c r="B36" i="12"/>
  <c r="X35" i="12"/>
  <c r="T35" i="12"/>
  <c r="Z35" i="12" s="1"/>
  <c r="P35" i="12"/>
  <c r="H35" i="12"/>
  <c r="D35" i="12"/>
  <c r="L35" i="12" s="1"/>
  <c r="N35" i="12" s="1"/>
  <c r="B35" i="12"/>
  <c r="T34" i="12"/>
  <c r="P34" i="12"/>
  <c r="N34" i="12"/>
  <c r="L34" i="12"/>
  <c r="H34" i="12"/>
  <c r="D34" i="12"/>
  <c r="B34" i="12"/>
  <c r="X33" i="12"/>
  <c r="T33" i="12"/>
  <c r="P33" i="12"/>
  <c r="H33" i="12"/>
  <c r="D33" i="12"/>
  <c r="L33" i="12" s="1"/>
  <c r="N33" i="12" s="1"/>
  <c r="B33" i="12"/>
  <c r="T32" i="12"/>
  <c r="P32" i="12"/>
  <c r="N32" i="12"/>
  <c r="L32" i="12"/>
  <c r="H32" i="12"/>
  <c r="D32" i="12"/>
  <c r="B32" i="12"/>
  <c r="X31" i="12"/>
  <c r="T31" i="12"/>
  <c r="P31" i="12"/>
  <c r="H31" i="12"/>
  <c r="D31" i="12"/>
  <c r="L31" i="12" s="1"/>
  <c r="N31" i="12" s="1"/>
  <c r="B31" i="12"/>
  <c r="T30" i="12"/>
  <c r="P30" i="12"/>
  <c r="N30" i="12"/>
  <c r="L30" i="12"/>
  <c r="H30" i="12"/>
  <c r="D30" i="12"/>
  <c r="B30" i="12"/>
  <c r="X29" i="12"/>
  <c r="T29" i="12"/>
  <c r="Z29" i="12" s="1"/>
  <c r="P29" i="12"/>
  <c r="H29" i="12"/>
  <c r="D29" i="12"/>
  <c r="L29" i="12" s="1"/>
  <c r="N29" i="12" s="1"/>
  <c r="B29" i="12"/>
  <c r="T28" i="12"/>
  <c r="P28" i="12"/>
  <c r="N28" i="12"/>
  <c r="L28" i="12"/>
  <c r="H28" i="12"/>
  <c r="D28" i="12"/>
  <c r="B28" i="12"/>
  <c r="X27" i="12"/>
  <c r="T27" i="12"/>
  <c r="P27" i="12"/>
  <c r="H27" i="12"/>
  <c r="N27" i="12" s="1"/>
  <c r="D27" i="12"/>
  <c r="L27" i="12" s="1"/>
  <c r="B27" i="12"/>
  <c r="T26" i="12"/>
  <c r="P26" i="12"/>
  <c r="N26" i="12"/>
  <c r="L26" i="12"/>
  <c r="H26" i="12"/>
  <c r="D26" i="12"/>
  <c r="B26" i="12"/>
  <c r="X25" i="12"/>
  <c r="T25" i="12"/>
  <c r="Z25" i="12" s="1"/>
  <c r="P25" i="12"/>
  <c r="H25" i="12"/>
  <c r="D25" i="12"/>
  <c r="L25" i="12" s="1"/>
  <c r="N25" i="12" s="1"/>
  <c r="B25" i="12"/>
  <c r="T24" i="12"/>
  <c r="P24" i="12"/>
  <c r="N24" i="12"/>
  <c r="L24" i="12"/>
  <c r="H24" i="12"/>
  <c r="D24" i="12"/>
  <c r="B24" i="12"/>
  <c r="X23" i="12"/>
  <c r="T23" i="12"/>
  <c r="P23" i="12"/>
  <c r="H23" i="12"/>
  <c r="D23" i="12"/>
  <c r="L23" i="12" s="1"/>
  <c r="N23" i="12" s="1"/>
  <c r="B23" i="12"/>
  <c r="T22" i="12"/>
  <c r="P22" i="12"/>
  <c r="N22" i="12"/>
  <c r="L22" i="12"/>
  <c r="H22" i="12"/>
  <c r="D22" i="12"/>
  <c r="B22" i="12"/>
  <c r="X21" i="12"/>
  <c r="T21" i="12"/>
  <c r="P21" i="12"/>
  <c r="N21" i="12"/>
  <c r="H21" i="12"/>
  <c r="D21" i="12"/>
  <c r="L21" i="12" s="1"/>
  <c r="B21" i="12"/>
  <c r="T20" i="12"/>
  <c r="P20" i="12"/>
  <c r="N20" i="12"/>
  <c r="L20" i="12"/>
  <c r="H20" i="12"/>
  <c r="D20" i="12"/>
  <c r="B20" i="12"/>
  <c r="X19" i="12"/>
  <c r="T19" i="12"/>
  <c r="Z19" i="12" s="1"/>
  <c r="P19" i="12"/>
  <c r="H19" i="12"/>
  <c r="D19" i="12"/>
  <c r="L19" i="12" s="1"/>
  <c r="N19" i="12" s="1"/>
  <c r="B19" i="12"/>
  <c r="T18" i="12"/>
  <c r="P18" i="12"/>
  <c r="N18" i="12"/>
  <c r="L18" i="12"/>
  <c r="H18" i="12"/>
  <c r="D18" i="12"/>
  <c r="B18" i="12"/>
  <c r="X17" i="12"/>
  <c r="T17" i="12"/>
  <c r="P17" i="12"/>
  <c r="H17" i="12"/>
  <c r="D17" i="12"/>
  <c r="L17" i="12" s="1"/>
  <c r="N17" i="12" s="1"/>
  <c r="B17" i="12"/>
  <c r="T16" i="12"/>
  <c r="P16" i="12"/>
  <c r="N16" i="12"/>
  <c r="L16" i="12"/>
  <c r="H16" i="12"/>
  <c r="D16" i="12"/>
  <c r="B16" i="12"/>
  <c r="X15" i="12"/>
  <c r="T15" i="12"/>
  <c r="Z15" i="12" s="1"/>
  <c r="P15" i="12"/>
  <c r="H15" i="12"/>
  <c r="N15" i="12" s="1"/>
  <c r="D15" i="12"/>
  <c r="L15" i="12" s="1"/>
  <c r="B15" i="12"/>
  <c r="T14" i="12"/>
  <c r="P14" i="12"/>
  <c r="N14" i="12"/>
  <c r="L14" i="12"/>
  <c r="H14" i="12"/>
  <c r="D14" i="12"/>
  <c r="B14" i="12"/>
  <c r="X13" i="12"/>
  <c r="T13" i="12"/>
  <c r="T12" i="12" s="1"/>
  <c r="V173" i="12" s="1"/>
  <c r="P13" i="12"/>
  <c r="H13" i="12"/>
  <c r="D13" i="12"/>
  <c r="B13" i="12"/>
  <c r="P12" i="12"/>
  <c r="R209" i="12" s="1"/>
  <c r="H12" i="12"/>
  <c r="J242" i="12" s="1"/>
  <c r="D4" i="12"/>
  <c r="Z92" i="9"/>
  <c r="X92" i="9"/>
  <c r="N92" i="9"/>
  <c r="L92" i="9"/>
  <c r="T88" i="9"/>
  <c r="P88" i="9"/>
  <c r="H88" i="9"/>
  <c r="D88" i="9"/>
  <c r="X86" i="9"/>
  <c r="Z86" i="9" s="1"/>
  <c r="R86" i="9"/>
  <c r="N86" i="9"/>
  <c r="L86" i="9"/>
  <c r="B86" i="9"/>
  <c r="Z85" i="9"/>
  <c r="X85" i="9"/>
  <c r="N85" i="9"/>
  <c r="L85" i="9"/>
  <c r="J85" i="9"/>
  <c r="B85" i="9"/>
  <c r="T84" i="9"/>
  <c r="P84" i="9"/>
  <c r="H84" i="9"/>
  <c r="D84" i="9"/>
  <c r="B84" i="9"/>
  <c r="Z83" i="9"/>
  <c r="X83" i="9"/>
  <c r="V83" i="9"/>
  <c r="N83" i="9"/>
  <c r="L83" i="9"/>
  <c r="B83" i="9"/>
  <c r="T82" i="9"/>
  <c r="P82" i="9"/>
  <c r="X82" i="9" s="1"/>
  <c r="Z82" i="9" s="1"/>
  <c r="H82" i="9"/>
  <c r="D82" i="9"/>
  <c r="L82" i="9" s="1"/>
  <c r="B82" i="9"/>
  <c r="Z81" i="9"/>
  <c r="X81" i="9"/>
  <c r="N81" i="9"/>
  <c r="L81" i="9"/>
  <c r="B81" i="9"/>
  <c r="X80" i="9"/>
  <c r="Z80" i="9" s="1"/>
  <c r="L80" i="9"/>
  <c r="N80" i="9" s="1"/>
  <c r="B80" i="9"/>
  <c r="T79" i="9"/>
  <c r="Z79" i="9" s="1"/>
  <c r="R79" i="9"/>
  <c r="P79" i="9"/>
  <c r="X79" i="9" s="1"/>
  <c r="H79" i="9"/>
  <c r="D79" i="9"/>
  <c r="L79" i="9" s="1"/>
  <c r="N79" i="9" s="1"/>
  <c r="B79" i="9"/>
  <c r="X78" i="9"/>
  <c r="Z78" i="9" s="1"/>
  <c r="R78" i="9"/>
  <c r="N78" i="9"/>
  <c r="L78" i="9"/>
  <c r="B78" i="9"/>
  <c r="Z77" i="9"/>
  <c r="X77" i="9"/>
  <c r="N77" i="9"/>
  <c r="L77" i="9"/>
  <c r="J77" i="9"/>
  <c r="B77" i="9"/>
  <c r="X76" i="9"/>
  <c r="Z76" i="9" s="1"/>
  <c r="R76" i="9"/>
  <c r="N76" i="9"/>
  <c r="L76" i="9"/>
  <c r="B76" i="9"/>
  <c r="Z75" i="9"/>
  <c r="X75" i="9"/>
  <c r="N75" i="9"/>
  <c r="L75" i="9"/>
  <c r="J75" i="9"/>
  <c r="B75" i="9"/>
  <c r="T74" i="9"/>
  <c r="P74" i="9"/>
  <c r="H74" i="9"/>
  <c r="D74" i="9"/>
  <c r="B74" i="9"/>
  <c r="Z73" i="9"/>
  <c r="X73" i="9"/>
  <c r="V73" i="9"/>
  <c r="N73" i="9"/>
  <c r="L73" i="9"/>
  <c r="B73" i="9"/>
  <c r="T72" i="9"/>
  <c r="P72" i="9"/>
  <c r="X72" i="9" s="1"/>
  <c r="H72" i="9"/>
  <c r="D72" i="9"/>
  <c r="L72" i="9" s="1"/>
  <c r="N72" i="9" s="1"/>
  <c r="B72" i="9"/>
  <c r="Z71" i="9"/>
  <c r="X71" i="9"/>
  <c r="N71" i="9"/>
  <c r="L71" i="9"/>
  <c r="B71" i="9"/>
  <c r="X70" i="9"/>
  <c r="Z70" i="9" s="1"/>
  <c r="L70" i="9"/>
  <c r="N70" i="9" s="1"/>
  <c r="B70" i="9"/>
  <c r="T69" i="9"/>
  <c r="R69" i="9"/>
  <c r="P69" i="9"/>
  <c r="X69" i="9" s="1"/>
  <c r="Z69" i="9" s="1"/>
  <c r="H69" i="9"/>
  <c r="D69" i="9"/>
  <c r="L69" i="9" s="1"/>
  <c r="B69" i="9"/>
  <c r="X68" i="9"/>
  <c r="Z68" i="9" s="1"/>
  <c r="R68" i="9"/>
  <c r="N68" i="9"/>
  <c r="L68" i="9"/>
  <c r="B68" i="9"/>
  <c r="Z67" i="9"/>
  <c r="X67" i="9"/>
  <c r="N67" i="9"/>
  <c r="L67" i="9"/>
  <c r="J67" i="9"/>
  <c r="B67" i="9"/>
  <c r="X66" i="9"/>
  <c r="Z66" i="9" s="1"/>
  <c r="R66" i="9"/>
  <c r="N66" i="9"/>
  <c r="L66" i="9"/>
  <c r="B66" i="9"/>
  <c r="Z65" i="9"/>
  <c r="X65" i="9"/>
  <c r="T65" i="9"/>
  <c r="P65" i="9"/>
  <c r="N65" i="9"/>
  <c r="L65" i="9"/>
  <c r="H65" i="9"/>
  <c r="D65" i="9"/>
  <c r="B65" i="9"/>
  <c r="Z64" i="9"/>
  <c r="X64" i="9"/>
  <c r="N64" i="9"/>
  <c r="L64" i="9"/>
  <c r="B64" i="9"/>
  <c r="Z63" i="9"/>
  <c r="X63" i="9"/>
  <c r="V63" i="9"/>
  <c r="N63" i="9"/>
  <c r="L63" i="9"/>
  <c r="B63" i="9"/>
  <c r="Z62" i="9"/>
  <c r="X62" i="9"/>
  <c r="N62" i="9"/>
  <c r="L62" i="9"/>
  <c r="B62" i="9"/>
  <c r="Z61" i="9"/>
  <c r="X61" i="9"/>
  <c r="V61" i="9"/>
  <c r="N61" i="9"/>
  <c r="L61" i="9"/>
  <c r="B61" i="9"/>
  <c r="T60" i="9"/>
  <c r="P60" i="9"/>
  <c r="X60" i="9" s="1"/>
  <c r="N60" i="9"/>
  <c r="H60" i="9"/>
  <c r="D60" i="9"/>
  <c r="L60" i="9" s="1"/>
  <c r="B60" i="9"/>
  <c r="X59" i="9"/>
  <c r="Z59" i="9" s="1"/>
  <c r="N59" i="9"/>
  <c r="L59" i="9"/>
  <c r="B59" i="9"/>
  <c r="X58" i="9"/>
  <c r="T58" i="9"/>
  <c r="Z58" i="9" s="1"/>
  <c r="P58" i="9"/>
  <c r="L58" i="9"/>
  <c r="J58" i="9"/>
  <c r="H58" i="9"/>
  <c r="D58" i="9"/>
  <c r="B58" i="9"/>
  <c r="Z57" i="9"/>
  <c r="X57" i="9"/>
  <c r="N57" i="9"/>
  <c r="L57" i="9"/>
  <c r="J57" i="9"/>
  <c r="B57" i="9"/>
  <c r="T56" i="9"/>
  <c r="P56" i="9"/>
  <c r="H56" i="9"/>
  <c r="D56" i="9"/>
  <c r="B56" i="9"/>
  <c r="Z55" i="9"/>
  <c r="X55" i="9"/>
  <c r="V55" i="9"/>
  <c r="N55" i="9"/>
  <c r="L55" i="9"/>
  <c r="B55" i="9"/>
  <c r="T54" i="9"/>
  <c r="P54" i="9"/>
  <c r="X54" i="9" s="1"/>
  <c r="Z54" i="9" s="1"/>
  <c r="H54" i="9"/>
  <c r="N54" i="9" s="1"/>
  <c r="D54" i="9"/>
  <c r="L54" i="9" s="1"/>
  <c r="B54" i="9"/>
  <c r="Z53" i="9"/>
  <c r="X53" i="9"/>
  <c r="N53" i="9"/>
  <c r="L53" i="9"/>
  <c r="B53" i="9"/>
  <c r="X52" i="9"/>
  <c r="T52" i="9"/>
  <c r="Z52" i="9" s="1"/>
  <c r="P52" i="9"/>
  <c r="L52" i="9"/>
  <c r="H52" i="9"/>
  <c r="N52" i="9" s="1"/>
  <c r="D52" i="9"/>
  <c r="B52" i="9"/>
  <c r="Z51" i="9"/>
  <c r="X51" i="9"/>
  <c r="N51" i="9"/>
  <c r="L51" i="9"/>
  <c r="J51" i="9"/>
  <c r="B51" i="9"/>
  <c r="T50" i="9"/>
  <c r="P50" i="9"/>
  <c r="H50" i="9"/>
  <c r="D50" i="9"/>
  <c r="B50" i="9"/>
  <c r="Z49" i="9"/>
  <c r="X49" i="9"/>
  <c r="V49" i="9"/>
  <c r="N49" i="9"/>
  <c r="L49" i="9"/>
  <c r="B49" i="9"/>
  <c r="T48" i="9"/>
  <c r="P48" i="9"/>
  <c r="X48" i="9" s="1"/>
  <c r="N48" i="9"/>
  <c r="H48" i="9"/>
  <c r="D48" i="9"/>
  <c r="L48" i="9" s="1"/>
  <c r="B48" i="9"/>
  <c r="Z47" i="9"/>
  <c r="X47" i="9"/>
  <c r="N47" i="9"/>
  <c r="L47" i="9"/>
  <c r="B47" i="9"/>
  <c r="X46" i="9"/>
  <c r="Z46" i="9" s="1"/>
  <c r="L46" i="9"/>
  <c r="N46" i="9" s="1"/>
  <c r="B46" i="9"/>
  <c r="T45" i="9"/>
  <c r="R45" i="9"/>
  <c r="P45" i="9"/>
  <c r="X45" i="9" s="1"/>
  <c r="Z45" i="9" s="1"/>
  <c r="H45" i="9"/>
  <c r="D45" i="9"/>
  <c r="L45" i="9" s="1"/>
  <c r="N45" i="9" s="1"/>
  <c r="B45" i="9"/>
  <c r="X44" i="9"/>
  <c r="Z44" i="9" s="1"/>
  <c r="R44" i="9"/>
  <c r="N44" i="9"/>
  <c r="L44" i="9"/>
  <c r="B44" i="9"/>
  <c r="Z43" i="9"/>
  <c r="X43" i="9"/>
  <c r="T43" i="9"/>
  <c r="P43" i="9"/>
  <c r="N43" i="9"/>
  <c r="L43" i="9"/>
  <c r="H43" i="9"/>
  <c r="D43" i="9"/>
  <c r="B43" i="9"/>
  <c r="Z42" i="9"/>
  <c r="X42" i="9"/>
  <c r="L42" i="9"/>
  <c r="N42" i="9" s="1"/>
  <c r="B42" i="9"/>
  <c r="V41" i="9"/>
  <c r="T41" i="9"/>
  <c r="P41" i="9"/>
  <c r="J41" i="9"/>
  <c r="H41" i="9"/>
  <c r="N41" i="9" s="1"/>
  <c r="D41" i="9"/>
  <c r="L41" i="9" s="1"/>
  <c r="B41" i="9"/>
  <c r="X40" i="9"/>
  <c r="Z40" i="9" s="1"/>
  <c r="V40" i="9"/>
  <c r="L40" i="9"/>
  <c r="N40" i="9" s="1"/>
  <c r="F40" i="9"/>
  <c r="B40" i="9"/>
  <c r="T39" i="9"/>
  <c r="Z39" i="9" s="1"/>
  <c r="R39" i="9"/>
  <c r="P39" i="9"/>
  <c r="X39" i="9" s="1"/>
  <c r="H39" i="9"/>
  <c r="D39" i="9"/>
  <c r="L39" i="9" s="1"/>
  <c r="N39" i="9" s="1"/>
  <c r="B39" i="9"/>
  <c r="Z38" i="9"/>
  <c r="X38" i="9"/>
  <c r="R38" i="9"/>
  <c r="N38" i="9"/>
  <c r="L38" i="9"/>
  <c r="B38" i="9"/>
  <c r="Z37" i="9"/>
  <c r="X37" i="9"/>
  <c r="N37" i="9"/>
  <c r="L37" i="9"/>
  <c r="J37" i="9"/>
  <c r="B37" i="9"/>
  <c r="X36" i="9"/>
  <c r="Z36" i="9" s="1"/>
  <c r="R36" i="9"/>
  <c r="N36" i="9"/>
  <c r="L36" i="9"/>
  <c r="B36" i="9"/>
  <c r="Z35" i="9"/>
  <c r="X35" i="9"/>
  <c r="N35" i="9"/>
  <c r="L35" i="9"/>
  <c r="J35" i="9"/>
  <c r="B35" i="9"/>
  <c r="X34" i="9"/>
  <c r="Z34" i="9" s="1"/>
  <c r="R34" i="9"/>
  <c r="N34" i="9"/>
  <c r="L34" i="9"/>
  <c r="B34" i="9"/>
  <c r="Z33" i="9"/>
  <c r="X33" i="9"/>
  <c r="N33" i="9"/>
  <c r="L33" i="9"/>
  <c r="J33" i="9"/>
  <c r="B33" i="9"/>
  <c r="X32" i="9"/>
  <c r="Z32" i="9" s="1"/>
  <c r="R32" i="9"/>
  <c r="N32" i="9"/>
  <c r="L32" i="9"/>
  <c r="B32" i="9"/>
  <c r="Z31" i="9"/>
  <c r="X31" i="9"/>
  <c r="T31" i="9"/>
  <c r="P31" i="9"/>
  <c r="N31" i="9"/>
  <c r="L31" i="9"/>
  <c r="H31" i="9"/>
  <c r="D31" i="9"/>
  <c r="B31" i="9"/>
  <c r="Z30" i="9"/>
  <c r="X30" i="9"/>
  <c r="L30" i="9"/>
  <c r="N30" i="9" s="1"/>
  <c r="J30" i="9"/>
  <c r="B30" i="9"/>
  <c r="Z29" i="9"/>
  <c r="X29" i="9"/>
  <c r="V29" i="9"/>
  <c r="R29" i="9"/>
  <c r="N29" i="9"/>
  <c r="L29" i="9"/>
  <c r="B29" i="9"/>
  <c r="Z28" i="9"/>
  <c r="X28" i="9"/>
  <c r="L28" i="9"/>
  <c r="N28" i="9" s="1"/>
  <c r="J28" i="9"/>
  <c r="B28" i="9"/>
  <c r="X27" i="9"/>
  <c r="Z27" i="9" s="1"/>
  <c r="V27" i="9"/>
  <c r="L27" i="9"/>
  <c r="N27" i="9" s="1"/>
  <c r="J27" i="9"/>
  <c r="B27" i="9"/>
  <c r="Z26" i="9"/>
  <c r="X26" i="9"/>
  <c r="L26" i="9"/>
  <c r="N26" i="9" s="1"/>
  <c r="J26" i="9"/>
  <c r="B26" i="9"/>
  <c r="Z25" i="9"/>
  <c r="X25" i="9"/>
  <c r="V25" i="9"/>
  <c r="R25" i="9"/>
  <c r="N25" i="9"/>
  <c r="L25" i="9"/>
  <c r="B25" i="9"/>
  <c r="Z24" i="9"/>
  <c r="X24" i="9"/>
  <c r="R24" i="9"/>
  <c r="L24" i="9"/>
  <c r="N24" i="9" s="1"/>
  <c r="J24" i="9"/>
  <c r="B24" i="9"/>
  <c r="X23" i="9"/>
  <c r="Z23" i="9" s="1"/>
  <c r="V23" i="9"/>
  <c r="L23" i="9"/>
  <c r="N23" i="9" s="1"/>
  <c r="J23" i="9"/>
  <c r="B23" i="9"/>
  <c r="Z22" i="9"/>
  <c r="X22" i="9"/>
  <c r="L22" i="9"/>
  <c r="N22" i="9" s="1"/>
  <c r="J22" i="9"/>
  <c r="B22" i="9"/>
  <c r="Z21" i="9"/>
  <c r="X21" i="9"/>
  <c r="V21" i="9"/>
  <c r="R21" i="9"/>
  <c r="L21" i="9"/>
  <c r="N21" i="9" s="1"/>
  <c r="B21" i="9"/>
  <c r="Z20" i="9"/>
  <c r="X20" i="9"/>
  <c r="R20" i="9"/>
  <c r="L20" i="9"/>
  <c r="N20" i="9" s="1"/>
  <c r="J20" i="9"/>
  <c r="B20" i="9"/>
  <c r="V19" i="9"/>
  <c r="T19" i="9"/>
  <c r="Z19" i="9" s="1"/>
  <c r="P19" i="9"/>
  <c r="X19" i="9" s="1"/>
  <c r="J19" i="9"/>
  <c r="H19" i="9"/>
  <c r="D19" i="9"/>
  <c r="L19" i="9" s="1"/>
  <c r="B19" i="9"/>
  <c r="X18" i="9"/>
  <c r="T18" i="9"/>
  <c r="P18" i="9"/>
  <c r="L18" i="9"/>
  <c r="J18" i="9"/>
  <c r="H18" i="9"/>
  <c r="D18" i="9"/>
  <c r="J16" i="9"/>
  <c r="X14" i="9"/>
  <c r="T14" i="9"/>
  <c r="Z14" i="9" s="1"/>
  <c r="P14" i="9"/>
  <c r="P16" i="9" s="1"/>
  <c r="P90" i="9" s="1"/>
  <c r="P94" i="9" s="1"/>
  <c r="L14" i="9"/>
  <c r="J14" i="9"/>
  <c r="H14" i="9"/>
  <c r="N14" i="9" s="1"/>
  <c r="D14" i="9"/>
  <c r="X12" i="9"/>
  <c r="T12" i="9"/>
  <c r="V85" i="9" s="1"/>
  <c r="P12" i="9"/>
  <c r="R70" i="9" s="1"/>
  <c r="H12" i="9"/>
  <c r="J81" i="9" s="1"/>
  <c r="D12" i="9"/>
  <c r="F79" i="9" s="1"/>
  <c r="D4" i="9"/>
  <c r="V31" i="6"/>
  <c r="V29" i="6"/>
  <c r="T29" i="6"/>
  <c r="P29" i="6"/>
  <c r="J29" i="6"/>
  <c r="H29" i="6"/>
  <c r="D29" i="6"/>
  <c r="V28" i="6"/>
  <c r="T28" i="6"/>
  <c r="P28" i="6"/>
  <c r="H28" i="6"/>
  <c r="D28" i="6"/>
  <c r="V26" i="6"/>
  <c r="J26" i="6"/>
  <c r="Z24" i="6"/>
  <c r="X24" i="6"/>
  <c r="V24" i="6"/>
  <c r="N24" i="6"/>
  <c r="L24" i="6"/>
  <c r="F22" i="6"/>
  <c r="Z20" i="6"/>
  <c r="X20" i="6"/>
  <c r="T20" i="6"/>
  <c r="P20" i="6"/>
  <c r="N20" i="6"/>
  <c r="L20" i="6"/>
  <c r="H20" i="6"/>
  <c r="F20" i="6"/>
  <c r="D20" i="6"/>
  <c r="Z18" i="6"/>
  <c r="X18" i="6"/>
  <c r="T18" i="6"/>
  <c r="P18" i="6"/>
  <c r="N18" i="6"/>
  <c r="L18" i="6"/>
  <c r="H18" i="6"/>
  <c r="F18" i="6"/>
  <c r="D18" i="6"/>
  <c r="F16" i="6"/>
  <c r="Z14" i="6"/>
  <c r="X14" i="6"/>
  <c r="T14" i="6"/>
  <c r="P14" i="6"/>
  <c r="N14" i="6"/>
  <c r="L14" i="6"/>
  <c r="H14" i="6"/>
  <c r="F14" i="6"/>
  <c r="D14" i="6"/>
  <c r="Z12" i="6"/>
  <c r="X12" i="6"/>
  <c r="T12" i="6"/>
  <c r="V22" i="6" s="1"/>
  <c r="P12" i="6"/>
  <c r="R31" i="6" s="1"/>
  <c r="H12" i="6"/>
  <c r="J28" i="6" s="1"/>
  <c r="D12" i="6"/>
  <c r="F24" i="6" s="1"/>
  <c r="D4" i="6"/>
  <c r="X300" i="3"/>
  <c r="T300" i="3"/>
  <c r="P300" i="3"/>
  <c r="L300" i="3"/>
  <c r="H300" i="3"/>
  <c r="D300" i="3"/>
  <c r="X299" i="3"/>
  <c r="T299" i="3"/>
  <c r="Z299" i="3" s="1"/>
  <c r="P299" i="3"/>
  <c r="L299" i="3"/>
  <c r="H299" i="3"/>
  <c r="N299" i="3" s="1"/>
  <c r="D299" i="3"/>
  <c r="X295" i="3"/>
  <c r="Z295" i="3" s="1"/>
  <c r="N295" i="3"/>
  <c r="L295" i="3"/>
  <c r="T291" i="3"/>
  <c r="P291" i="3"/>
  <c r="X291" i="3" s="1"/>
  <c r="H291" i="3"/>
  <c r="D291" i="3"/>
  <c r="L291" i="3" s="1"/>
  <c r="N291" i="3" s="1"/>
  <c r="B291" i="3"/>
  <c r="T290" i="3"/>
  <c r="Z290" i="3" s="1"/>
  <c r="P290" i="3"/>
  <c r="X290" i="3" s="1"/>
  <c r="H290" i="3"/>
  <c r="D290" i="3"/>
  <c r="L290" i="3" s="1"/>
  <c r="N290" i="3" s="1"/>
  <c r="B290" i="3"/>
  <c r="T289" i="3"/>
  <c r="P289" i="3"/>
  <c r="H289" i="3"/>
  <c r="D289" i="3"/>
  <c r="B289" i="3"/>
  <c r="T288" i="3"/>
  <c r="Z288" i="3" s="1"/>
  <c r="P288" i="3"/>
  <c r="X288" i="3" s="1"/>
  <c r="H288" i="3"/>
  <c r="D288" i="3"/>
  <c r="L288" i="3" s="1"/>
  <c r="B288" i="3"/>
  <c r="X287" i="3"/>
  <c r="T287" i="3"/>
  <c r="P287" i="3"/>
  <c r="L287" i="3"/>
  <c r="N287" i="3" s="1"/>
  <c r="H287" i="3"/>
  <c r="D287" i="3"/>
  <c r="B287" i="3"/>
  <c r="Z286" i="3"/>
  <c r="X286" i="3"/>
  <c r="T286" i="3"/>
  <c r="P286" i="3"/>
  <c r="N286" i="3"/>
  <c r="H286" i="3"/>
  <c r="D286" i="3"/>
  <c r="L286" i="3" s="1"/>
  <c r="B286" i="3"/>
  <c r="T285" i="3"/>
  <c r="P285" i="3"/>
  <c r="H285" i="3"/>
  <c r="D285" i="3"/>
  <c r="B285" i="3"/>
  <c r="T284" i="3"/>
  <c r="P284" i="3"/>
  <c r="X284" i="3" s="1"/>
  <c r="H284" i="3"/>
  <c r="D284" i="3"/>
  <c r="L284" i="3" s="1"/>
  <c r="B284" i="3"/>
  <c r="T283" i="3"/>
  <c r="P283" i="3"/>
  <c r="H283" i="3"/>
  <c r="D283" i="3"/>
  <c r="B283" i="3"/>
  <c r="T282" i="3"/>
  <c r="Z282" i="3" s="1"/>
  <c r="P282" i="3"/>
  <c r="X282" i="3" s="1"/>
  <c r="H282" i="3"/>
  <c r="N282" i="3" s="1"/>
  <c r="D282" i="3"/>
  <c r="L282" i="3" s="1"/>
  <c r="B282" i="3"/>
  <c r="X279" i="3"/>
  <c r="Z279" i="3" s="1"/>
  <c r="L279" i="3"/>
  <c r="N279" i="3" s="1"/>
  <c r="B279" i="3"/>
  <c r="Z278" i="3"/>
  <c r="X278" i="3"/>
  <c r="T278" i="3"/>
  <c r="P278" i="3"/>
  <c r="H278" i="3"/>
  <c r="D278" i="3"/>
  <c r="L278" i="3" s="1"/>
  <c r="N278" i="3" s="1"/>
  <c r="B278" i="3"/>
  <c r="X277" i="3"/>
  <c r="Z277" i="3" s="1"/>
  <c r="L277" i="3"/>
  <c r="N277" i="3" s="1"/>
  <c r="B277" i="3"/>
  <c r="Z276" i="3"/>
  <c r="X276" i="3"/>
  <c r="N276" i="3"/>
  <c r="L276" i="3"/>
  <c r="J276" i="3"/>
  <c r="B276" i="3"/>
  <c r="X275" i="3"/>
  <c r="Z275" i="3" s="1"/>
  <c r="L275" i="3"/>
  <c r="N275" i="3" s="1"/>
  <c r="B275" i="3"/>
  <c r="T274" i="3"/>
  <c r="P274" i="3"/>
  <c r="X274" i="3" s="1"/>
  <c r="Z274" i="3" s="1"/>
  <c r="N274" i="3"/>
  <c r="L274" i="3"/>
  <c r="H274" i="3"/>
  <c r="D274" i="3"/>
  <c r="B274" i="3"/>
  <c r="X273" i="3"/>
  <c r="Z273" i="3" s="1"/>
  <c r="L273" i="3"/>
  <c r="N273" i="3" s="1"/>
  <c r="B273" i="3"/>
  <c r="X272" i="3"/>
  <c r="T272" i="3"/>
  <c r="Z272" i="3" s="1"/>
  <c r="P272" i="3"/>
  <c r="H272" i="3"/>
  <c r="N272" i="3" s="1"/>
  <c r="D272" i="3"/>
  <c r="L272" i="3" s="1"/>
  <c r="B272" i="3"/>
  <c r="X271" i="3"/>
  <c r="Z271" i="3" s="1"/>
  <c r="N271" i="3"/>
  <c r="L271" i="3"/>
  <c r="B271" i="3"/>
  <c r="X270" i="3"/>
  <c r="Z270" i="3" s="1"/>
  <c r="N270" i="3"/>
  <c r="L270" i="3"/>
  <c r="B270" i="3"/>
  <c r="X269" i="3"/>
  <c r="T269" i="3"/>
  <c r="P269" i="3"/>
  <c r="L269" i="3"/>
  <c r="H269" i="3"/>
  <c r="D269" i="3"/>
  <c r="B269" i="3"/>
  <c r="Z268" i="3"/>
  <c r="X268" i="3"/>
  <c r="L268" i="3"/>
  <c r="N268" i="3" s="1"/>
  <c r="B268" i="3"/>
  <c r="X267" i="3"/>
  <c r="Z267" i="3" s="1"/>
  <c r="N267" i="3"/>
  <c r="L267" i="3"/>
  <c r="B267" i="3"/>
  <c r="Z266" i="3"/>
  <c r="X266" i="3"/>
  <c r="L266" i="3"/>
  <c r="N266" i="3" s="1"/>
  <c r="B266" i="3"/>
  <c r="Z265" i="3"/>
  <c r="X265" i="3"/>
  <c r="L265" i="3"/>
  <c r="N265" i="3" s="1"/>
  <c r="B265" i="3"/>
  <c r="Z264" i="3"/>
  <c r="X264" i="3"/>
  <c r="L264" i="3"/>
  <c r="N264" i="3" s="1"/>
  <c r="B264" i="3"/>
  <c r="X263" i="3"/>
  <c r="Z263" i="3" s="1"/>
  <c r="L263" i="3"/>
  <c r="N263" i="3" s="1"/>
  <c r="B263" i="3"/>
  <c r="Z262" i="3"/>
  <c r="X262" i="3"/>
  <c r="L262" i="3"/>
  <c r="N262" i="3" s="1"/>
  <c r="B262" i="3"/>
  <c r="X261" i="3"/>
  <c r="Z261" i="3" s="1"/>
  <c r="L261" i="3"/>
  <c r="N261" i="3" s="1"/>
  <c r="B261" i="3"/>
  <c r="Z260" i="3"/>
  <c r="T260" i="3"/>
  <c r="P260" i="3"/>
  <c r="X260" i="3" s="1"/>
  <c r="H260" i="3"/>
  <c r="D260" i="3"/>
  <c r="L260" i="3" s="1"/>
  <c r="N260" i="3" s="1"/>
  <c r="B260" i="3"/>
  <c r="X259" i="3"/>
  <c r="Z259" i="3" s="1"/>
  <c r="L259" i="3"/>
  <c r="N259" i="3" s="1"/>
  <c r="B259" i="3"/>
  <c r="X258" i="3"/>
  <c r="Z258" i="3" s="1"/>
  <c r="N258" i="3"/>
  <c r="L258" i="3"/>
  <c r="B258" i="3"/>
  <c r="T257" i="3"/>
  <c r="Z257" i="3" s="1"/>
  <c r="P257" i="3"/>
  <c r="X257" i="3" s="1"/>
  <c r="H257" i="3"/>
  <c r="N257" i="3" s="1"/>
  <c r="D257" i="3"/>
  <c r="L257" i="3" s="1"/>
  <c r="B257" i="3"/>
  <c r="Z256" i="3"/>
  <c r="X256" i="3"/>
  <c r="N256" i="3"/>
  <c r="L256" i="3"/>
  <c r="B256" i="3"/>
  <c r="X255" i="3"/>
  <c r="Z255" i="3" s="1"/>
  <c r="L255" i="3"/>
  <c r="N255" i="3" s="1"/>
  <c r="B255" i="3"/>
  <c r="Z254" i="3"/>
  <c r="X254" i="3"/>
  <c r="N254" i="3"/>
  <c r="L254" i="3"/>
  <c r="B254" i="3"/>
  <c r="X253" i="3"/>
  <c r="Z253" i="3" s="1"/>
  <c r="L253" i="3"/>
  <c r="N253" i="3" s="1"/>
  <c r="B253" i="3"/>
  <c r="Z252" i="3"/>
  <c r="X252" i="3"/>
  <c r="N252" i="3"/>
  <c r="L252" i="3"/>
  <c r="B252" i="3"/>
  <c r="X251" i="3"/>
  <c r="T251" i="3"/>
  <c r="Z251" i="3" s="1"/>
  <c r="P251" i="3"/>
  <c r="L251" i="3"/>
  <c r="H251" i="3"/>
  <c r="D251" i="3"/>
  <c r="B251" i="3"/>
  <c r="Z250" i="3"/>
  <c r="X250" i="3"/>
  <c r="N250" i="3"/>
  <c r="L250" i="3"/>
  <c r="B250" i="3"/>
  <c r="X249" i="3"/>
  <c r="Z249" i="3" s="1"/>
  <c r="L249" i="3"/>
  <c r="N249" i="3" s="1"/>
  <c r="B249" i="3"/>
  <c r="Z248" i="3"/>
  <c r="X248" i="3"/>
  <c r="N248" i="3"/>
  <c r="L248" i="3"/>
  <c r="B248" i="3"/>
  <c r="T247" i="3"/>
  <c r="P247" i="3"/>
  <c r="H247" i="3"/>
  <c r="D247" i="3"/>
  <c r="B247" i="3"/>
  <c r="X246" i="3"/>
  <c r="Z246" i="3" s="1"/>
  <c r="N246" i="3"/>
  <c r="L246" i="3"/>
  <c r="B246" i="3"/>
  <c r="X245" i="3"/>
  <c r="Z245" i="3" s="1"/>
  <c r="L245" i="3"/>
  <c r="N245" i="3" s="1"/>
  <c r="B245" i="3"/>
  <c r="Z244" i="3"/>
  <c r="X244" i="3"/>
  <c r="N244" i="3"/>
  <c r="L244" i="3"/>
  <c r="B244" i="3"/>
  <c r="T243" i="3"/>
  <c r="P243" i="3"/>
  <c r="X243" i="3" s="1"/>
  <c r="H243" i="3"/>
  <c r="N243" i="3" s="1"/>
  <c r="D243" i="3"/>
  <c r="L243" i="3" s="1"/>
  <c r="B243" i="3"/>
  <c r="X242" i="3"/>
  <c r="Z242" i="3" s="1"/>
  <c r="N242" i="3"/>
  <c r="L242" i="3"/>
  <c r="B242" i="3"/>
  <c r="X241" i="3"/>
  <c r="T241" i="3"/>
  <c r="P241" i="3"/>
  <c r="L241" i="3"/>
  <c r="H241" i="3"/>
  <c r="N241" i="3" s="1"/>
  <c r="D241" i="3"/>
  <c r="B241" i="3"/>
  <c r="Z240" i="3"/>
  <c r="X240" i="3"/>
  <c r="N240" i="3"/>
  <c r="L240" i="3"/>
  <c r="B240" i="3"/>
  <c r="T239" i="3"/>
  <c r="P239" i="3"/>
  <c r="H239" i="3"/>
  <c r="D239" i="3"/>
  <c r="L239" i="3" s="1"/>
  <c r="B239" i="3"/>
  <c r="Z238" i="3"/>
  <c r="X238" i="3"/>
  <c r="N238" i="3"/>
  <c r="L238" i="3"/>
  <c r="B238" i="3"/>
  <c r="T237" i="3"/>
  <c r="P237" i="3"/>
  <c r="X237" i="3" s="1"/>
  <c r="H237" i="3"/>
  <c r="N237" i="3" s="1"/>
  <c r="D237" i="3"/>
  <c r="L237" i="3" s="1"/>
  <c r="B237" i="3"/>
  <c r="Z236" i="3"/>
  <c r="X236" i="3"/>
  <c r="N236" i="3"/>
  <c r="L236" i="3"/>
  <c r="B236" i="3"/>
  <c r="X235" i="3"/>
  <c r="T235" i="3"/>
  <c r="P235" i="3"/>
  <c r="L235" i="3"/>
  <c r="H235" i="3"/>
  <c r="D235" i="3"/>
  <c r="B235" i="3"/>
  <c r="Z234" i="3"/>
  <c r="X234" i="3"/>
  <c r="N234" i="3"/>
  <c r="L234" i="3"/>
  <c r="B234" i="3"/>
  <c r="T233" i="3"/>
  <c r="P233" i="3"/>
  <c r="H233" i="3"/>
  <c r="D233" i="3"/>
  <c r="B233" i="3"/>
  <c r="Z232" i="3"/>
  <c r="X232" i="3"/>
  <c r="N232" i="3"/>
  <c r="L232" i="3"/>
  <c r="B232" i="3"/>
  <c r="T231" i="3"/>
  <c r="P231" i="3"/>
  <c r="X231" i="3" s="1"/>
  <c r="H231" i="3"/>
  <c r="D231" i="3"/>
  <c r="L231" i="3" s="1"/>
  <c r="B231" i="3"/>
  <c r="Z230" i="3"/>
  <c r="X230" i="3"/>
  <c r="N230" i="3"/>
  <c r="L230" i="3"/>
  <c r="B230" i="3"/>
  <c r="X229" i="3"/>
  <c r="Z229" i="3" s="1"/>
  <c r="L229" i="3"/>
  <c r="N229" i="3" s="1"/>
  <c r="B229" i="3"/>
  <c r="T228" i="3"/>
  <c r="P228" i="3"/>
  <c r="X228" i="3" s="1"/>
  <c r="Z228" i="3" s="1"/>
  <c r="N228" i="3"/>
  <c r="L228" i="3"/>
  <c r="H228" i="3"/>
  <c r="D228" i="3"/>
  <c r="B228" i="3"/>
  <c r="X227" i="3"/>
  <c r="Z227" i="3" s="1"/>
  <c r="L227" i="3"/>
  <c r="N227" i="3" s="1"/>
  <c r="B227" i="3"/>
  <c r="Z226" i="3"/>
  <c r="X226" i="3"/>
  <c r="N226" i="3"/>
  <c r="L226" i="3"/>
  <c r="B226" i="3"/>
  <c r="T225" i="3"/>
  <c r="P225" i="3"/>
  <c r="H225" i="3"/>
  <c r="D225" i="3"/>
  <c r="B225" i="3"/>
  <c r="Z224" i="3"/>
  <c r="X224" i="3"/>
  <c r="N224" i="3"/>
  <c r="L224" i="3"/>
  <c r="B224" i="3"/>
  <c r="T223" i="3"/>
  <c r="P223" i="3"/>
  <c r="X223" i="3" s="1"/>
  <c r="H223" i="3"/>
  <c r="N223" i="3" s="1"/>
  <c r="D223" i="3"/>
  <c r="L223" i="3" s="1"/>
  <c r="B223" i="3"/>
  <c r="Z222" i="3"/>
  <c r="X222" i="3"/>
  <c r="N222" i="3"/>
  <c r="L222" i="3"/>
  <c r="B222" i="3"/>
  <c r="X221" i="3"/>
  <c r="T221" i="3"/>
  <c r="Z221" i="3" s="1"/>
  <c r="P221" i="3"/>
  <c r="L221" i="3"/>
  <c r="H221" i="3"/>
  <c r="D221" i="3"/>
  <c r="B221" i="3"/>
  <c r="Z220" i="3"/>
  <c r="X220" i="3"/>
  <c r="N220" i="3"/>
  <c r="L220" i="3"/>
  <c r="B220" i="3"/>
  <c r="T219" i="3"/>
  <c r="P219" i="3"/>
  <c r="H219" i="3"/>
  <c r="D219" i="3"/>
  <c r="B219" i="3"/>
  <c r="Z218" i="3"/>
  <c r="X218" i="3"/>
  <c r="N218" i="3"/>
  <c r="L218" i="3"/>
  <c r="B218" i="3"/>
  <c r="X217" i="3"/>
  <c r="Z217" i="3" s="1"/>
  <c r="L217" i="3"/>
  <c r="N217" i="3" s="1"/>
  <c r="B217" i="3"/>
  <c r="T216" i="3"/>
  <c r="P216" i="3"/>
  <c r="X216" i="3" s="1"/>
  <c r="Z216" i="3" s="1"/>
  <c r="H216" i="3"/>
  <c r="D216" i="3"/>
  <c r="L216" i="3" s="1"/>
  <c r="N216" i="3" s="1"/>
  <c r="B216" i="3"/>
  <c r="X215" i="3"/>
  <c r="Z215" i="3" s="1"/>
  <c r="L215" i="3"/>
  <c r="N215" i="3" s="1"/>
  <c r="B215" i="3"/>
  <c r="X214" i="3"/>
  <c r="Z214" i="3" s="1"/>
  <c r="N214" i="3"/>
  <c r="L214" i="3"/>
  <c r="B214" i="3"/>
  <c r="X213" i="3"/>
  <c r="Z213" i="3" s="1"/>
  <c r="N213" i="3"/>
  <c r="L213" i="3"/>
  <c r="B213" i="3"/>
  <c r="T212" i="3"/>
  <c r="P212" i="3"/>
  <c r="X212" i="3" s="1"/>
  <c r="Z212" i="3" s="1"/>
  <c r="L212" i="3"/>
  <c r="N212" i="3" s="1"/>
  <c r="H212" i="3"/>
  <c r="D212" i="3"/>
  <c r="B212" i="3"/>
  <c r="X211" i="3"/>
  <c r="Z211" i="3" s="1"/>
  <c r="L211" i="3"/>
  <c r="N211" i="3" s="1"/>
  <c r="B211" i="3"/>
  <c r="T210" i="3"/>
  <c r="P210" i="3"/>
  <c r="X210" i="3" s="1"/>
  <c r="Z210" i="3" s="1"/>
  <c r="H210" i="3"/>
  <c r="D210" i="3"/>
  <c r="L210" i="3" s="1"/>
  <c r="N210" i="3" s="1"/>
  <c r="B210" i="3"/>
  <c r="X209" i="3"/>
  <c r="Z209" i="3" s="1"/>
  <c r="L209" i="3"/>
  <c r="N209" i="3" s="1"/>
  <c r="B209" i="3"/>
  <c r="X208" i="3"/>
  <c r="T208" i="3"/>
  <c r="Z208" i="3" s="1"/>
  <c r="P208" i="3"/>
  <c r="H208" i="3"/>
  <c r="D208" i="3"/>
  <c r="L208" i="3" s="1"/>
  <c r="N208" i="3" s="1"/>
  <c r="B208" i="3"/>
  <c r="X207" i="3"/>
  <c r="Z207" i="3" s="1"/>
  <c r="L207" i="3"/>
  <c r="N207" i="3" s="1"/>
  <c r="B207" i="3"/>
  <c r="X206" i="3"/>
  <c r="T206" i="3"/>
  <c r="Z206" i="3" s="1"/>
  <c r="P206" i="3"/>
  <c r="H206" i="3"/>
  <c r="D206" i="3"/>
  <c r="L206" i="3" s="1"/>
  <c r="B206" i="3"/>
  <c r="Z205" i="3"/>
  <c r="X205" i="3"/>
  <c r="L205" i="3"/>
  <c r="N205" i="3" s="1"/>
  <c r="B205" i="3"/>
  <c r="Z204" i="3"/>
  <c r="X204" i="3"/>
  <c r="L204" i="3"/>
  <c r="N204" i="3" s="1"/>
  <c r="B204" i="3"/>
  <c r="X203" i="3"/>
  <c r="Z203" i="3" s="1"/>
  <c r="N203" i="3"/>
  <c r="L203" i="3"/>
  <c r="B203" i="3"/>
  <c r="Z202" i="3"/>
  <c r="X202" i="3"/>
  <c r="L202" i="3"/>
  <c r="N202" i="3" s="1"/>
  <c r="B202" i="3"/>
  <c r="Z201" i="3"/>
  <c r="X201" i="3"/>
  <c r="L201" i="3"/>
  <c r="N201" i="3" s="1"/>
  <c r="B201" i="3"/>
  <c r="Z200" i="3"/>
  <c r="X200" i="3"/>
  <c r="L200" i="3"/>
  <c r="N200" i="3" s="1"/>
  <c r="B200" i="3"/>
  <c r="X199" i="3"/>
  <c r="Z199" i="3" s="1"/>
  <c r="L199" i="3"/>
  <c r="N199" i="3" s="1"/>
  <c r="B199" i="3"/>
  <c r="Z198" i="3"/>
  <c r="T198" i="3"/>
  <c r="P198" i="3"/>
  <c r="X198" i="3" s="1"/>
  <c r="H198" i="3"/>
  <c r="D198" i="3"/>
  <c r="L198" i="3" s="1"/>
  <c r="N198" i="3" s="1"/>
  <c r="B198" i="3"/>
  <c r="X197" i="3"/>
  <c r="Z197" i="3" s="1"/>
  <c r="L197" i="3"/>
  <c r="N197" i="3" s="1"/>
  <c r="B197" i="3"/>
  <c r="X196" i="3"/>
  <c r="Z196" i="3" s="1"/>
  <c r="N196" i="3"/>
  <c r="L196" i="3"/>
  <c r="B196" i="3"/>
  <c r="Z195" i="3"/>
  <c r="X195" i="3"/>
  <c r="L195" i="3"/>
  <c r="N195" i="3" s="1"/>
  <c r="B195" i="3"/>
  <c r="X194" i="3"/>
  <c r="Z194" i="3" s="1"/>
  <c r="L194" i="3"/>
  <c r="N194" i="3" s="1"/>
  <c r="B194" i="3"/>
  <c r="X193" i="3"/>
  <c r="Z193" i="3" s="1"/>
  <c r="L193" i="3"/>
  <c r="N193" i="3" s="1"/>
  <c r="B193" i="3"/>
  <c r="X192" i="3"/>
  <c r="Z192" i="3" s="1"/>
  <c r="N192" i="3"/>
  <c r="L192" i="3"/>
  <c r="B192" i="3"/>
  <c r="X191" i="3"/>
  <c r="Z191" i="3" s="1"/>
  <c r="L191" i="3"/>
  <c r="N191" i="3" s="1"/>
  <c r="B191" i="3"/>
  <c r="X190" i="3"/>
  <c r="Z190" i="3" s="1"/>
  <c r="L190" i="3"/>
  <c r="N190" i="3" s="1"/>
  <c r="B190" i="3"/>
  <c r="X189" i="3"/>
  <c r="Z189" i="3" s="1"/>
  <c r="L189" i="3"/>
  <c r="N189" i="3" s="1"/>
  <c r="B189" i="3"/>
  <c r="T188" i="3"/>
  <c r="Z188" i="3" s="1"/>
  <c r="P188" i="3"/>
  <c r="X188" i="3" s="1"/>
  <c r="H188" i="3"/>
  <c r="D188" i="3"/>
  <c r="L188" i="3" s="1"/>
  <c r="B188" i="3"/>
  <c r="X187" i="3"/>
  <c r="T187" i="3"/>
  <c r="P187" i="3"/>
  <c r="L187" i="3"/>
  <c r="H187" i="3"/>
  <c r="D187" i="3"/>
  <c r="X183" i="3"/>
  <c r="Z183" i="3" s="1"/>
  <c r="N183" i="3"/>
  <c r="L183" i="3"/>
  <c r="B183" i="3"/>
  <c r="Z182" i="3"/>
  <c r="X182" i="3"/>
  <c r="N182" i="3"/>
  <c r="L182" i="3"/>
  <c r="B182" i="3"/>
  <c r="X181" i="3"/>
  <c r="Z181" i="3" s="1"/>
  <c r="L181" i="3"/>
  <c r="N181" i="3" s="1"/>
  <c r="B181" i="3"/>
  <c r="Z180" i="3"/>
  <c r="X180" i="3"/>
  <c r="N180" i="3"/>
  <c r="L180" i="3"/>
  <c r="B180" i="3"/>
  <c r="X179" i="3"/>
  <c r="Z179" i="3" s="1"/>
  <c r="L179" i="3"/>
  <c r="N179" i="3" s="1"/>
  <c r="B179" i="3"/>
  <c r="Z178" i="3"/>
  <c r="X178" i="3"/>
  <c r="N178" i="3"/>
  <c r="L178" i="3"/>
  <c r="B178" i="3"/>
  <c r="X177" i="3"/>
  <c r="Z177" i="3" s="1"/>
  <c r="L177" i="3"/>
  <c r="N177" i="3" s="1"/>
  <c r="B177" i="3"/>
  <c r="Z176" i="3"/>
  <c r="X176" i="3"/>
  <c r="N176" i="3"/>
  <c r="L176" i="3"/>
  <c r="B176" i="3"/>
  <c r="X175" i="3"/>
  <c r="Z175" i="3" s="1"/>
  <c r="L175" i="3"/>
  <c r="N175" i="3" s="1"/>
  <c r="B175" i="3"/>
  <c r="Z174" i="3"/>
  <c r="X174" i="3"/>
  <c r="N174" i="3"/>
  <c r="L174" i="3"/>
  <c r="B174" i="3"/>
  <c r="X173" i="3"/>
  <c r="Z173" i="3" s="1"/>
  <c r="N173" i="3"/>
  <c r="L173" i="3"/>
  <c r="B173" i="3"/>
  <c r="Z172" i="3"/>
  <c r="X172" i="3"/>
  <c r="N172" i="3"/>
  <c r="L172" i="3"/>
  <c r="B172" i="3"/>
  <c r="X171" i="3"/>
  <c r="Z171" i="3" s="1"/>
  <c r="N171" i="3"/>
  <c r="L171" i="3"/>
  <c r="B171" i="3"/>
  <c r="Z170" i="3"/>
  <c r="X170" i="3"/>
  <c r="N170" i="3"/>
  <c r="L170" i="3"/>
  <c r="B170" i="3"/>
  <c r="X169" i="3"/>
  <c r="Z169" i="3" s="1"/>
  <c r="L169" i="3"/>
  <c r="N169" i="3" s="1"/>
  <c r="B169" i="3"/>
  <c r="Z168" i="3"/>
  <c r="X168" i="3"/>
  <c r="N168" i="3"/>
  <c r="L168" i="3"/>
  <c r="B168" i="3"/>
  <c r="X167" i="3"/>
  <c r="Z167" i="3" s="1"/>
  <c r="L167" i="3"/>
  <c r="N167" i="3" s="1"/>
  <c r="B167" i="3"/>
  <c r="Z166" i="3"/>
  <c r="X166" i="3"/>
  <c r="N166" i="3"/>
  <c r="L166" i="3"/>
  <c r="B166" i="3"/>
  <c r="X165" i="3"/>
  <c r="Z165" i="3" s="1"/>
  <c r="L165" i="3"/>
  <c r="N165" i="3" s="1"/>
  <c r="B165" i="3"/>
  <c r="Z164" i="3"/>
  <c r="X164" i="3"/>
  <c r="N164" i="3"/>
  <c r="L164" i="3"/>
  <c r="B164" i="3"/>
  <c r="X163" i="3"/>
  <c r="Z163" i="3" s="1"/>
  <c r="L163" i="3"/>
  <c r="N163" i="3" s="1"/>
  <c r="B163" i="3"/>
  <c r="Z162" i="3"/>
  <c r="X162" i="3"/>
  <c r="N162" i="3"/>
  <c r="L162" i="3"/>
  <c r="B162" i="3"/>
  <c r="X161" i="3"/>
  <c r="Z161" i="3" s="1"/>
  <c r="L161" i="3"/>
  <c r="N161" i="3" s="1"/>
  <c r="B161" i="3"/>
  <c r="Z160" i="3"/>
  <c r="X160" i="3"/>
  <c r="N160" i="3"/>
  <c r="L160" i="3"/>
  <c r="B160" i="3"/>
  <c r="X159" i="3"/>
  <c r="Z159" i="3" s="1"/>
  <c r="L159" i="3"/>
  <c r="N159" i="3" s="1"/>
  <c r="B159" i="3"/>
  <c r="Z158" i="3"/>
  <c r="X158" i="3"/>
  <c r="N158" i="3"/>
  <c r="L158" i="3"/>
  <c r="B158" i="3"/>
  <c r="X157" i="3"/>
  <c r="Z157" i="3" s="1"/>
  <c r="L157" i="3"/>
  <c r="N157" i="3" s="1"/>
  <c r="B157" i="3"/>
  <c r="Z156" i="3"/>
  <c r="X156" i="3"/>
  <c r="N156" i="3"/>
  <c r="L156" i="3"/>
  <c r="B156" i="3"/>
  <c r="X155" i="3"/>
  <c r="Z155" i="3" s="1"/>
  <c r="L155" i="3"/>
  <c r="N155" i="3" s="1"/>
  <c r="B155" i="3"/>
  <c r="Z154" i="3"/>
  <c r="X154" i="3"/>
  <c r="N154" i="3"/>
  <c r="L154" i="3"/>
  <c r="B154" i="3"/>
  <c r="X153" i="3"/>
  <c r="Z153" i="3" s="1"/>
  <c r="L153" i="3"/>
  <c r="N153" i="3" s="1"/>
  <c r="B153" i="3"/>
  <c r="Z152" i="3"/>
  <c r="X152" i="3"/>
  <c r="N152" i="3"/>
  <c r="L152" i="3"/>
  <c r="B152" i="3"/>
  <c r="X151" i="3"/>
  <c r="Z151" i="3" s="1"/>
  <c r="L151" i="3"/>
  <c r="N151" i="3" s="1"/>
  <c r="B151" i="3"/>
  <c r="Z150" i="3"/>
  <c r="X150" i="3"/>
  <c r="N150" i="3"/>
  <c r="L150" i="3"/>
  <c r="B150" i="3"/>
  <c r="X149" i="3"/>
  <c r="Z149" i="3" s="1"/>
  <c r="L149" i="3"/>
  <c r="N149" i="3" s="1"/>
  <c r="B149" i="3"/>
  <c r="Z148" i="3"/>
  <c r="X148" i="3"/>
  <c r="N148" i="3"/>
  <c r="L148" i="3"/>
  <c r="B148" i="3"/>
  <c r="X147" i="3"/>
  <c r="Z147" i="3" s="1"/>
  <c r="L147" i="3"/>
  <c r="N147" i="3" s="1"/>
  <c r="B147" i="3"/>
  <c r="Z146" i="3"/>
  <c r="X146" i="3"/>
  <c r="N146" i="3"/>
  <c r="L146" i="3"/>
  <c r="B146" i="3"/>
  <c r="X145" i="3"/>
  <c r="Z145" i="3" s="1"/>
  <c r="L145" i="3"/>
  <c r="N145" i="3" s="1"/>
  <c r="B145" i="3"/>
  <c r="Z144" i="3"/>
  <c r="X144" i="3"/>
  <c r="N144" i="3"/>
  <c r="L144" i="3"/>
  <c r="B144" i="3"/>
  <c r="X143" i="3"/>
  <c r="Z143" i="3" s="1"/>
  <c r="L143" i="3"/>
  <c r="N143" i="3" s="1"/>
  <c r="B143" i="3"/>
  <c r="Z142" i="3"/>
  <c r="X142" i="3"/>
  <c r="N142" i="3"/>
  <c r="L142" i="3"/>
  <c r="B142" i="3"/>
  <c r="X141" i="3"/>
  <c r="Z141" i="3" s="1"/>
  <c r="L141" i="3"/>
  <c r="N141" i="3" s="1"/>
  <c r="B141" i="3"/>
  <c r="Z140" i="3"/>
  <c r="X140" i="3"/>
  <c r="N140" i="3"/>
  <c r="L140" i="3"/>
  <c r="B140" i="3"/>
  <c r="X139" i="3"/>
  <c r="Z139" i="3" s="1"/>
  <c r="L139" i="3"/>
  <c r="N139" i="3" s="1"/>
  <c r="B139" i="3"/>
  <c r="Z138" i="3"/>
  <c r="X138" i="3"/>
  <c r="N138" i="3"/>
  <c r="L138" i="3"/>
  <c r="B138" i="3"/>
  <c r="X137" i="3"/>
  <c r="Z137" i="3" s="1"/>
  <c r="L137" i="3"/>
  <c r="N137" i="3" s="1"/>
  <c r="B137" i="3"/>
  <c r="Z136" i="3"/>
  <c r="X136" i="3"/>
  <c r="N136" i="3"/>
  <c r="L136" i="3"/>
  <c r="B136" i="3"/>
  <c r="X135" i="3"/>
  <c r="Z135" i="3" s="1"/>
  <c r="L135" i="3"/>
  <c r="N135" i="3" s="1"/>
  <c r="B135" i="3"/>
  <c r="Z134" i="3"/>
  <c r="X134" i="3"/>
  <c r="N134" i="3"/>
  <c r="L134" i="3"/>
  <c r="B134" i="3"/>
  <c r="X133" i="3"/>
  <c r="Z133" i="3" s="1"/>
  <c r="L133" i="3"/>
  <c r="N133" i="3" s="1"/>
  <c r="B133" i="3"/>
  <c r="Z132" i="3"/>
  <c r="X132" i="3"/>
  <c r="N132" i="3"/>
  <c r="L132" i="3"/>
  <c r="B132" i="3"/>
  <c r="X131" i="3"/>
  <c r="Z131" i="3" s="1"/>
  <c r="L131" i="3"/>
  <c r="N131" i="3" s="1"/>
  <c r="B131" i="3"/>
  <c r="Z130" i="3"/>
  <c r="X130" i="3"/>
  <c r="N130" i="3"/>
  <c r="L130" i="3"/>
  <c r="B130" i="3"/>
  <c r="X129" i="3"/>
  <c r="Z129" i="3" s="1"/>
  <c r="L129" i="3"/>
  <c r="N129" i="3" s="1"/>
  <c r="B129" i="3"/>
  <c r="T128" i="3"/>
  <c r="P128" i="3"/>
  <c r="X128" i="3" s="1"/>
  <c r="Z128" i="3" s="1"/>
  <c r="H128" i="3"/>
  <c r="D128" i="3"/>
  <c r="L128" i="3" s="1"/>
  <c r="N128" i="3" s="1"/>
  <c r="T126" i="3"/>
  <c r="P126" i="3"/>
  <c r="N126" i="3"/>
  <c r="L126" i="3"/>
  <c r="H126" i="3"/>
  <c r="D126" i="3"/>
  <c r="B126" i="3"/>
  <c r="X125" i="3"/>
  <c r="T125" i="3"/>
  <c r="Z125" i="3" s="1"/>
  <c r="P125" i="3"/>
  <c r="N125" i="3"/>
  <c r="L125" i="3"/>
  <c r="H125" i="3"/>
  <c r="D125" i="3"/>
  <c r="B125" i="3"/>
  <c r="T124" i="3"/>
  <c r="P124" i="3"/>
  <c r="N124" i="3"/>
  <c r="L124" i="3"/>
  <c r="H124" i="3"/>
  <c r="D124" i="3"/>
  <c r="B124" i="3"/>
  <c r="T123" i="3"/>
  <c r="P123" i="3"/>
  <c r="H123" i="3"/>
  <c r="D123" i="3"/>
  <c r="L123" i="3" s="1"/>
  <c r="N123" i="3" s="1"/>
  <c r="B123" i="3"/>
  <c r="T122" i="3"/>
  <c r="P122" i="3"/>
  <c r="N122" i="3"/>
  <c r="L122" i="3"/>
  <c r="H122" i="3"/>
  <c r="D122" i="3"/>
  <c r="B122" i="3"/>
  <c r="X121" i="3"/>
  <c r="T121" i="3"/>
  <c r="Z121" i="3" s="1"/>
  <c r="P121" i="3"/>
  <c r="N121" i="3"/>
  <c r="L121" i="3"/>
  <c r="H121" i="3"/>
  <c r="D121" i="3"/>
  <c r="B121" i="3"/>
  <c r="T120" i="3"/>
  <c r="P120" i="3"/>
  <c r="L120" i="3"/>
  <c r="N120" i="3" s="1"/>
  <c r="H120" i="3"/>
  <c r="D120" i="3"/>
  <c r="B120" i="3"/>
  <c r="T119" i="3"/>
  <c r="X119" i="3" s="1"/>
  <c r="P119" i="3"/>
  <c r="L119" i="3"/>
  <c r="N119" i="3" s="1"/>
  <c r="H119" i="3"/>
  <c r="D119" i="3"/>
  <c r="B119" i="3"/>
  <c r="T118" i="3"/>
  <c r="P118" i="3"/>
  <c r="N118" i="3"/>
  <c r="L118" i="3"/>
  <c r="H118" i="3"/>
  <c r="D118" i="3"/>
  <c r="B118" i="3"/>
  <c r="T117" i="3"/>
  <c r="P117" i="3"/>
  <c r="H117" i="3"/>
  <c r="D117" i="3"/>
  <c r="L117" i="3" s="1"/>
  <c r="N117" i="3" s="1"/>
  <c r="B117" i="3"/>
  <c r="T116" i="3"/>
  <c r="P116" i="3"/>
  <c r="N116" i="3"/>
  <c r="L116" i="3"/>
  <c r="H116" i="3"/>
  <c r="D116" i="3"/>
  <c r="B116" i="3"/>
  <c r="X115" i="3"/>
  <c r="T115" i="3"/>
  <c r="P115" i="3"/>
  <c r="H115" i="3"/>
  <c r="D115" i="3"/>
  <c r="L115" i="3" s="1"/>
  <c r="N115" i="3" s="1"/>
  <c r="B115" i="3"/>
  <c r="T114" i="3"/>
  <c r="P114" i="3"/>
  <c r="N114" i="3"/>
  <c r="L114" i="3"/>
  <c r="H114" i="3"/>
  <c r="D114" i="3"/>
  <c r="B114" i="3"/>
  <c r="X113" i="3"/>
  <c r="T113" i="3"/>
  <c r="P113" i="3"/>
  <c r="H113" i="3"/>
  <c r="D113" i="3"/>
  <c r="L113" i="3" s="1"/>
  <c r="N113" i="3" s="1"/>
  <c r="B113" i="3"/>
  <c r="T112" i="3"/>
  <c r="P112" i="3"/>
  <c r="N112" i="3"/>
  <c r="L112" i="3"/>
  <c r="H112" i="3"/>
  <c r="D112" i="3"/>
  <c r="B112" i="3"/>
  <c r="X111" i="3"/>
  <c r="T111" i="3"/>
  <c r="Z111" i="3" s="1"/>
  <c r="P111" i="3"/>
  <c r="N111" i="3"/>
  <c r="L111" i="3"/>
  <c r="H111" i="3"/>
  <c r="D111" i="3"/>
  <c r="B111" i="3"/>
  <c r="T110" i="3"/>
  <c r="P110" i="3"/>
  <c r="L110" i="3"/>
  <c r="N110" i="3" s="1"/>
  <c r="H110" i="3"/>
  <c r="D110" i="3"/>
  <c r="B110" i="3"/>
  <c r="X109" i="3"/>
  <c r="T109" i="3"/>
  <c r="P109" i="3"/>
  <c r="H109" i="3"/>
  <c r="D109" i="3"/>
  <c r="L109" i="3" s="1"/>
  <c r="N109" i="3" s="1"/>
  <c r="B109" i="3"/>
  <c r="T108" i="3"/>
  <c r="P108" i="3"/>
  <c r="N108" i="3"/>
  <c r="L108" i="3"/>
  <c r="H108" i="3"/>
  <c r="D108" i="3"/>
  <c r="B108" i="3"/>
  <c r="X107" i="3"/>
  <c r="T107" i="3"/>
  <c r="P107" i="3"/>
  <c r="H107" i="3"/>
  <c r="D107" i="3"/>
  <c r="L107" i="3" s="1"/>
  <c r="N107" i="3" s="1"/>
  <c r="B107" i="3"/>
  <c r="T106" i="3"/>
  <c r="P106" i="3"/>
  <c r="L106" i="3"/>
  <c r="N106" i="3" s="1"/>
  <c r="H106" i="3"/>
  <c r="D106" i="3"/>
  <c r="B106" i="3"/>
  <c r="X105" i="3"/>
  <c r="T105" i="3"/>
  <c r="P105" i="3"/>
  <c r="H105" i="3"/>
  <c r="D105" i="3"/>
  <c r="L105" i="3" s="1"/>
  <c r="N105" i="3" s="1"/>
  <c r="B105" i="3"/>
  <c r="X104" i="3"/>
  <c r="T104" i="3"/>
  <c r="Z104" i="3" s="1"/>
  <c r="P104" i="3"/>
  <c r="L104" i="3"/>
  <c r="N104" i="3" s="1"/>
  <c r="H104" i="3"/>
  <c r="D104" i="3"/>
  <c r="B104" i="3"/>
  <c r="T103" i="3"/>
  <c r="P103" i="3"/>
  <c r="H103" i="3"/>
  <c r="D103" i="3"/>
  <c r="L103" i="3" s="1"/>
  <c r="N103" i="3" s="1"/>
  <c r="B103" i="3"/>
  <c r="Z102" i="3"/>
  <c r="X102" i="3"/>
  <c r="T102" i="3"/>
  <c r="P102" i="3"/>
  <c r="L102" i="3"/>
  <c r="N102" i="3" s="1"/>
  <c r="H102" i="3"/>
  <c r="D102" i="3"/>
  <c r="B102" i="3"/>
  <c r="X101" i="3"/>
  <c r="T101" i="3"/>
  <c r="Z101" i="3" s="1"/>
  <c r="P101" i="3"/>
  <c r="H101" i="3"/>
  <c r="N101" i="3" s="1"/>
  <c r="D101" i="3"/>
  <c r="L101" i="3" s="1"/>
  <c r="B101" i="3"/>
  <c r="T100" i="3"/>
  <c r="P100" i="3"/>
  <c r="H100" i="3"/>
  <c r="D100" i="3"/>
  <c r="L100" i="3" s="1"/>
  <c r="N100" i="3" s="1"/>
  <c r="B100" i="3"/>
  <c r="T99" i="3"/>
  <c r="P99" i="3"/>
  <c r="H99" i="3"/>
  <c r="D99" i="3"/>
  <c r="L99" i="3" s="1"/>
  <c r="N99" i="3" s="1"/>
  <c r="B99" i="3"/>
  <c r="T98" i="3"/>
  <c r="P98" i="3"/>
  <c r="X98" i="3" s="1"/>
  <c r="Z98" i="3" s="1"/>
  <c r="L98" i="3"/>
  <c r="N98" i="3" s="1"/>
  <c r="H98" i="3"/>
  <c r="D98" i="3"/>
  <c r="B98" i="3"/>
  <c r="X97" i="3"/>
  <c r="T97" i="3"/>
  <c r="Z97" i="3" s="1"/>
  <c r="P97" i="3"/>
  <c r="H97" i="3"/>
  <c r="N97" i="3" s="1"/>
  <c r="D97" i="3"/>
  <c r="L97" i="3" s="1"/>
  <c r="B97" i="3"/>
  <c r="T96" i="3"/>
  <c r="P96" i="3"/>
  <c r="H96" i="3"/>
  <c r="L96" i="3" s="1"/>
  <c r="N96" i="3" s="1"/>
  <c r="D96" i="3"/>
  <c r="B96" i="3"/>
  <c r="T95" i="3"/>
  <c r="P95" i="3"/>
  <c r="H95" i="3"/>
  <c r="D95" i="3"/>
  <c r="L95" i="3" s="1"/>
  <c r="N95" i="3" s="1"/>
  <c r="B95" i="3"/>
  <c r="T94" i="3"/>
  <c r="P94" i="3"/>
  <c r="X94" i="3" s="1"/>
  <c r="Z94" i="3" s="1"/>
  <c r="L94" i="3"/>
  <c r="N94" i="3" s="1"/>
  <c r="H94" i="3"/>
  <c r="D94" i="3"/>
  <c r="B94" i="3"/>
  <c r="X93" i="3"/>
  <c r="T93" i="3"/>
  <c r="Z93" i="3" s="1"/>
  <c r="P93" i="3"/>
  <c r="H93" i="3"/>
  <c r="D93" i="3"/>
  <c r="L93" i="3" s="1"/>
  <c r="B93" i="3"/>
  <c r="T92" i="3"/>
  <c r="P92" i="3"/>
  <c r="H92" i="3"/>
  <c r="L92" i="3" s="1"/>
  <c r="N92" i="3" s="1"/>
  <c r="D92" i="3"/>
  <c r="B92" i="3"/>
  <c r="T91" i="3"/>
  <c r="P91" i="3"/>
  <c r="N91" i="3"/>
  <c r="H91" i="3"/>
  <c r="D91" i="3"/>
  <c r="L91" i="3" s="1"/>
  <c r="B91" i="3"/>
  <c r="T90" i="3"/>
  <c r="P90" i="3"/>
  <c r="X90" i="3" s="1"/>
  <c r="Z90" i="3" s="1"/>
  <c r="L90" i="3"/>
  <c r="N90" i="3" s="1"/>
  <c r="H90" i="3"/>
  <c r="D90" i="3"/>
  <c r="B90" i="3"/>
  <c r="X89" i="3"/>
  <c r="T89" i="3"/>
  <c r="Z89" i="3" s="1"/>
  <c r="P89" i="3"/>
  <c r="H89" i="3"/>
  <c r="D89" i="3"/>
  <c r="L89" i="3" s="1"/>
  <c r="B89" i="3"/>
  <c r="T88" i="3"/>
  <c r="P88" i="3"/>
  <c r="H88" i="3"/>
  <c r="L88" i="3" s="1"/>
  <c r="N88" i="3" s="1"/>
  <c r="D88" i="3"/>
  <c r="B88" i="3"/>
  <c r="T87" i="3"/>
  <c r="P87" i="3"/>
  <c r="H87" i="3"/>
  <c r="D87" i="3"/>
  <c r="L87" i="3" s="1"/>
  <c r="N87" i="3" s="1"/>
  <c r="B87" i="3"/>
  <c r="Z86" i="3"/>
  <c r="X86" i="3"/>
  <c r="T86" i="3"/>
  <c r="P86" i="3"/>
  <c r="L86" i="3"/>
  <c r="N86" i="3" s="1"/>
  <c r="H86" i="3"/>
  <c r="D86" i="3"/>
  <c r="B86" i="3"/>
  <c r="X85" i="3"/>
  <c r="T85" i="3"/>
  <c r="Z85" i="3" s="1"/>
  <c r="P85" i="3"/>
  <c r="H85" i="3"/>
  <c r="D85" i="3"/>
  <c r="L85" i="3" s="1"/>
  <c r="N85" i="3" s="1"/>
  <c r="B85" i="3"/>
  <c r="T84" i="3"/>
  <c r="P84" i="3"/>
  <c r="H84" i="3"/>
  <c r="L84" i="3" s="1"/>
  <c r="N84" i="3" s="1"/>
  <c r="D84" i="3"/>
  <c r="B84" i="3"/>
  <c r="T83" i="3"/>
  <c r="P83" i="3"/>
  <c r="H83" i="3"/>
  <c r="D83" i="3"/>
  <c r="L83" i="3" s="1"/>
  <c r="N83" i="3" s="1"/>
  <c r="B83" i="3"/>
  <c r="Z82" i="3"/>
  <c r="X82" i="3"/>
  <c r="T82" i="3"/>
  <c r="P82" i="3"/>
  <c r="L82" i="3"/>
  <c r="N82" i="3" s="1"/>
  <c r="H82" i="3"/>
  <c r="D82" i="3"/>
  <c r="B82" i="3"/>
  <c r="X81" i="3"/>
  <c r="T81" i="3"/>
  <c r="Z81" i="3" s="1"/>
  <c r="P81" i="3"/>
  <c r="H81" i="3"/>
  <c r="D81" i="3"/>
  <c r="L81" i="3" s="1"/>
  <c r="N81" i="3" s="1"/>
  <c r="B81" i="3"/>
  <c r="T80" i="3"/>
  <c r="P80" i="3"/>
  <c r="H80" i="3"/>
  <c r="L80" i="3" s="1"/>
  <c r="N80" i="3" s="1"/>
  <c r="D80" i="3"/>
  <c r="B80" i="3"/>
  <c r="T79" i="3"/>
  <c r="P79" i="3"/>
  <c r="H79" i="3"/>
  <c r="D79" i="3"/>
  <c r="L79" i="3" s="1"/>
  <c r="N79" i="3" s="1"/>
  <c r="B79" i="3"/>
  <c r="Z78" i="3"/>
  <c r="X78" i="3"/>
  <c r="T78" i="3"/>
  <c r="P78" i="3"/>
  <c r="L78" i="3"/>
  <c r="N78" i="3" s="1"/>
  <c r="H78" i="3"/>
  <c r="D78" i="3"/>
  <c r="B78" i="3"/>
  <c r="X77" i="3"/>
  <c r="T77" i="3"/>
  <c r="Z77" i="3" s="1"/>
  <c r="P77" i="3"/>
  <c r="H77" i="3"/>
  <c r="D77" i="3"/>
  <c r="L77" i="3" s="1"/>
  <c r="N77" i="3" s="1"/>
  <c r="B77" i="3"/>
  <c r="T76" i="3"/>
  <c r="P76" i="3"/>
  <c r="H76" i="3"/>
  <c r="L76" i="3" s="1"/>
  <c r="N76" i="3" s="1"/>
  <c r="D76" i="3"/>
  <c r="B76" i="3"/>
  <c r="T75" i="3"/>
  <c r="P75" i="3"/>
  <c r="H75" i="3"/>
  <c r="D75" i="3"/>
  <c r="L75" i="3" s="1"/>
  <c r="N75" i="3" s="1"/>
  <c r="B75" i="3"/>
  <c r="T74" i="3"/>
  <c r="X74" i="3" s="1"/>
  <c r="Z74" i="3" s="1"/>
  <c r="P74" i="3"/>
  <c r="L74" i="3"/>
  <c r="N74" i="3" s="1"/>
  <c r="H74" i="3"/>
  <c r="D74" i="3"/>
  <c r="B74" i="3"/>
  <c r="X73" i="3"/>
  <c r="T73" i="3"/>
  <c r="Z73" i="3" s="1"/>
  <c r="P73" i="3"/>
  <c r="N73" i="3"/>
  <c r="L73" i="3"/>
  <c r="H73" i="3"/>
  <c r="D73" i="3"/>
  <c r="B73" i="3"/>
  <c r="T72" i="3"/>
  <c r="P72" i="3"/>
  <c r="H72" i="3"/>
  <c r="L72" i="3" s="1"/>
  <c r="N72" i="3" s="1"/>
  <c r="D72" i="3"/>
  <c r="B72" i="3"/>
  <c r="T71" i="3"/>
  <c r="P71" i="3"/>
  <c r="H71" i="3"/>
  <c r="D71" i="3"/>
  <c r="L71" i="3" s="1"/>
  <c r="N71" i="3" s="1"/>
  <c r="B71" i="3"/>
  <c r="Z70" i="3"/>
  <c r="X70" i="3"/>
  <c r="T70" i="3"/>
  <c r="P70" i="3"/>
  <c r="L70" i="3"/>
  <c r="N70" i="3" s="1"/>
  <c r="H70" i="3"/>
  <c r="D70" i="3"/>
  <c r="B70" i="3"/>
  <c r="X69" i="3"/>
  <c r="T69" i="3"/>
  <c r="Z69" i="3" s="1"/>
  <c r="P69" i="3"/>
  <c r="N69" i="3"/>
  <c r="L69" i="3"/>
  <c r="H69" i="3"/>
  <c r="D69" i="3"/>
  <c r="B69" i="3"/>
  <c r="T68" i="3"/>
  <c r="P68" i="3"/>
  <c r="H68" i="3"/>
  <c r="L68" i="3" s="1"/>
  <c r="N68" i="3" s="1"/>
  <c r="D68" i="3"/>
  <c r="B68" i="3"/>
  <c r="T67" i="3"/>
  <c r="P67" i="3"/>
  <c r="H67" i="3"/>
  <c r="D67" i="3"/>
  <c r="L67" i="3" s="1"/>
  <c r="N67" i="3" s="1"/>
  <c r="B67" i="3"/>
  <c r="T66" i="3"/>
  <c r="X66" i="3" s="1"/>
  <c r="Z66" i="3" s="1"/>
  <c r="P66" i="3"/>
  <c r="L66" i="3"/>
  <c r="N66" i="3" s="1"/>
  <c r="H66" i="3"/>
  <c r="D66" i="3"/>
  <c r="B66" i="3"/>
  <c r="X65" i="3"/>
  <c r="T65" i="3"/>
  <c r="Z65" i="3" s="1"/>
  <c r="P65" i="3"/>
  <c r="L65" i="3"/>
  <c r="N65" i="3" s="1"/>
  <c r="H65" i="3"/>
  <c r="D65" i="3"/>
  <c r="B65" i="3"/>
  <c r="T64" i="3"/>
  <c r="P64" i="3"/>
  <c r="H64" i="3"/>
  <c r="L64" i="3" s="1"/>
  <c r="N64" i="3" s="1"/>
  <c r="D64" i="3"/>
  <c r="B64" i="3"/>
  <c r="T63" i="3"/>
  <c r="P63" i="3"/>
  <c r="H63" i="3"/>
  <c r="D63" i="3"/>
  <c r="L63" i="3" s="1"/>
  <c r="N63" i="3" s="1"/>
  <c r="B63" i="3"/>
  <c r="T62" i="3"/>
  <c r="X62" i="3" s="1"/>
  <c r="Z62" i="3" s="1"/>
  <c r="P62" i="3"/>
  <c r="L62" i="3"/>
  <c r="N62" i="3" s="1"/>
  <c r="H62" i="3"/>
  <c r="D62" i="3"/>
  <c r="B62" i="3"/>
  <c r="X61" i="3"/>
  <c r="T61" i="3"/>
  <c r="Z61" i="3" s="1"/>
  <c r="P61" i="3"/>
  <c r="L61" i="3"/>
  <c r="N61" i="3" s="1"/>
  <c r="H61" i="3"/>
  <c r="D61" i="3"/>
  <c r="B61" i="3"/>
  <c r="T60" i="3"/>
  <c r="P60" i="3"/>
  <c r="H60" i="3"/>
  <c r="L60" i="3" s="1"/>
  <c r="N60" i="3" s="1"/>
  <c r="D60" i="3"/>
  <c r="B60" i="3"/>
  <c r="T59" i="3"/>
  <c r="P59" i="3"/>
  <c r="H59" i="3"/>
  <c r="D59" i="3"/>
  <c r="L59" i="3" s="1"/>
  <c r="N59" i="3" s="1"/>
  <c r="B59" i="3"/>
  <c r="T58" i="3"/>
  <c r="X58" i="3" s="1"/>
  <c r="Z58" i="3" s="1"/>
  <c r="P58" i="3"/>
  <c r="L58" i="3"/>
  <c r="N58" i="3" s="1"/>
  <c r="H58" i="3"/>
  <c r="D58" i="3"/>
  <c r="B58" i="3"/>
  <c r="X57" i="3"/>
  <c r="T57" i="3"/>
  <c r="Z57" i="3" s="1"/>
  <c r="P57" i="3"/>
  <c r="L57" i="3"/>
  <c r="N57" i="3" s="1"/>
  <c r="H57" i="3"/>
  <c r="D57" i="3"/>
  <c r="B57" i="3"/>
  <c r="T56" i="3"/>
  <c r="P56" i="3"/>
  <c r="X56" i="3" s="1"/>
  <c r="H56" i="3"/>
  <c r="L56" i="3" s="1"/>
  <c r="N56" i="3" s="1"/>
  <c r="D56" i="3"/>
  <c r="B56" i="3"/>
  <c r="T55" i="3"/>
  <c r="P55" i="3"/>
  <c r="H55" i="3"/>
  <c r="D55" i="3"/>
  <c r="L55" i="3" s="1"/>
  <c r="B55" i="3"/>
  <c r="T54" i="3"/>
  <c r="X54" i="3" s="1"/>
  <c r="Z54" i="3" s="1"/>
  <c r="P54" i="3"/>
  <c r="L54" i="3"/>
  <c r="N54" i="3" s="1"/>
  <c r="H54" i="3"/>
  <c r="D54" i="3"/>
  <c r="B54" i="3"/>
  <c r="X53" i="3"/>
  <c r="T53" i="3"/>
  <c r="Z53" i="3" s="1"/>
  <c r="P53" i="3"/>
  <c r="L53" i="3"/>
  <c r="N53" i="3" s="1"/>
  <c r="H53" i="3"/>
  <c r="D53" i="3"/>
  <c r="B53" i="3"/>
  <c r="T52" i="3"/>
  <c r="Z52" i="3" s="1"/>
  <c r="P52" i="3"/>
  <c r="X52" i="3" s="1"/>
  <c r="H52" i="3"/>
  <c r="L52" i="3" s="1"/>
  <c r="N52" i="3" s="1"/>
  <c r="D52" i="3"/>
  <c r="B52" i="3"/>
  <c r="T51" i="3"/>
  <c r="P51" i="3"/>
  <c r="H51" i="3"/>
  <c r="D51" i="3"/>
  <c r="L51" i="3" s="1"/>
  <c r="B51" i="3"/>
  <c r="T50" i="3"/>
  <c r="X50" i="3" s="1"/>
  <c r="Z50" i="3" s="1"/>
  <c r="P50" i="3"/>
  <c r="L50" i="3"/>
  <c r="N50" i="3" s="1"/>
  <c r="H50" i="3"/>
  <c r="D50" i="3"/>
  <c r="B50" i="3"/>
  <c r="X49" i="3"/>
  <c r="T49" i="3"/>
  <c r="Z49" i="3" s="1"/>
  <c r="P49" i="3"/>
  <c r="L49" i="3"/>
  <c r="H49" i="3"/>
  <c r="N49" i="3" s="1"/>
  <c r="D49" i="3"/>
  <c r="B49" i="3"/>
  <c r="T48" i="3"/>
  <c r="P48" i="3"/>
  <c r="N48" i="3"/>
  <c r="H48" i="3"/>
  <c r="L48" i="3" s="1"/>
  <c r="D48" i="3"/>
  <c r="B48" i="3"/>
  <c r="T47" i="3"/>
  <c r="P47" i="3"/>
  <c r="H47" i="3"/>
  <c r="D47" i="3"/>
  <c r="L47" i="3" s="1"/>
  <c r="B47" i="3"/>
  <c r="T46" i="3"/>
  <c r="P46" i="3"/>
  <c r="X46" i="3" s="1"/>
  <c r="Z46" i="3" s="1"/>
  <c r="L46" i="3"/>
  <c r="H46" i="3"/>
  <c r="N46" i="3" s="1"/>
  <c r="D46" i="3"/>
  <c r="B46" i="3"/>
  <c r="X45" i="3"/>
  <c r="T45" i="3"/>
  <c r="Z45" i="3" s="1"/>
  <c r="P45" i="3"/>
  <c r="L45" i="3"/>
  <c r="H45" i="3"/>
  <c r="N45" i="3" s="1"/>
  <c r="D45" i="3"/>
  <c r="B45" i="3"/>
  <c r="T44" i="3"/>
  <c r="P44" i="3"/>
  <c r="H44" i="3"/>
  <c r="L44" i="3" s="1"/>
  <c r="N44" i="3" s="1"/>
  <c r="D44" i="3"/>
  <c r="B44" i="3"/>
  <c r="T43" i="3"/>
  <c r="Z43" i="3" s="1"/>
  <c r="P43" i="3"/>
  <c r="X43" i="3" s="1"/>
  <c r="H43" i="3"/>
  <c r="D43" i="3"/>
  <c r="L43" i="3" s="1"/>
  <c r="N43" i="3" s="1"/>
  <c r="B43" i="3"/>
  <c r="T42" i="3"/>
  <c r="Z42" i="3" s="1"/>
  <c r="P42" i="3"/>
  <c r="X42" i="3" s="1"/>
  <c r="L42" i="3"/>
  <c r="H42" i="3"/>
  <c r="N42" i="3" s="1"/>
  <c r="D42" i="3"/>
  <c r="B42" i="3"/>
  <c r="X41" i="3"/>
  <c r="T41" i="3"/>
  <c r="Z41" i="3" s="1"/>
  <c r="P41" i="3"/>
  <c r="L41" i="3"/>
  <c r="H41" i="3"/>
  <c r="N41" i="3" s="1"/>
  <c r="D41" i="3"/>
  <c r="B41" i="3"/>
  <c r="T40" i="3"/>
  <c r="P40" i="3"/>
  <c r="N40" i="3"/>
  <c r="L40" i="3"/>
  <c r="H40" i="3"/>
  <c r="D40" i="3"/>
  <c r="B40" i="3"/>
  <c r="T39" i="3"/>
  <c r="Z39" i="3" s="1"/>
  <c r="P39" i="3"/>
  <c r="X39" i="3" s="1"/>
  <c r="H39" i="3"/>
  <c r="D39" i="3"/>
  <c r="L39" i="3" s="1"/>
  <c r="N39" i="3" s="1"/>
  <c r="B39" i="3"/>
  <c r="T38" i="3"/>
  <c r="P38" i="3"/>
  <c r="L38" i="3"/>
  <c r="H38" i="3"/>
  <c r="N38" i="3" s="1"/>
  <c r="D38" i="3"/>
  <c r="B38" i="3"/>
  <c r="X37" i="3"/>
  <c r="T37" i="3"/>
  <c r="Z37" i="3" s="1"/>
  <c r="P37" i="3"/>
  <c r="L37" i="3"/>
  <c r="N37" i="3" s="1"/>
  <c r="H37" i="3"/>
  <c r="D37" i="3"/>
  <c r="B37" i="3"/>
  <c r="T36" i="3"/>
  <c r="Z36" i="3" s="1"/>
  <c r="P36" i="3"/>
  <c r="X36" i="3" s="1"/>
  <c r="N36" i="3"/>
  <c r="L36" i="3"/>
  <c r="H36" i="3"/>
  <c r="D36" i="3"/>
  <c r="B36" i="3"/>
  <c r="T35" i="3"/>
  <c r="P35" i="3"/>
  <c r="H35" i="3"/>
  <c r="D35" i="3"/>
  <c r="L35" i="3" s="1"/>
  <c r="B35" i="3"/>
  <c r="T34" i="3"/>
  <c r="P34" i="3"/>
  <c r="L34" i="3"/>
  <c r="N34" i="3" s="1"/>
  <c r="H34" i="3"/>
  <c r="D34" i="3"/>
  <c r="B34" i="3"/>
  <c r="X33" i="3"/>
  <c r="T33" i="3"/>
  <c r="Z33" i="3" s="1"/>
  <c r="P33" i="3"/>
  <c r="L33" i="3"/>
  <c r="H33" i="3"/>
  <c r="N33" i="3" s="1"/>
  <c r="D33" i="3"/>
  <c r="B33" i="3"/>
  <c r="T32" i="3"/>
  <c r="Z32" i="3" s="1"/>
  <c r="P32" i="3"/>
  <c r="X32" i="3" s="1"/>
  <c r="N32" i="3"/>
  <c r="L32" i="3"/>
  <c r="H32" i="3"/>
  <c r="D32" i="3"/>
  <c r="B32" i="3"/>
  <c r="T31" i="3"/>
  <c r="P31" i="3"/>
  <c r="H31" i="3"/>
  <c r="D31" i="3"/>
  <c r="L31" i="3" s="1"/>
  <c r="N31" i="3" s="1"/>
  <c r="B31" i="3"/>
  <c r="T30" i="3"/>
  <c r="Z30" i="3" s="1"/>
  <c r="P30" i="3"/>
  <c r="X30" i="3" s="1"/>
  <c r="L30" i="3"/>
  <c r="N30" i="3" s="1"/>
  <c r="H30" i="3"/>
  <c r="D30" i="3"/>
  <c r="B30" i="3"/>
  <c r="X29" i="3"/>
  <c r="T29" i="3"/>
  <c r="Z29" i="3" s="1"/>
  <c r="P29" i="3"/>
  <c r="L29" i="3"/>
  <c r="H29" i="3"/>
  <c r="N29" i="3" s="1"/>
  <c r="D29" i="3"/>
  <c r="B29" i="3"/>
  <c r="T28" i="3"/>
  <c r="P28" i="3"/>
  <c r="N28" i="3"/>
  <c r="L28" i="3"/>
  <c r="H28" i="3"/>
  <c r="D28" i="3"/>
  <c r="B28" i="3"/>
  <c r="T27" i="3"/>
  <c r="P27" i="3"/>
  <c r="H27" i="3"/>
  <c r="D27" i="3"/>
  <c r="L27" i="3" s="1"/>
  <c r="N27" i="3" s="1"/>
  <c r="B27" i="3"/>
  <c r="T26" i="3"/>
  <c r="P26" i="3"/>
  <c r="X26" i="3" s="1"/>
  <c r="L26" i="3"/>
  <c r="N26" i="3" s="1"/>
  <c r="H26" i="3"/>
  <c r="D26" i="3"/>
  <c r="B26" i="3"/>
  <c r="X25" i="3"/>
  <c r="T25" i="3"/>
  <c r="Z25" i="3" s="1"/>
  <c r="P25" i="3"/>
  <c r="L25" i="3"/>
  <c r="N25" i="3" s="1"/>
  <c r="H25" i="3"/>
  <c r="D25" i="3"/>
  <c r="B25" i="3"/>
  <c r="T24" i="3"/>
  <c r="P24" i="3"/>
  <c r="N24" i="3"/>
  <c r="L24" i="3"/>
  <c r="H24" i="3"/>
  <c r="D24" i="3"/>
  <c r="B24" i="3"/>
  <c r="T23" i="3"/>
  <c r="P23" i="3"/>
  <c r="H23" i="3"/>
  <c r="D23" i="3"/>
  <c r="L23" i="3" s="1"/>
  <c r="N23" i="3" s="1"/>
  <c r="B23" i="3"/>
  <c r="T22" i="3"/>
  <c r="P22" i="3"/>
  <c r="L22" i="3"/>
  <c r="N22" i="3" s="1"/>
  <c r="H22" i="3"/>
  <c r="D22" i="3"/>
  <c r="B22" i="3"/>
  <c r="X21" i="3"/>
  <c r="T21" i="3"/>
  <c r="Z21" i="3" s="1"/>
  <c r="P21" i="3"/>
  <c r="N21" i="3"/>
  <c r="L21" i="3"/>
  <c r="H21" i="3"/>
  <c r="D21" i="3"/>
  <c r="B21" i="3"/>
  <c r="T20" i="3"/>
  <c r="P20" i="3"/>
  <c r="N20" i="3"/>
  <c r="L20" i="3"/>
  <c r="H20" i="3"/>
  <c r="D20" i="3"/>
  <c r="B20" i="3"/>
  <c r="T19" i="3"/>
  <c r="P19" i="3"/>
  <c r="H19" i="3"/>
  <c r="D19" i="3"/>
  <c r="L19" i="3" s="1"/>
  <c r="N19" i="3" s="1"/>
  <c r="B19" i="3"/>
  <c r="T18" i="3"/>
  <c r="P18" i="3"/>
  <c r="L18" i="3"/>
  <c r="N18" i="3" s="1"/>
  <c r="H18" i="3"/>
  <c r="D18" i="3"/>
  <c r="B18" i="3"/>
  <c r="X17" i="3"/>
  <c r="T17" i="3"/>
  <c r="Z17" i="3" s="1"/>
  <c r="P17" i="3"/>
  <c r="L17" i="3"/>
  <c r="N17" i="3" s="1"/>
  <c r="H17" i="3"/>
  <c r="D17" i="3"/>
  <c r="B17" i="3"/>
  <c r="T16" i="3"/>
  <c r="Z16" i="3" s="1"/>
  <c r="P16" i="3"/>
  <c r="X16" i="3" s="1"/>
  <c r="N16" i="3"/>
  <c r="L16" i="3"/>
  <c r="H16" i="3"/>
  <c r="D16" i="3"/>
  <c r="B16" i="3"/>
  <c r="T15" i="3"/>
  <c r="P15" i="3"/>
  <c r="H15" i="3"/>
  <c r="N15" i="3" s="1"/>
  <c r="D15" i="3"/>
  <c r="L15" i="3" s="1"/>
  <c r="B15" i="3"/>
  <c r="T14" i="3"/>
  <c r="P14" i="3"/>
  <c r="L14" i="3"/>
  <c r="N14" i="3" s="1"/>
  <c r="H14" i="3"/>
  <c r="D14" i="3"/>
  <c r="B14" i="3"/>
  <c r="X13" i="3"/>
  <c r="T13" i="3"/>
  <c r="T12" i="3" s="1"/>
  <c r="P13" i="3"/>
  <c r="P12" i="3" s="1"/>
  <c r="L13" i="3"/>
  <c r="N13" i="3" s="1"/>
  <c r="H13" i="3"/>
  <c r="D13" i="3"/>
  <c r="B13" i="3"/>
  <c r="H12" i="3"/>
  <c r="J216" i="3" s="1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4" i="113"/>
  <c r="P22" i="113"/>
  <c r="T20" i="113"/>
  <c r="T16" i="113"/>
  <c r="T13" i="113"/>
  <c r="T24" i="112"/>
  <c r="T22" i="112"/>
  <c r="P12" i="112"/>
  <c r="B21" i="111"/>
  <c r="D20" i="111"/>
  <c r="D16" i="111"/>
  <c r="H34" i="113"/>
  <c r="H33" i="113"/>
  <c r="H29" i="113"/>
  <c r="H25" i="113"/>
  <c r="P15" i="113"/>
  <c r="D6" i="113"/>
  <c r="P21" i="112"/>
  <c r="T15" i="112"/>
  <c r="P13" i="112"/>
  <c r="H12" i="112"/>
  <c r="P34" i="111"/>
  <c r="P33" i="111"/>
  <c r="P29" i="111"/>
  <c r="P25" i="111"/>
  <c r="T21" i="111"/>
  <c r="T22" i="113"/>
  <c r="D24" i="111"/>
  <c r="P29" i="112"/>
  <c r="T29" i="111"/>
  <c r="P16" i="113"/>
  <c r="P22" i="112"/>
  <c r="T16" i="112"/>
  <c r="T22" i="111"/>
  <c r="D16" i="112"/>
  <c r="D22" i="111"/>
  <c r="H16" i="111"/>
  <c r="P21" i="113"/>
  <c r="T15" i="113"/>
  <c r="P34" i="112"/>
  <c r="T21" i="112"/>
  <c r="T34" i="111"/>
  <c r="B16" i="111"/>
  <c r="B21" i="112"/>
  <c r="P13" i="113"/>
  <c r="P33" i="112"/>
  <c r="P25" i="112"/>
  <c r="T33" i="111"/>
  <c r="T25" i="111"/>
  <c r="D15" i="111"/>
  <c r="P20" i="113"/>
  <c r="T20" i="112"/>
  <c r="T13" i="112"/>
  <c r="T24" i="113"/>
  <c r="P12" i="113"/>
  <c r="D20" i="112"/>
  <c r="B25" i="111"/>
  <c r="H20" i="111"/>
  <c r="B13" i="111"/>
  <c r="D12" i="113"/>
  <c r="P24" i="112"/>
  <c r="T24" i="111"/>
  <c r="P12" i="111"/>
  <c r="H12" i="113"/>
  <c r="T12" i="111"/>
  <c r="T24" i="53"/>
  <c r="T22" i="53"/>
  <c r="P12" i="53"/>
  <c r="T34" i="52"/>
  <c r="T33" i="52"/>
  <c r="T29" i="52"/>
  <c r="T25" i="52"/>
  <c r="B16" i="52"/>
  <c r="D15" i="52"/>
  <c r="T12" i="52"/>
  <c r="P21" i="50"/>
  <c r="T15" i="50"/>
  <c r="P13" i="50"/>
  <c r="H12" i="50"/>
  <c r="P24" i="49"/>
  <c r="P22" i="49"/>
  <c r="T20" i="49"/>
  <c r="T16" i="49"/>
  <c r="T13" i="49"/>
  <c r="H34" i="47"/>
  <c r="H33" i="47"/>
  <c r="H29" i="47"/>
  <c r="H25" i="47"/>
  <c r="P15" i="47"/>
  <c r="D5" i="47"/>
  <c r="P24" i="53"/>
  <c r="P22" i="53"/>
  <c r="T20" i="53"/>
  <c r="T16" i="53"/>
  <c r="T13" i="53"/>
  <c r="P34" i="52"/>
  <c r="P33" i="52"/>
  <c r="P29" i="52"/>
  <c r="P25" i="52"/>
  <c r="T21" i="52"/>
  <c r="H34" i="50"/>
  <c r="H33" i="50"/>
  <c r="H29" i="50"/>
  <c r="H25" i="50"/>
  <c r="P15" i="50"/>
  <c r="D5" i="50"/>
  <c r="P20" i="49"/>
  <c r="P16" i="49"/>
  <c r="D12" i="49"/>
  <c r="P21" i="53"/>
  <c r="T15" i="53"/>
  <c r="P13" i="53"/>
  <c r="H12" i="53"/>
  <c r="P24" i="52"/>
  <c r="P22" i="52"/>
  <c r="P20" i="53"/>
  <c r="P16" i="53"/>
  <c r="D12" i="53"/>
  <c r="P21" i="52"/>
  <c r="T15" i="52"/>
  <c r="P13" i="52"/>
  <c r="H12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B22" i="47"/>
  <c r="D21" i="47"/>
  <c r="H15" i="47"/>
  <c r="B25" i="46"/>
  <c r="D24" i="46"/>
  <c r="D22" i="46"/>
  <c r="H34" i="53"/>
  <c r="H33" i="53"/>
  <c r="H29" i="53"/>
  <c r="H25" i="53"/>
  <c r="P15" i="53"/>
  <c r="D5" i="53"/>
  <c r="P20" i="52"/>
  <c r="P16" i="52"/>
  <c r="D12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H24" i="53"/>
  <c r="H22" i="53"/>
  <c r="H13" i="53"/>
  <c r="D4" i="53"/>
  <c r="H34" i="52"/>
  <c r="H33" i="52"/>
  <c r="H29" i="52"/>
  <c r="H25" i="52"/>
  <c r="P15" i="52"/>
  <c r="D5" i="52"/>
  <c r="T34" i="53"/>
  <c r="T33" i="53"/>
  <c r="T29" i="53"/>
  <c r="T25" i="53"/>
  <c r="B16" i="53"/>
  <c r="D15" i="53"/>
  <c r="T12" i="53"/>
  <c r="B21" i="52"/>
  <c r="D20" i="52"/>
  <c r="D16" i="52"/>
  <c r="B39" i="53"/>
  <c r="P29" i="53"/>
  <c r="B25" i="53"/>
  <c r="H15" i="53"/>
  <c r="D33" i="52"/>
  <c r="H24" i="52"/>
  <c r="P22" i="50"/>
  <c r="B21" i="50"/>
  <c r="D16" i="50"/>
  <c r="T13" i="50"/>
  <c r="P34" i="49"/>
  <c r="P29" i="49"/>
  <c r="B22" i="49"/>
  <c r="P33" i="47"/>
  <c r="P21" i="47"/>
  <c r="B16" i="47"/>
  <c r="H12" i="47"/>
  <c r="D34" i="46"/>
  <c r="H25" i="46"/>
  <c r="B22" i="46"/>
  <c r="D21" i="46"/>
  <c r="H15" i="46"/>
  <c r="P34" i="44"/>
  <c r="P33" i="44"/>
  <c r="P29" i="44"/>
  <c r="P25" i="44"/>
  <c r="T21" i="44"/>
  <c r="T24" i="43"/>
  <c r="B38" i="53"/>
  <c r="D29" i="53"/>
  <c r="T21" i="53"/>
  <c r="D21" i="52"/>
  <c r="H15" i="52"/>
  <c r="T34" i="50"/>
  <c r="T29" i="50"/>
  <c r="B16" i="50"/>
  <c r="P33" i="53"/>
  <c r="H21" i="53"/>
  <c r="D24" i="52"/>
  <c r="B39" i="50"/>
  <c r="T24" i="50"/>
  <c r="H22" i="50"/>
  <c r="H13" i="50"/>
  <c r="H34" i="49"/>
  <c r="H29" i="49"/>
  <c r="T25" i="49"/>
  <c r="P15" i="49"/>
  <c r="T12" i="49"/>
  <c r="B38" i="47"/>
  <c r="T25" i="47"/>
  <c r="H20" i="47"/>
  <c r="P13" i="47"/>
  <c r="D4" i="47"/>
  <c r="D25" i="46"/>
  <c r="B16" i="46"/>
  <c r="D15" i="46"/>
  <c r="T12" i="46"/>
  <c r="P21" i="44"/>
  <c r="T15" i="44"/>
  <c r="P13" i="44"/>
  <c r="H12" i="44"/>
  <c r="D33" i="53"/>
  <c r="D13" i="53"/>
  <c r="T20" i="52"/>
  <c r="T16" i="52"/>
  <c r="T13" i="52"/>
  <c r="P34" i="50"/>
  <c r="P29" i="50"/>
  <c r="B22" i="50"/>
  <c r="D24" i="49"/>
  <c r="H20" i="49"/>
  <c r="P12" i="49"/>
  <c r="P34" i="47"/>
  <c r="P24" i="47"/>
  <c r="H21" i="47"/>
  <c r="D20" i="47"/>
  <c r="B39" i="46"/>
  <c r="T33" i="46"/>
  <c r="P12" i="46"/>
  <c r="P20" i="44"/>
  <c r="P16" i="44"/>
  <c r="D12" i="44"/>
  <c r="D21" i="53"/>
  <c r="B13" i="53"/>
  <c r="T22" i="52"/>
  <c r="H13" i="52"/>
  <c r="P24" i="50"/>
  <c r="T20" i="50"/>
  <c r="P25" i="49"/>
  <c r="T21" i="49"/>
  <c r="H15" i="49"/>
  <c r="P25" i="47"/>
  <c r="H22" i="47"/>
  <c r="T15" i="47"/>
  <c r="H13" i="47"/>
  <c r="B38" i="46"/>
  <c r="H29" i="46"/>
  <c r="T22" i="46"/>
  <c r="T21" i="46"/>
  <c r="H34" i="44"/>
  <c r="H33" i="44"/>
  <c r="H29" i="44"/>
  <c r="H25" i="44"/>
  <c r="P15" i="44"/>
  <c r="D5" i="44"/>
  <c r="D24" i="53"/>
  <c r="B21" i="53"/>
  <c r="H22" i="52"/>
  <c r="D13" i="52"/>
  <c r="T25" i="50"/>
  <c r="P20" i="50"/>
  <c r="T12" i="50"/>
  <c r="P21" i="49"/>
  <c r="D20" i="49"/>
  <c r="H12" i="49"/>
  <c r="D33" i="47"/>
  <c r="B21" i="47"/>
  <c r="T16" i="47"/>
  <c r="D13" i="47"/>
  <c r="T34" i="46"/>
  <c r="P33" i="46"/>
  <c r="T20" i="46"/>
  <c r="T16" i="46"/>
  <c r="T13" i="46"/>
  <c r="B39" i="44"/>
  <c r="H24" i="44"/>
  <c r="H16" i="53"/>
  <c r="H20" i="52"/>
  <c r="H16" i="52"/>
  <c r="B13" i="52"/>
  <c r="H24" i="50"/>
  <c r="P12" i="50"/>
  <c r="T33" i="49"/>
  <c r="H25" i="49"/>
  <c r="D15" i="49"/>
  <c r="D5" i="49"/>
  <c r="T29" i="47"/>
  <c r="H24" i="47"/>
  <c r="D22" i="47"/>
  <c r="B13" i="47"/>
  <c r="D29" i="46"/>
  <c r="T24" i="46"/>
  <c r="P22" i="46"/>
  <c r="P21" i="46"/>
  <c r="T15" i="46"/>
  <c r="P13" i="46"/>
  <c r="H12" i="46"/>
  <c r="B38" i="44"/>
  <c r="D34" i="44"/>
  <c r="D33" i="44"/>
  <c r="D29" i="44"/>
  <c r="D25" i="44"/>
  <c r="H21" i="44"/>
  <c r="D13" i="44"/>
  <c r="B39" i="43"/>
  <c r="D34" i="52"/>
  <c r="D22" i="52"/>
  <c r="P25" i="50"/>
  <c r="T21" i="50"/>
  <c r="H15" i="50"/>
  <c r="B25" i="49"/>
  <c r="T22" i="49"/>
  <c r="H16" i="49"/>
  <c r="P16" i="47"/>
  <c r="P34" i="46"/>
  <c r="T25" i="46"/>
  <c r="P20" i="46"/>
  <c r="P16" i="46"/>
  <c r="D12" i="46"/>
  <c r="B25" i="44"/>
  <c r="D24" i="44"/>
  <c r="H20" i="53"/>
  <c r="D16" i="53"/>
  <c r="B39" i="52"/>
  <c r="D25" i="52"/>
  <c r="B22" i="52"/>
  <c r="P12" i="52"/>
  <c r="D20" i="50"/>
  <c r="T16" i="50"/>
  <c r="P33" i="49"/>
  <c r="D21" i="49"/>
  <c r="D34" i="47"/>
  <c r="P29" i="47"/>
  <c r="D24" i="47"/>
  <c r="T12" i="47"/>
  <c r="H33" i="46"/>
  <c r="P24" i="46"/>
  <c r="P15" i="46"/>
  <c r="D5" i="46"/>
  <c r="D25" i="53"/>
  <c r="B22" i="53"/>
  <c r="T24" i="52"/>
  <c r="H21" i="52"/>
  <c r="P33" i="50"/>
  <c r="D21" i="50"/>
  <c r="T24" i="49"/>
  <c r="D22" i="49"/>
  <c r="B13" i="49"/>
  <c r="T22" i="47"/>
  <c r="P20" i="47"/>
  <c r="D16" i="47"/>
  <c r="T29" i="46"/>
  <c r="H24" i="46"/>
  <c r="H20" i="46"/>
  <c r="H16" i="46"/>
  <c r="B13" i="46"/>
  <c r="D20" i="53"/>
  <c r="D4" i="46"/>
  <c r="T22" i="44"/>
  <c r="B21" i="44"/>
  <c r="T12" i="44"/>
  <c r="H29" i="43"/>
  <c r="B21" i="43"/>
  <c r="D20" i="43"/>
  <c r="D16" i="43"/>
  <c r="T24" i="41"/>
  <c r="T22" i="41"/>
  <c r="P12" i="41"/>
  <c r="T34" i="40"/>
  <c r="T33" i="40"/>
  <c r="T29" i="40"/>
  <c r="T25" i="40"/>
  <c r="B16" i="40"/>
  <c r="D15" i="40"/>
  <c r="T12" i="40"/>
  <c r="D12" i="50"/>
  <c r="T21" i="47"/>
  <c r="D15" i="47"/>
  <c r="D33" i="46"/>
  <c r="T25" i="44"/>
  <c r="P22" i="44"/>
  <c r="P12" i="44"/>
  <c r="T33" i="43"/>
  <c r="D29" i="43"/>
  <c r="B16" i="43"/>
  <c r="D15" i="43"/>
  <c r="T12" i="43"/>
  <c r="P34" i="41"/>
  <c r="P33" i="41"/>
  <c r="P29" i="41"/>
  <c r="P25" i="41"/>
  <c r="T21" i="41"/>
  <c r="T24" i="40"/>
  <c r="T22" i="40"/>
  <c r="P12" i="40"/>
  <c r="D4" i="50"/>
  <c r="B39" i="47"/>
  <c r="D29" i="47"/>
  <c r="T13" i="47"/>
  <c r="H22" i="44"/>
  <c r="P33" i="43"/>
  <c r="T22" i="43"/>
  <c r="P12" i="43"/>
  <c r="P24" i="41"/>
  <c r="P22" i="41"/>
  <c r="T20" i="41"/>
  <c r="T16" i="41"/>
  <c r="T13" i="41"/>
  <c r="P34" i="40"/>
  <c r="P33" i="40"/>
  <c r="P29" i="40"/>
  <c r="P25" i="40"/>
  <c r="T21" i="40"/>
  <c r="P34" i="53"/>
  <c r="B38" i="52"/>
  <c r="T22" i="50"/>
  <c r="T20" i="47"/>
  <c r="P12" i="47"/>
  <c r="T34" i="44"/>
  <c r="T29" i="44"/>
  <c r="D22" i="44"/>
  <c r="T20" i="44"/>
  <c r="H15" i="44"/>
  <c r="D4" i="44"/>
  <c r="T25" i="43"/>
  <c r="T21" i="43"/>
  <c r="P21" i="41"/>
  <c r="T15" i="41"/>
  <c r="P13" i="41"/>
  <c r="H12" i="41"/>
  <c r="P24" i="40"/>
  <c r="P22" i="40"/>
  <c r="T20" i="40"/>
  <c r="T16" i="40"/>
  <c r="T13" i="40"/>
  <c r="D34" i="53"/>
  <c r="D16" i="49"/>
  <c r="H22" i="46"/>
  <c r="B22" i="44"/>
  <c r="B38" i="43"/>
  <c r="T34" i="43"/>
  <c r="P25" i="43"/>
  <c r="P24" i="43"/>
  <c r="P22" i="43"/>
  <c r="T20" i="43"/>
  <c r="T16" i="43"/>
  <c r="T13" i="43"/>
  <c r="T34" i="49"/>
  <c r="B16" i="49"/>
  <c r="T34" i="47"/>
  <c r="D12" i="47"/>
  <c r="P29" i="46"/>
  <c r="D16" i="46"/>
  <c r="H20" i="44"/>
  <c r="T16" i="44"/>
  <c r="D15" i="44"/>
  <c r="P34" i="43"/>
  <c r="H33" i="43"/>
  <c r="P21" i="43"/>
  <c r="T15" i="43"/>
  <c r="P13" i="43"/>
  <c r="H12" i="43"/>
  <c r="H34" i="41"/>
  <c r="H33" i="41"/>
  <c r="H29" i="41"/>
  <c r="H25" i="41"/>
  <c r="P15" i="41"/>
  <c r="D5" i="41"/>
  <c r="P20" i="40"/>
  <c r="P16" i="40"/>
  <c r="D12" i="40"/>
  <c r="D4" i="52"/>
  <c r="T33" i="50"/>
  <c r="T15" i="49"/>
  <c r="D25" i="47"/>
  <c r="D33" i="43"/>
  <c r="P20" i="43"/>
  <c r="P16" i="43"/>
  <c r="D12" i="43"/>
  <c r="B39" i="41"/>
  <c r="P13" i="49"/>
  <c r="T33" i="47"/>
  <c r="B25" i="47"/>
  <c r="H21" i="46"/>
  <c r="T33" i="44"/>
  <c r="T24" i="44"/>
  <c r="D20" i="44"/>
  <c r="H16" i="44"/>
  <c r="T13" i="44"/>
  <c r="T29" i="43"/>
  <c r="P15" i="43"/>
  <c r="D5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B25" i="52"/>
  <c r="P25" i="46"/>
  <c r="H13" i="46"/>
  <c r="D16" i="44"/>
  <c r="B13" i="44"/>
  <c r="D34" i="43"/>
  <c r="H21" i="43"/>
  <c r="D13" i="43"/>
  <c r="B22" i="41"/>
  <c r="D21" i="41"/>
  <c r="H15" i="41"/>
  <c r="B25" i="40"/>
  <c r="D24" i="40"/>
  <c r="D22" i="40"/>
  <c r="H20" i="40"/>
  <c r="H16" i="40"/>
  <c r="B13" i="40"/>
  <c r="T29" i="49"/>
  <c r="P22" i="47"/>
  <c r="D20" i="46"/>
  <c r="D21" i="44"/>
  <c r="B25" i="43"/>
  <c r="B22" i="43"/>
  <c r="D21" i="43"/>
  <c r="H15" i="43"/>
  <c r="T34" i="41"/>
  <c r="T33" i="41"/>
  <c r="T29" i="41"/>
  <c r="T25" i="41"/>
  <c r="B16" i="41"/>
  <c r="D15" i="41"/>
  <c r="T12" i="41"/>
  <c r="B21" i="40"/>
  <c r="D20" i="40"/>
  <c r="D16" i="40"/>
  <c r="P29" i="43"/>
  <c r="P16" i="41"/>
  <c r="D12" i="41"/>
  <c r="P13" i="40"/>
  <c r="T34" i="38"/>
  <c r="T33" i="38"/>
  <c r="T29" i="38"/>
  <c r="T25" i="38"/>
  <c r="B16" i="38"/>
  <c r="D15" i="38"/>
  <c r="T12" i="38"/>
  <c r="B21" i="37"/>
  <c r="D20" i="37"/>
  <c r="D16" i="37"/>
  <c r="B21" i="35"/>
  <c r="D20" i="35"/>
  <c r="D16" i="35"/>
  <c r="P25" i="53"/>
  <c r="P16" i="50"/>
  <c r="B21" i="46"/>
  <c r="H20" i="43"/>
  <c r="D4" i="41"/>
  <c r="H33" i="40"/>
  <c r="T24" i="38"/>
  <c r="T22" i="38"/>
  <c r="P12" i="38"/>
  <c r="T34" i="37"/>
  <c r="T33" i="37"/>
  <c r="T29" i="37"/>
  <c r="T25" i="37"/>
  <c r="B16" i="37"/>
  <c r="D15" i="37"/>
  <c r="T12" i="37"/>
  <c r="T34" i="35"/>
  <c r="T33" i="35"/>
  <c r="T29" i="35"/>
  <c r="T25" i="35"/>
  <c r="B16" i="35"/>
  <c r="D15" i="35"/>
  <c r="T12" i="35"/>
  <c r="D22" i="53"/>
  <c r="D15" i="50"/>
  <c r="B25" i="41"/>
  <c r="H16" i="41"/>
  <c r="B38" i="40"/>
  <c r="D33" i="40"/>
  <c r="D13" i="40"/>
  <c r="P34" i="38"/>
  <c r="P33" i="38"/>
  <c r="P29" i="38"/>
  <c r="P25" i="38"/>
  <c r="T21" i="38"/>
  <c r="T24" i="37"/>
  <c r="T22" i="37"/>
  <c r="P12" i="37"/>
  <c r="T24" i="35"/>
  <c r="T22" i="35"/>
  <c r="D29" i="52"/>
  <c r="H33" i="49"/>
  <c r="B16" i="44"/>
  <c r="B21" i="41"/>
  <c r="D16" i="41"/>
  <c r="B22" i="40"/>
  <c r="P24" i="38"/>
  <c r="P22" i="38"/>
  <c r="T20" i="38"/>
  <c r="T16" i="38"/>
  <c r="T13" i="38"/>
  <c r="P34" i="37"/>
  <c r="P33" i="37"/>
  <c r="P29" i="37"/>
  <c r="P25" i="37"/>
  <c r="T21" i="37"/>
  <c r="D13" i="46"/>
  <c r="H13" i="44"/>
  <c r="H25" i="43"/>
  <c r="P20" i="41"/>
  <c r="P21" i="40"/>
  <c r="H12" i="40"/>
  <c r="T24" i="47"/>
  <c r="D25" i="43"/>
  <c r="H16" i="43"/>
  <c r="H24" i="41"/>
  <c r="H25" i="40"/>
  <c r="D5" i="40"/>
  <c r="P20" i="38"/>
  <c r="P16" i="38"/>
  <c r="D12" i="38"/>
  <c r="P21" i="37"/>
  <c r="T15" i="37"/>
  <c r="P13" i="37"/>
  <c r="H12" i="37"/>
  <c r="B21" i="49"/>
  <c r="H24" i="43"/>
  <c r="D24" i="41"/>
  <c r="H20" i="41"/>
  <c r="D25" i="40"/>
  <c r="H21" i="40"/>
  <c r="H34" i="38"/>
  <c r="H33" i="38"/>
  <c r="H29" i="38"/>
  <c r="H25" i="38"/>
  <c r="P15" i="38"/>
  <c r="D5" i="38"/>
  <c r="P20" i="37"/>
  <c r="P16" i="37"/>
  <c r="D12" i="37"/>
  <c r="D24" i="43"/>
  <c r="D20" i="41"/>
  <c r="D21" i="40"/>
  <c r="B39" i="38"/>
  <c r="H24" i="38"/>
  <c r="H22" i="38"/>
  <c r="H13" i="38"/>
  <c r="D4" i="38"/>
  <c r="H34" i="37"/>
  <c r="H33" i="37"/>
  <c r="H29" i="37"/>
  <c r="H25" i="37"/>
  <c r="P15" i="37"/>
  <c r="D5" i="37"/>
  <c r="H34" i="35"/>
  <c r="H33" i="35"/>
  <c r="H29" i="35"/>
  <c r="H25" i="35"/>
  <c r="P15" i="35"/>
  <c r="D5" i="35"/>
  <c r="D22" i="43"/>
  <c r="B13" i="43"/>
  <c r="H22" i="41"/>
  <c r="H13" i="41"/>
  <c r="H34" i="40"/>
  <c r="H29" i="40"/>
  <c r="P15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B38" i="35"/>
  <c r="D34" i="35"/>
  <c r="D33" i="35"/>
  <c r="D29" i="35"/>
  <c r="D25" i="35"/>
  <c r="H21" i="35"/>
  <c r="D13" i="35"/>
  <c r="B39" i="34"/>
  <c r="H15" i="40"/>
  <c r="B21" i="38"/>
  <c r="D20" i="38"/>
  <c r="D16" i="38"/>
  <c r="B22" i="37"/>
  <c r="D21" i="37"/>
  <c r="H15" i="37"/>
  <c r="H34" i="46"/>
  <c r="D33" i="38"/>
  <c r="D25" i="38"/>
  <c r="D13" i="38"/>
  <c r="H13" i="37"/>
  <c r="H22" i="35"/>
  <c r="T15" i="35"/>
  <c r="P24" i="34"/>
  <c r="P22" i="34"/>
  <c r="T20" i="34"/>
  <c r="T16" i="34"/>
  <c r="T13" i="34"/>
  <c r="P34" i="32"/>
  <c r="P33" i="32"/>
  <c r="P29" i="32"/>
  <c r="P25" i="32"/>
  <c r="T21" i="32"/>
  <c r="T24" i="31"/>
  <c r="T22" i="31"/>
  <c r="P12" i="31"/>
  <c r="H22" i="43"/>
  <c r="B13" i="41"/>
  <c r="B25" i="37"/>
  <c r="H20" i="37"/>
  <c r="B13" i="37"/>
  <c r="D22" i="35"/>
  <c r="P20" i="35"/>
  <c r="H34" i="34"/>
  <c r="P29" i="34"/>
  <c r="P21" i="34"/>
  <c r="T15" i="34"/>
  <c r="P13" i="34"/>
  <c r="H12" i="34"/>
  <c r="H12" i="38"/>
  <c r="P24" i="37"/>
  <c r="P33" i="35"/>
  <c r="P24" i="35"/>
  <c r="B22" i="35"/>
  <c r="P12" i="35"/>
  <c r="D34" i="34"/>
  <c r="P20" i="34"/>
  <c r="P16" i="34"/>
  <c r="D12" i="34"/>
  <c r="P21" i="32"/>
  <c r="T15" i="32"/>
  <c r="P13" i="32"/>
  <c r="H12" i="32"/>
  <c r="P24" i="31"/>
  <c r="P22" i="31"/>
  <c r="T20" i="31"/>
  <c r="T16" i="31"/>
  <c r="T13" i="31"/>
  <c r="H13" i="43"/>
  <c r="D34" i="40"/>
  <c r="B38" i="38"/>
  <c r="B39" i="37"/>
  <c r="H24" i="37"/>
  <c r="D4" i="37"/>
  <c r="T21" i="35"/>
  <c r="H20" i="35"/>
  <c r="T16" i="35"/>
  <c r="H25" i="34"/>
  <c r="P15" i="34"/>
  <c r="D5" i="34"/>
  <c r="P20" i="32"/>
  <c r="P16" i="32"/>
  <c r="D12" i="32"/>
  <c r="P21" i="31"/>
  <c r="T15" i="31"/>
  <c r="P13" i="31"/>
  <c r="H12" i="31"/>
  <c r="D4" i="43"/>
  <c r="D24" i="37"/>
  <c r="P29" i="35"/>
  <c r="H15" i="35"/>
  <c r="H24" i="34"/>
  <c r="H22" i="34"/>
  <c r="H13" i="34"/>
  <c r="D4" i="34"/>
  <c r="H34" i="32"/>
  <c r="H33" i="32"/>
  <c r="H29" i="32"/>
  <c r="H25" i="32"/>
  <c r="P15" i="32"/>
  <c r="D5" i="32"/>
  <c r="P20" i="31"/>
  <c r="P16" i="31"/>
  <c r="D12" i="31"/>
  <c r="D29" i="40"/>
  <c r="P22" i="37"/>
  <c r="T16" i="37"/>
  <c r="H24" i="35"/>
  <c r="P21" i="35"/>
  <c r="P16" i="35"/>
  <c r="H12" i="35"/>
  <c r="T33" i="34"/>
  <c r="H29" i="34"/>
  <c r="D25" i="34"/>
  <c r="H21" i="34"/>
  <c r="D13" i="34"/>
  <c r="B39" i="32"/>
  <c r="H24" i="32"/>
  <c r="H22" i="32"/>
  <c r="H13" i="32"/>
  <c r="D4" i="32"/>
  <c r="H34" i="31"/>
  <c r="H33" i="31"/>
  <c r="H29" i="31"/>
  <c r="H25" i="31"/>
  <c r="P15" i="31"/>
  <c r="D5" i="31"/>
  <c r="D29" i="38"/>
  <c r="H22" i="37"/>
  <c r="P25" i="35"/>
  <c r="D24" i="35"/>
  <c r="D12" i="35"/>
  <c r="D29" i="34"/>
  <c r="B25" i="34"/>
  <c r="D24" i="34"/>
  <c r="D22" i="34"/>
  <c r="H20" i="34"/>
  <c r="H16" i="34"/>
  <c r="B13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B39" i="29"/>
  <c r="B22" i="38"/>
  <c r="D22" i="37"/>
  <c r="H16" i="37"/>
  <c r="P34" i="35"/>
  <c r="H16" i="35"/>
  <c r="T13" i="35"/>
  <c r="D4" i="35"/>
  <c r="P33" i="34"/>
  <c r="B22" i="34"/>
  <c r="D21" i="34"/>
  <c r="H15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B38" i="29"/>
  <c r="D34" i="29"/>
  <c r="D33" i="29"/>
  <c r="D29" i="29"/>
  <c r="D25" i="29"/>
  <c r="H21" i="29"/>
  <c r="D13" i="29"/>
  <c r="B39" i="28"/>
  <c r="P24" i="44"/>
  <c r="D22" i="41"/>
  <c r="D34" i="38"/>
  <c r="H21" i="38"/>
  <c r="B39" i="35"/>
  <c r="P22" i="35"/>
  <c r="D21" i="35"/>
  <c r="T25" i="34"/>
  <c r="B16" i="34"/>
  <c r="D15" i="34"/>
  <c r="T12" i="34"/>
  <c r="B21" i="32"/>
  <c r="D20" i="32"/>
  <c r="D16" i="32"/>
  <c r="B22" i="31"/>
  <c r="D21" i="31"/>
  <c r="H15" i="31"/>
  <c r="B22" i="29"/>
  <c r="D21" i="29"/>
  <c r="H15" i="29"/>
  <c r="B25" i="28"/>
  <c r="H16" i="47"/>
  <c r="H34" i="43"/>
  <c r="P13" i="38"/>
  <c r="T20" i="37"/>
  <c r="T13" i="37"/>
  <c r="B25" i="35"/>
  <c r="T20" i="35"/>
  <c r="B13" i="35"/>
  <c r="D33" i="34"/>
  <c r="T29" i="34"/>
  <c r="P25" i="34"/>
  <c r="T21" i="34"/>
  <c r="T24" i="32"/>
  <c r="T22" i="32"/>
  <c r="P12" i="32"/>
  <c r="T34" i="31"/>
  <c r="T33" i="31"/>
  <c r="T29" i="31"/>
  <c r="T25" i="31"/>
  <c r="B16" i="31"/>
  <c r="D15" i="31"/>
  <c r="T12" i="31"/>
  <c r="D24" i="31"/>
  <c r="H22" i="29"/>
  <c r="B21" i="29"/>
  <c r="T16" i="29"/>
  <c r="H13" i="29"/>
  <c r="T34" i="28"/>
  <c r="P33" i="28"/>
  <c r="H29" i="28"/>
  <c r="B21" i="28"/>
  <c r="D20" i="28"/>
  <c r="D16" i="28"/>
  <c r="T34" i="26"/>
  <c r="T33" i="26"/>
  <c r="T29" i="26"/>
  <c r="T25" i="26"/>
  <c r="B16" i="26"/>
  <c r="D15" i="26"/>
  <c r="T12" i="26"/>
  <c r="B21" i="25"/>
  <c r="D20" i="25"/>
  <c r="D16" i="25"/>
  <c r="P20" i="23"/>
  <c r="P16" i="23"/>
  <c r="D12" i="23"/>
  <c r="P21" i="22"/>
  <c r="T15" i="22"/>
  <c r="P13" i="22"/>
  <c r="H12" i="22"/>
  <c r="H33" i="34"/>
  <c r="P12" i="34"/>
  <c r="T29" i="32"/>
  <c r="P33" i="29"/>
  <c r="D22" i="29"/>
  <c r="P15" i="29"/>
  <c r="B13" i="29"/>
  <c r="D29" i="28"/>
  <c r="B16" i="28"/>
  <c r="D15" i="28"/>
  <c r="T12" i="28"/>
  <c r="T24" i="26"/>
  <c r="T22" i="26"/>
  <c r="P12" i="26"/>
  <c r="T34" i="25"/>
  <c r="T33" i="25"/>
  <c r="T29" i="25"/>
  <c r="T25" i="25"/>
  <c r="B16" i="25"/>
  <c r="D15" i="25"/>
  <c r="T12" i="25"/>
  <c r="P21" i="38"/>
  <c r="B21" i="34"/>
  <c r="P22" i="32"/>
  <c r="T16" i="32"/>
  <c r="P29" i="31"/>
  <c r="H24" i="29"/>
  <c r="P16" i="29"/>
  <c r="P34" i="28"/>
  <c r="T25" i="28"/>
  <c r="T24" i="28"/>
  <c r="T22" i="28"/>
  <c r="P12" i="28"/>
  <c r="P34" i="26"/>
  <c r="P33" i="26"/>
  <c r="P29" i="26"/>
  <c r="P25" i="26"/>
  <c r="T21" i="26"/>
  <c r="T24" i="25"/>
  <c r="T22" i="25"/>
  <c r="P12" i="25"/>
  <c r="B39" i="23"/>
  <c r="H24" i="23"/>
  <c r="H22" i="23"/>
  <c r="H13" i="23"/>
  <c r="D4" i="23"/>
  <c r="H34" i="22"/>
  <c r="H33" i="22"/>
  <c r="H29" i="22"/>
  <c r="H25" i="22"/>
  <c r="P15" i="22"/>
  <c r="D5" i="22"/>
  <c r="D21" i="38"/>
  <c r="B22" i="32"/>
  <c r="D22" i="31"/>
  <c r="H16" i="31"/>
  <c r="T29" i="29"/>
  <c r="H25" i="29"/>
  <c r="D24" i="29"/>
  <c r="T12" i="29"/>
  <c r="T21" i="28"/>
  <c r="P24" i="26"/>
  <c r="P22" i="26"/>
  <c r="T20" i="26"/>
  <c r="T16" i="26"/>
  <c r="T13" i="26"/>
  <c r="P34" i="25"/>
  <c r="P33" i="25"/>
  <c r="P29" i="25"/>
  <c r="P25" i="25"/>
  <c r="T21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T15" i="38"/>
  <c r="D20" i="34"/>
  <c r="T34" i="32"/>
  <c r="B16" i="32"/>
  <c r="D16" i="31"/>
  <c r="T34" i="29"/>
  <c r="H33" i="29"/>
  <c r="T20" i="29"/>
  <c r="P12" i="29"/>
  <c r="H33" i="28"/>
  <c r="P25" i="28"/>
  <c r="P24" i="28"/>
  <c r="P22" i="28"/>
  <c r="T20" i="28"/>
  <c r="T16" i="28"/>
  <c r="T13" i="28"/>
  <c r="P21" i="26"/>
  <c r="T15" i="26"/>
  <c r="P13" i="26"/>
  <c r="H12" i="26"/>
  <c r="P24" i="25"/>
  <c r="P22" i="25"/>
  <c r="T20" i="25"/>
  <c r="T16" i="25"/>
  <c r="T13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H15" i="38"/>
  <c r="P34" i="31"/>
  <c r="T21" i="31"/>
  <c r="P29" i="29"/>
  <c r="B25" i="29"/>
  <c r="T21" i="29"/>
  <c r="H16" i="29"/>
  <c r="D15" i="29"/>
  <c r="D33" i="28"/>
  <c r="P21" i="28"/>
  <c r="T15" i="28"/>
  <c r="P13" i="28"/>
  <c r="H12" i="28"/>
  <c r="P20" i="26"/>
  <c r="P16" i="26"/>
  <c r="D12" i="26"/>
  <c r="P21" i="25"/>
  <c r="T15" i="25"/>
  <c r="P13" i="25"/>
  <c r="H12" i="25"/>
  <c r="B22" i="23"/>
  <c r="D21" i="23"/>
  <c r="P13" i="35"/>
  <c r="D21" i="32"/>
  <c r="H15" i="32"/>
  <c r="P34" i="29"/>
  <c r="T22" i="29"/>
  <c r="P20" i="29"/>
  <c r="D16" i="29"/>
  <c r="H34" i="28"/>
  <c r="T29" i="28"/>
  <c r="P20" i="28"/>
  <c r="P16" i="28"/>
  <c r="D12" i="28"/>
  <c r="H34" i="26"/>
  <c r="H33" i="26"/>
  <c r="H29" i="26"/>
  <c r="H25" i="26"/>
  <c r="P15" i="26"/>
  <c r="D5" i="26"/>
  <c r="P20" i="25"/>
  <c r="P16" i="25"/>
  <c r="D12" i="25"/>
  <c r="B21" i="23"/>
  <c r="D20" i="23"/>
  <c r="D16" i="23"/>
  <c r="B22" i="22"/>
  <c r="D21" i="22"/>
  <c r="H15" i="22"/>
  <c r="T15" i="40"/>
  <c r="H13" i="35"/>
  <c r="T33" i="32"/>
  <c r="T25" i="32"/>
  <c r="D15" i="32"/>
  <c r="B21" i="31"/>
  <c r="P21" i="29"/>
  <c r="B16" i="29"/>
  <c r="H12" i="29"/>
  <c r="D34" i="28"/>
  <c r="P15" i="28"/>
  <c r="D5" i="28"/>
  <c r="B39" i="26"/>
  <c r="H24" i="26"/>
  <c r="H22" i="26"/>
  <c r="H13" i="26"/>
  <c r="D4" i="26"/>
  <c r="H34" i="25"/>
  <c r="H33" i="25"/>
  <c r="H29" i="25"/>
  <c r="H25" i="25"/>
  <c r="P15" i="25"/>
  <c r="D5" i="25"/>
  <c r="T34" i="23"/>
  <c r="T33" i="23"/>
  <c r="T29" i="23"/>
  <c r="T25" i="23"/>
  <c r="B16" i="23"/>
  <c r="D15" i="23"/>
  <c r="T12" i="23"/>
  <c r="B21" i="22"/>
  <c r="D20" i="22"/>
  <c r="D16" i="22"/>
  <c r="T24" i="34"/>
  <c r="B25" i="31"/>
  <c r="H20" i="31"/>
  <c r="B13" i="31"/>
  <c r="T25" i="29"/>
  <c r="H20" i="29"/>
  <c r="P13" i="29"/>
  <c r="D5" i="29"/>
  <c r="H21" i="28"/>
  <c r="D13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P34" i="23"/>
  <c r="P33" i="23"/>
  <c r="P29" i="23"/>
  <c r="P25" i="23"/>
  <c r="T21" i="23"/>
  <c r="T24" i="22"/>
  <c r="T22" i="22"/>
  <c r="P12" i="22"/>
  <c r="P34" i="34"/>
  <c r="T22" i="34"/>
  <c r="P24" i="32"/>
  <c r="T33" i="29"/>
  <c r="P25" i="29"/>
  <c r="T15" i="29"/>
  <c r="B38" i="28"/>
  <c r="B22" i="28"/>
  <c r="D21" i="28"/>
  <c r="H15" i="28"/>
  <c r="B21" i="26"/>
  <c r="D20" i="26"/>
  <c r="D16" i="26"/>
  <c r="B22" i="25"/>
  <c r="D21" i="25"/>
  <c r="H15" i="25"/>
  <c r="P21" i="23"/>
  <c r="T15" i="23"/>
  <c r="P13" i="23"/>
  <c r="H12" i="23"/>
  <c r="P24" i="22"/>
  <c r="P22" i="22"/>
  <c r="T20" i="22"/>
  <c r="T16" i="22"/>
  <c r="T13" i="22"/>
  <c r="T13" i="32"/>
  <c r="T24" i="29"/>
  <c r="T13" i="29"/>
  <c r="D24" i="25"/>
  <c r="H15" i="23"/>
  <c r="B25" i="22"/>
  <c r="H16" i="22"/>
  <c r="P24" i="20"/>
  <c r="P22" i="20"/>
  <c r="T20" i="20"/>
  <c r="T16" i="20"/>
  <c r="T13" i="20"/>
  <c r="P34" i="19"/>
  <c r="P33" i="19"/>
  <c r="P29" i="19"/>
  <c r="P25" i="19"/>
  <c r="T21" i="19"/>
  <c r="B38" i="34"/>
  <c r="T12" i="32"/>
  <c r="P24" i="29"/>
  <c r="D25" i="26"/>
  <c r="H22" i="25"/>
  <c r="H13" i="25"/>
  <c r="T20" i="23"/>
  <c r="T34" i="22"/>
  <c r="T29" i="22"/>
  <c r="B16" i="22"/>
  <c r="P21" i="20"/>
  <c r="T15" i="20"/>
  <c r="P13" i="20"/>
  <c r="H12" i="20"/>
  <c r="P24" i="19"/>
  <c r="P22" i="19"/>
  <c r="T20" i="19"/>
  <c r="T16" i="19"/>
  <c r="T13" i="19"/>
  <c r="T34" i="34"/>
  <c r="P33" i="31"/>
  <c r="P22" i="29"/>
  <c r="D12" i="29"/>
  <c r="H25" i="28"/>
  <c r="D22" i="25"/>
  <c r="B13" i="25"/>
  <c r="H33" i="23"/>
  <c r="H25" i="23"/>
  <c r="T13" i="23"/>
  <c r="P34" i="22"/>
  <c r="P29" i="22"/>
  <c r="P20" i="20"/>
  <c r="P16" i="20"/>
  <c r="D12" i="20"/>
  <c r="P21" i="19"/>
  <c r="T15" i="19"/>
  <c r="P13" i="19"/>
  <c r="H12" i="19"/>
  <c r="D4" i="29"/>
  <c r="D25" i="28"/>
  <c r="H16" i="28"/>
  <c r="D34" i="26"/>
  <c r="D4" i="25"/>
  <c r="T24" i="23"/>
  <c r="P20" i="22"/>
  <c r="H34" i="20"/>
  <c r="H33" i="20"/>
  <c r="H29" i="20"/>
  <c r="H25" i="20"/>
  <c r="P15" i="20"/>
  <c r="D5" i="20"/>
  <c r="P20" i="19"/>
  <c r="P16" i="19"/>
  <c r="D12" i="19"/>
  <c r="P25" i="31"/>
  <c r="H34" i="29"/>
  <c r="H24" i="28"/>
  <c r="H15" i="26"/>
  <c r="P24" i="23"/>
  <c r="D24" i="22"/>
  <c r="H20" i="22"/>
  <c r="B39" i="20"/>
  <c r="H24" i="20"/>
  <c r="H22" i="20"/>
  <c r="H13" i="20"/>
  <c r="D4" i="20"/>
  <c r="H34" i="19"/>
  <c r="H33" i="19"/>
  <c r="H29" i="19"/>
  <c r="H25" i="19"/>
  <c r="P15" i="19"/>
  <c r="D5" i="19"/>
  <c r="D16" i="34"/>
  <c r="D24" i="28"/>
  <c r="D33" i="26"/>
  <c r="D13" i="26"/>
  <c r="P12" i="23"/>
  <c r="T33" i="22"/>
  <c r="D15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H22" i="28"/>
  <c r="H13" i="28"/>
  <c r="B22" i="26"/>
  <c r="H20" i="25"/>
  <c r="T22" i="23"/>
  <c r="P33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D20" i="31"/>
  <c r="D20" i="29"/>
  <c r="T33" i="28"/>
  <c r="D22" i="28"/>
  <c r="B13" i="28"/>
  <c r="H21" i="26"/>
  <c r="B39" i="25"/>
  <c r="P22" i="23"/>
  <c r="T16" i="23"/>
  <c r="D5" i="23"/>
  <c r="B22" i="20"/>
  <c r="D21" i="20"/>
  <c r="H15" i="20"/>
  <c r="B25" i="19"/>
  <c r="D24" i="19"/>
  <c r="D22" i="19"/>
  <c r="H20" i="19"/>
  <c r="H16" i="19"/>
  <c r="B13" i="19"/>
  <c r="H29" i="29"/>
  <c r="D4" i="28"/>
  <c r="D21" i="26"/>
  <c r="H29" i="23"/>
  <c r="D22" i="22"/>
  <c r="B13" i="22"/>
  <c r="B21" i="20"/>
  <c r="D20" i="20"/>
  <c r="D16" i="20"/>
  <c r="B22" i="19"/>
  <c r="D21" i="19"/>
  <c r="H15" i="19"/>
  <c r="D29" i="26"/>
  <c r="T25" i="22"/>
  <c r="T12" i="22"/>
  <c r="H20" i="28"/>
  <c r="B38" i="26"/>
  <c r="H24" i="25"/>
  <c r="H34" i="23"/>
  <c r="P15" i="23"/>
  <c r="P16" i="22"/>
  <c r="D12" i="22"/>
  <c r="P34" i="20"/>
  <c r="P33" i="20"/>
  <c r="P29" i="20"/>
  <c r="P25" i="20"/>
  <c r="T21" i="20"/>
  <c r="T24" i="19"/>
  <c r="T22" i="19"/>
  <c r="P12" i="19"/>
  <c r="T25" i="20"/>
  <c r="P21" i="17"/>
  <c r="T15" i="17"/>
  <c r="P13" i="17"/>
  <c r="H12" i="17"/>
  <c r="P24" i="16"/>
  <c r="P22" i="16"/>
  <c r="T20" i="16"/>
  <c r="T16" i="16"/>
  <c r="T13" i="16"/>
  <c r="B39" i="14"/>
  <c r="H24" i="14"/>
  <c r="H22" i="14"/>
  <c r="H13" i="14"/>
  <c r="D4" i="14"/>
  <c r="H34" i="13"/>
  <c r="H33" i="13"/>
  <c r="H29" i="13"/>
  <c r="H25" i="13"/>
  <c r="P15" i="13"/>
  <c r="D5" i="13"/>
  <c r="T34" i="20"/>
  <c r="B16" i="20"/>
  <c r="H34" i="17"/>
  <c r="H33" i="17"/>
  <c r="H29" i="17"/>
  <c r="H25" i="17"/>
  <c r="P15" i="17"/>
  <c r="D5" i="17"/>
  <c r="P20" i="16"/>
  <c r="P16" i="16"/>
  <c r="D12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T24" i="20"/>
  <c r="T12" i="19"/>
  <c r="B39" i="17"/>
  <c r="H24" i="17"/>
  <c r="H22" i="17"/>
  <c r="H13" i="17"/>
  <c r="D4" i="17"/>
  <c r="H34" i="16"/>
  <c r="H33" i="16"/>
  <c r="H29" i="16"/>
  <c r="H25" i="16"/>
  <c r="P15" i="16"/>
  <c r="D5" i="16"/>
  <c r="B22" i="14"/>
  <c r="D21" i="14"/>
  <c r="H15" i="14"/>
  <c r="B25" i="13"/>
  <c r="D24" i="13"/>
  <c r="D22" i="13"/>
  <c r="H20" i="13"/>
  <c r="H16" i="13"/>
  <c r="B13" i="13"/>
  <c r="T33" i="20"/>
  <c r="D15" i="20"/>
  <c r="B21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B21" i="14"/>
  <c r="D20" i="14"/>
  <c r="D16" i="14"/>
  <c r="B22" i="13"/>
  <c r="D21" i="13"/>
  <c r="H15" i="13"/>
  <c r="T22" i="20"/>
  <c r="T29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T34" i="14"/>
  <c r="T33" i="14"/>
  <c r="T29" i="14"/>
  <c r="T25" i="14"/>
  <c r="B16" i="14"/>
  <c r="D15" i="14"/>
  <c r="T12" i="14"/>
  <c r="B21" i="13"/>
  <c r="D20" i="13"/>
  <c r="D16" i="13"/>
  <c r="T20" i="32"/>
  <c r="P29" i="28"/>
  <c r="T12" i="20"/>
  <c r="D20" i="19"/>
  <c r="B22" i="17"/>
  <c r="D21" i="17"/>
  <c r="H15" i="17"/>
  <c r="B25" i="16"/>
  <c r="D24" i="16"/>
  <c r="D22" i="16"/>
  <c r="H20" i="16"/>
  <c r="H16" i="16"/>
  <c r="B13" i="16"/>
  <c r="T24" i="14"/>
  <c r="T22" i="14"/>
  <c r="P12" i="14"/>
  <c r="T34" i="13"/>
  <c r="T33" i="13"/>
  <c r="T29" i="13"/>
  <c r="T25" i="13"/>
  <c r="B16" i="13"/>
  <c r="D15" i="13"/>
  <c r="T12" i="13"/>
  <c r="B25" i="25"/>
  <c r="P25" i="22"/>
  <c r="P12" i="20"/>
  <c r="B21" i="17"/>
  <c r="D20" i="17"/>
  <c r="D16" i="17"/>
  <c r="B22" i="16"/>
  <c r="D21" i="16"/>
  <c r="H15" i="16"/>
  <c r="P34" i="14"/>
  <c r="P33" i="14"/>
  <c r="P29" i="14"/>
  <c r="P25" i="14"/>
  <c r="T21" i="14"/>
  <c r="T24" i="13"/>
  <c r="T22" i="13"/>
  <c r="P12" i="13"/>
  <c r="H16" i="25"/>
  <c r="T21" i="22"/>
  <c r="T29" i="20"/>
  <c r="T34" i="17"/>
  <c r="T33" i="17"/>
  <c r="T29" i="17"/>
  <c r="T25" i="17"/>
  <c r="B16" i="17"/>
  <c r="D15" i="17"/>
  <c r="T12" i="17"/>
  <c r="B21" i="16"/>
  <c r="D20" i="16"/>
  <c r="D16" i="16"/>
  <c r="P24" i="14"/>
  <c r="P22" i="14"/>
  <c r="T20" i="14"/>
  <c r="T16" i="14"/>
  <c r="T13" i="14"/>
  <c r="P34" i="13"/>
  <c r="P33" i="13"/>
  <c r="P29" i="13"/>
  <c r="P25" i="13"/>
  <c r="T21" i="13"/>
  <c r="T25" i="19"/>
  <c r="T24" i="17"/>
  <c r="T22" i="17"/>
  <c r="P12" i="17"/>
  <c r="T34" i="16"/>
  <c r="T33" i="16"/>
  <c r="T29" i="16"/>
  <c r="T25" i="16"/>
  <c r="B16" i="16"/>
  <c r="D15" i="16"/>
  <c r="T12" i="16"/>
  <c r="P21" i="14"/>
  <c r="T15" i="14"/>
  <c r="P13" i="14"/>
  <c r="H12" i="14"/>
  <c r="P24" i="13"/>
  <c r="P22" i="13"/>
  <c r="T20" i="13"/>
  <c r="T16" i="13"/>
  <c r="T13" i="13"/>
  <c r="T34" i="19"/>
  <c r="B16" i="19"/>
  <c r="P24" i="17"/>
  <c r="P22" i="17"/>
  <c r="T20" i="17"/>
  <c r="T16" i="17"/>
  <c r="T13" i="17"/>
  <c r="P34" i="16"/>
  <c r="P33" i="16"/>
  <c r="P29" i="16"/>
  <c r="P25" i="16"/>
  <c r="T21" i="16"/>
  <c r="H34" i="14"/>
  <c r="H33" i="14"/>
  <c r="H29" i="14"/>
  <c r="H25" i="14"/>
  <c r="P15" i="14"/>
  <c r="D5" i="14"/>
  <c r="P20" i="13"/>
  <c r="P16" i="13"/>
  <c r="D12" i="13"/>
  <c r="T33" i="19"/>
  <c r="T24" i="16"/>
  <c r="P20" i="14"/>
  <c r="P21" i="11"/>
  <c r="T15" i="11"/>
  <c r="P13" i="11"/>
  <c r="H12" i="11"/>
  <c r="P24" i="10"/>
  <c r="P22" i="10"/>
  <c r="T20" i="10"/>
  <c r="T16" i="10"/>
  <c r="T13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T15" i="16"/>
  <c r="D29" i="14"/>
  <c r="P20" i="11"/>
  <c r="P16" i="11"/>
  <c r="D12" i="11"/>
  <c r="P21" i="10"/>
  <c r="T15" i="10"/>
  <c r="P13" i="10"/>
  <c r="H12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P25" i="17"/>
  <c r="T22" i="16"/>
  <c r="T15" i="13"/>
  <c r="H34" i="11"/>
  <c r="H33" i="11"/>
  <c r="H29" i="11"/>
  <c r="H25" i="11"/>
  <c r="P15" i="11"/>
  <c r="D5" i="11"/>
  <c r="P20" i="10"/>
  <c r="P16" i="10"/>
  <c r="D12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D16" i="19"/>
  <c r="P16" i="17"/>
  <c r="P13" i="16"/>
  <c r="B38" i="14"/>
  <c r="H24" i="13"/>
  <c r="B39" i="11"/>
  <c r="H24" i="11"/>
  <c r="H22" i="11"/>
  <c r="H13" i="11"/>
  <c r="D4" i="11"/>
  <c r="H34" i="10"/>
  <c r="H33" i="10"/>
  <c r="H29" i="10"/>
  <c r="H25" i="10"/>
  <c r="P15" i="10"/>
  <c r="D5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P21" i="16"/>
  <c r="H12" i="16"/>
  <c r="D25" i="14"/>
  <c r="H22" i="13"/>
  <c r="H13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P33" i="17"/>
  <c r="P21" i="13"/>
  <c r="H12" i="13"/>
  <c r="B22" i="11"/>
  <c r="D21" i="11"/>
  <c r="H15" i="11"/>
  <c r="B25" i="10"/>
  <c r="D24" i="10"/>
  <c r="D22" i="10"/>
  <c r="H20" i="10"/>
  <c r="H16" i="10"/>
  <c r="B13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D34" i="14"/>
  <c r="D4" i="13"/>
  <c r="B21" i="11"/>
  <c r="D20" i="11"/>
  <c r="D16" i="11"/>
  <c r="B22" i="10"/>
  <c r="D21" i="10"/>
  <c r="H15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T21" i="17"/>
  <c r="T34" i="11"/>
  <c r="T33" i="11"/>
  <c r="T29" i="11"/>
  <c r="T25" i="11"/>
  <c r="B16" i="11"/>
  <c r="D15" i="11"/>
  <c r="T12" i="11"/>
  <c r="B21" i="10"/>
  <c r="D20" i="10"/>
  <c r="D16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D12" i="17"/>
  <c r="D33" i="14"/>
  <c r="D13" i="14"/>
  <c r="T24" i="11"/>
  <c r="T22" i="11"/>
  <c r="P12" i="11"/>
  <c r="T34" i="10"/>
  <c r="T33" i="10"/>
  <c r="T29" i="10"/>
  <c r="T25" i="10"/>
  <c r="B16" i="10"/>
  <c r="D15" i="10"/>
  <c r="T12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P20" i="17"/>
  <c r="H21" i="14"/>
  <c r="B39" i="13"/>
  <c r="P24" i="11"/>
  <c r="P22" i="11"/>
  <c r="T20" i="11"/>
  <c r="T16" i="11"/>
  <c r="T13" i="11"/>
  <c r="P34" i="10"/>
  <c r="P33" i="10"/>
  <c r="P29" i="10"/>
  <c r="P25" i="10"/>
  <c r="T21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B38" i="11"/>
  <c r="H24" i="10"/>
  <c r="P16" i="8"/>
  <c r="P13" i="7"/>
  <c r="D21" i="5"/>
  <c r="P16" i="14"/>
  <c r="P25" i="11"/>
  <c r="T22" i="10"/>
  <c r="D16" i="8"/>
  <c r="B22" i="7"/>
  <c r="T16" i="4"/>
  <c r="B39" i="10"/>
  <c r="D15" i="19"/>
  <c r="D12" i="14"/>
  <c r="D25" i="11"/>
  <c r="H22" i="10"/>
  <c r="H13" i="10"/>
  <c r="P21" i="7"/>
  <c r="H12" i="7"/>
  <c r="B25" i="4"/>
  <c r="H16" i="4"/>
  <c r="H15" i="5"/>
  <c r="P34" i="11"/>
  <c r="P12" i="10"/>
  <c r="D21" i="7"/>
  <c r="P24" i="4"/>
  <c r="D34" i="11"/>
  <c r="D4" i="10"/>
  <c r="D24" i="4"/>
  <c r="P33" i="11"/>
  <c r="P22" i="4"/>
  <c r="T13" i="4"/>
  <c r="P12" i="16"/>
  <c r="D33" i="11"/>
  <c r="D13" i="11"/>
  <c r="D12" i="8"/>
  <c r="D22" i="4"/>
  <c r="B13" i="4"/>
  <c r="P34" i="17"/>
  <c r="P20" i="8"/>
  <c r="P13" i="13"/>
  <c r="T21" i="11"/>
  <c r="B21" i="8"/>
  <c r="T15" i="5"/>
  <c r="H21" i="11"/>
  <c r="P29" i="17"/>
  <c r="P29" i="11"/>
  <c r="D20" i="8"/>
  <c r="P13" i="5"/>
  <c r="T20" i="4"/>
  <c r="D29" i="11"/>
  <c r="T15" i="7"/>
  <c r="B22" i="5"/>
  <c r="H20" i="4"/>
  <c r="T24" i="10"/>
  <c r="H15" i="7"/>
  <c r="P21" i="5"/>
  <c r="H12" i="5"/>
  <c r="J24" i="5" l="1"/>
  <c r="J22" i="5"/>
  <c r="J21" i="5"/>
  <c r="J20" i="5"/>
  <c r="J18" i="5"/>
  <c r="J16" i="5"/>
  <c r="H18" i="5"/>
  <c r="J15" i="5"/>
  <c r="N12" i="5"/>
  <c r="J36" i="5"/>
  <c r="J34" i="5"/>
  <c r="J33" i="5"/>
  <c r="J31" i="5"/>
  <c r="J29" i="5"/>
  <c r="J27" i="5"/>
  <c r="J25" i="5"/>
  <c r="X21" i="5"/>
  <c r="N15" i="7"/>
  <c r="Z24" i="10"/>
  <c r="N20" i="4"/>
  <c r="Z15" i="7"/>
  <c r="L29" i="11"/>
  <c r="Z20" i="4"/>
  <c r="X13" i="5"/>
  <c r="L20" i="8"/>
  <c r="X29" i="11"/>
  <c r="X29" i="17"/>
  <c r="N21" i="11"/>
  <c r="Z15" i="5"/>
  <c r="Z21" i="11"/>
  <c r="X13" i="13"/>
  <c r="X20" i="8"/>
  <c r="X34" i="17"/>
  <c r="L22" i="4"/>
  <c r="L12" i="8"/>
  <c r="F36" i="8"/>
  <c r="F34" i="8"/>
  <c r="F33" i="8"/>
  <c r="F31" i="8"/>
  <c r="F29" i="8"/>
  <c r="F27" i="8"/>
  <c r="F25" i="8"/>
  <c r="F24" i="8"/>
  <c r="F22" i="8"/>
  <c r="F21" i="8"/>
  <c r="F20" i="8"/>
  <c r="F18" i="8"/>
  <c r="F16" i="8"/>
  <c r="F15" i="8"/>
  <c r="D18" i="8"/>
  <c r="L13" i="11"/>
  <c r="L33" i="11"/>
  <c r="R21" i="16"/>
  <c r="P18" i="16"/>
  <c r="R15" i="16"/>
  <c r="X12" i="16"/>
  <c r="R24" i="16"/>
  <c r="R22" i="16"/>
  <c r="R34" i="16"/>
  <c r="R33" i="16"/>
  <c r="R29" i="16"/>
  <c r="R20" i="16"/>
  <c r="R27" i="16"/>
  <c r="R18" i="16"/>
  <c r="R16" i="16"/>
  <c r="R36" i="16"/>
  <c r="R31" i="16"/>
  <c r="R25" i="16"/>
  <c r="Z13" i="4"/>
  <c r="X22" i="4"/>
  <c r="X33" i="11"/>
  <c r="L24" i="4"/>
  <c r="L34" i="11"/>
  <c r="X24" i="4"/>
  <c r="L21" i="7"/>
  <c r="R21" i="10"/>
  <c r="R20" i="10"/>
  <c r="R18" i="10"/>
  <c r="R16" i="10"/>
  <c r="P18" i="10"/>
  <c r="R15" i="10"/>
  <c r="X12" i="10"/>
  <c r="R24" i="10"/>
  <c r="R22" i="10"/>
  <c r="R33" i="10"/>
  <c r="R31" i="10"/>
  <c r="R29" i="10"/>
  <c r="R27" i="10"/>
  <c r="R36" i="10"/>
  <c r="R25" i="10"/>
  <c r="R34" i="10"/>
  <c r="X34" i="11"/>
  <c r="N15" i="5"/>
  <c r="N16" i="4"/>
  <c r="N12" i="7"/>
  <c r="J36" i="7"/>
  <c r="J34" i="7"/>
  <c r="J33" i="7"/>
  <c r="J31" i="7"/>
  <c r="J29" i="7"/>
  <c r="J27" i="7"/>
  <c r="J25" i="7"/>
  <c r="J24" i="7"/>
  <c r="J22" i="7"/>
  <c r="J21" i="7"/>
  <c r="J20" i="7"/>
  <c r="J18" i="7"/>
  <c r="J16" i="7"/>
  <c r="H18" i="7"/>
  <c r="J15" i="7"/>
  <c r="X21" i="7"/>
  <c r="N13" i="10"/>
  <c r="N22" i="10"/>
  <c r="L25" i="11"/>
  <c r="F36" i="14"/>
  <c r="F34" i="14"/>
  <c r="F33" i="14"/>
  <c r="F31" i="14"/>
  <c r="F29" i="14"/>
  <c r="F27" i="14"/>
  <c r="F25" i="14"/>
  <c r="F21" i="14"/>
  <c r="F20" i="14"/>
  <c r="F18" i="14"/>
  <c r="F16" i="14"/>
  <c r="D18" i="14"/>
  <c r="F15" i="14"/>
  <c r="L12" i="14"/>
  <c r="F24" i="14"/>
  <c r="F22" i="14"/>
  <c r="L15" i="19"/>
  <c r="Z16" i="4"/>
  <c r="L16" i="8"/>
  <c r="Z22" i="10"/>
  <c r="X25" i="11"/>
  <c r="X16" i="14"/>
  <c r="L21" i="5"/>
  <c r="X13" i="7"/>
  <c r="X16" i="8"/>
  <c r="N24" i="10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N12" i="4"/>
  <c r="H18" i="4"/>
  <c r="J15" i="4"/>
  <c r="X13" i="4"/>
  <c r="Z15" i="4"/>
  <c r="X21" i="4"/>
  <c r="F36" i="5"/>
  <c r="F34" i="5"/>
  <c r="F33" i="5"/>
  <c r="F31" i="5"/>
  <c r="F29" i="5"/>
  <c r="F27" i="5"/>
  <c r="F25" i="5"/>
  <c r="F24" i="5"/>
  <c r="F22" i="5"/>
  <c r="F21" i="5"/>
  <c r="D18" i="5"/>
  <c r="F15" i="5"/>
  <c r="L12" i="5"/>
  <c r="F20" i="5"/>
  <c r="F18" i="5"/>
  <c r="F16" i="5"/>
  <c r="X16" i="5"/>
  <c r="X20" i="5"/>
  <c r="L16" i="7"/>
  <c r="L20" i="7"/>
  <c r="V21" i="8"/>
  <c r="V20" i="8"/>
  <c r="V18" i="8"/>
  <c r="V16" i="8"/>
  <c r="T18" i="8"/>
  <c r="V15" i="8"/>
  <c r="Z12" i="8"/>
  <c r="V24" i="8"/>
  <c r="V22" i="8"/>
  <c r="V34" i="8"/>
  <c r="V33" i="8"/>
  <c r="V31" i="8"/>
  <c r="V29" i="8"/>
  <c r="V27" i="8"/>
  <c r="V36" i="8"/>
  <c r="V25" i="8"/>
  <c r="L15" i="8"/>
  <c r="Z25" i="8"/>
  <c r="Z29" i="8"/>
  <c r="Z33" i="8"/>
  <c r="Z34" i="8"/>
  <c r="Z21" i="10"/>
  <c r="X25" i="10"/>
  <c r="X29" i="10"/>
  <c r="X33" i="10"/>
  <c r="X34" i="10"/>
  <c r="Z13" i="11"/>
  <c r="Z16" i="11"/>
  <c r="Z20" i="11"/>
  <c r="X22" i="11"/>
  <c r="X24" i="11"/>
  <c r="N21" i="14"/>
  <c r="X20" i="17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T18" i="10"/>
  <c r="V15" i="10"/>
  <c r="Z12" i="10"/>
  <c r="V36" i="10"/>
  <c r="V34" i="10"/>
  <c r="V33" i="10"/>
  <c r="V31" i="10"/>
  <c r="V29" i="10"/>
  <c r="V27" i="10"/>
  <c r="V25" i="10"/>
  <c r="V24" i="10"/>
  <c r="V22" i="10"/>
  <c r="V20" i="10"/>
  <c r="V18" i="10"/>
  <c r="V16" i="10"/>
  <c r="V21" i="10"/>
  <c r="L15" i="10"/>
  <c r="Z25" i="10"/>
  <c r="Z29" i="10"/>
  <c r="Z33" i="10"/>
  <c r="Z34" i="10"/>
  <c r="R20" i="11"/>
  <c r="R18" i="11"/>
  <c r="R16" i="11"/>
  <c r="P18" i="11"/>
  <c r="R15" i="11"/>
  <c r="X12" i="11"/>
  <c r="R36" i="11"/>
  <c r="R34" i="11"/>
  <c r="R33" i="11"/>
  <c r="R31" i="11"/>
  <c r="R29" i="11"/>
  <c r="R27" i="11"/>
  <c r="R25" i="11"/>
  <c r="R21" i="11"/>
  <c r="R24" i="11"/>
  <c r="R22" i="11"/>
  <c r="Z22" i="11"/>
  <c r="Z24" i="11"/>
  <c r="L13" i="14"/>
  <c r="L33" i="14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L12" i="17"/>
  <c r="P18" i="4"/>
  <c r="R15" i="4"/>
  <c r="X12" i="4"/>
  <c r="R36" i="4"/>
  <c r="R34" i="4"/>
  <c r="R33" i="4"/>
  <c r="R31" i="4"/>
  <c r="R29" i="4"/>
  <c r="R27" i="4"/>
  <c r="R25" i="4"/>
  <c r="R24" i="4"/>
  <c r="R22" i="4"/>
  <c r="R20" i="4"/>
  <c r="R18" i="4"/>
  <c r="R16" i="4"/>
  <c r="R21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L16" i="10"/>
  <c r="L20" i="10"/>
  <c r="Z12" i="11"/>
  <c r="V36" i="11"/>
  <c r="V34" i="11"/>
  <c r="V33" i="11"/>
  <c r="V31" i="11"/>
  <c r="V29" i="11"/>
  <c r="V27" i="11"/>
  <c r="V25" i="11"/>
  <c r="V24" i="11"/>
  <c r="V22" i="11"/>
  <c r="V21" i="11"/>
  <c r="T18" i="11"/>
  <c r="V15" i="11"/>
  <c r="V16" i="11"/>
  <c r="V20" i="11"/>
  <c r="V18" i="11"/>
  <c r="L15" i="11"/>
  <c r="Z25" i="11"/>
  <c r="Z29" i="11"/>
  <c r="Z33" i="11"/>
  <c r="Z34" i="11"/>
  <c r="Z21" i="17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V15" i="4"/>
  <c r="T18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4" i="5"/>
  <c r="R22" i="5"/>
  <c r="R21" i="5"/>
  <c r="P18" i="5"/>
  <c r="R15" i="5"/>
  <c r="R20" i="5"/>
  <c r="R18" i="5"/>
  <c r="R16" i="5"/>
  <c r="Z22" i="5"/>
  <c r="Z24" i="5"/>
  <c r="N13" i="7"/>
  <c r="N22" i="7"/>
  <c r="N24" i="7"/>
  <c r="L13" i="8"/>
  <c r="N21" i="8"/>
  <c r="L25" i="8"/>
  <c r="L29" i="8"/>
  <c r="L33" i="8"/>
  <c r="L34" i="8"/>
  <c r="N15" i="10"/>
  <c r="L21" i="10"/>
  <c r="L16" i="11"/>
  <c r="L20" i="11"/>
  <c r="L34" i="14"/>
  <c r="L16" i="4"/>
  <c r="L20" i="4"/>
  <c r="V36" i="5"/>
  <c r="V34" i="5"/>
  <c r="V33" i="5"/>
  <c r="V31" i="5"/>
  <c r="V29" i="5"/>
  <c r="V27" i="5"/>
  <c r="V25" i="5"/>
  <c r="V24" i="5"/>
  <c r="V22" i="5"/>
  <c r="V21" i="5"/>
  <c r="V20" i="5"/>
  <c r="V18" i="5"/>
  <c r="V16" i="5"/>
  <c r="T18" i="5"/>
  <c r="V15" i="5"/>
  <c r="Z12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N16" i="10"/>
  <c r="N20" i="10"/>
  <c r="L22" i="10"/>
  <c r="L24" i="10"/>
  <c r="N15" i="11"/>
  <c r="L21" i="11"/>
  <c r="J24" i="13"/>
  <c r="J22" i="13"/>
  <c r="J20" i="13"/>
  <c r="J18" i="13"/>
  <c r="J16" i="13"/>
  <c r="H18" i="13"/>
  <c r="J15" i="13"/>
  <c r="N12" i="13"/>
  <c r="J36" i="13"/>
  <c r="J34" i="13"/>
  <c r="J33" i="13"/>
  <c r="J31" i="13"/>
  <c r="J29" i="13"/>
  <c r="J27" i="13"/>
  <c r="J25" i="13"/>
  <c r="J21" i="13"/>
  <c r="X21" i="13"/>
  <c r="X33" i="17"/>
  <c r="N15" i="4"/>
  <c r="L21" i="4"/>
  <c r="L16" i="5"/>
  <c r="L20" i="5"/>
  <c r="L12" i="7"/>
  <c r="F36" i="7"/>
  <c r="F34" i="7"/>
  <c r="F33" i="7"/>
  <c r="F31" i="7"/>
  <c r="F29" i="7"/>
  <c r="F27" i="7"/>
  <c r="F25" i="7"/>
  <c r="F24" i="7"/>
  <c r="F22" i="7"/>
  <c r="F21" i="7"/>
  <c r="D18" i="7"/>
  <c r="F15" i="7"/>
  <c r="F20" i="7"/>
  <c r="F18" i="7"/>
  <c r="F16" i="7"/>
  <c r="X16" i="7"/>
  <c r="X20" i="7"/>
  <c r="X15" i="8"/>
  <c r="N25" i="8"/>
  <c r="N29" i="8"/>
  <c r="N33" i="8"/>
  <c r="N34" i="8"/>
  <c r="L13" i="10"/>
  <c r="N21" i="10"/>
  <c r="L25" i="10"/>
  <c r="L29" i="10"/>
  <c r="L33" i="10"/>
  <c r="L34" i="10"/>
  <c r="N16" i="11"/>
  <c r="N20" i="11"/>
  <c r="L22" i="11"/>
  <c r="L24" i="11"/>
  <c r="N13" i="13"/>
  <c r="N22" i="13"/>
  <c r="L25" i="14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N12" i="16"/>
  <c r="X21" i="16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24" i="8"/>
  <c r="J22" i="8"/>
  <c r="J21" i="8"/>
  <c r="J20" i="8"/>
  <c r="J18" i="8"/>
  <c r="J16" i="8"/>
  <c r="H18" i="8"/>
  <c r="J15" i="8"/>
  <c r="J36" i="8"/>
  <c r="J25" i="8"/>
  <c r="J34" i="8"/>
  <c r="J29" i="8"/>
  <c r="J33" i="8"/>
  <c r="J31" i="8"/>
  <c r="J27" i="8"/>
  <c r="X13" i="8"/>
  <c r="Z15" i="8"/>
  <c r="X21" i="8"/>
  <c r="X15" i="10"/>
  <c r="N25" i="10"/>
  <c r="N29" i="10"/>
  <c r="N33" i="10"/>
  <c r="N34" i="10"/>
  <c r="N13" i="11"/>
  <c r="N22" i="11"/>
  <c r="N24" i="11"/>
  <c r="N24" i="13"/>
  <c r="X13" i="16"/>
  <c r="X16" i="17"/>
  <c r="L16" i="19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L12" i="10"/>
  <c r="F24" i="10"/>
  <c r="F22" i="10"/>
  <c r="F21" i="10"/>
  <c r="F20" i="10"/>
  <c r="F18" i="10"/>
  <c r="F16" i="10"/>
  <c r="D18" i="10"/>
  <c r="F15" i="10"/>
  <c r="F34" i="10"/>
  <c r="F33" i="10"/>
  <c r="F31" i="10"/>
  <c r="F29" i="10"/>
  <c r="F27" i="10"/>
  <c r="F36" i="10"/>
  <c r="F25" i="10"/>
  <c r="X16" i="10"/>
  <c r="X20" i="10"/>
  <c r="X15" i="11"/>
  <c r="N25" i="11"/>
  <c r="N29" i="11"/>
  <c r="N33" i="11"/>
  <c r="N34" i="11"/>
  <c r="Z15" i="13"/>
  <c r="Z22" i="16"/>
  <c r="X25" i="17"/>
  <c r="X15" i="4"/>
  <c r="N25" i="4"/>
  <c r="N29" i="4"/>
  <c r="N33" i="4"/>
  <c r="N34" i="4"/>
  <c r="N13" i="5"/>
  <c r="N22" i="5"/>
  <c r="N24" i="5"/>
  <c r="R36" i="7"/>
  <c r="R34" i="7"/>
  <c r="R33" i="7"/>
  <c r="R31" i="7"/>
  <c r="R29" i="7"/>
  <c r="R27" i="7"/>
  <c r="R25" i="7"/>
  <c r="R24" i="7"/>
  <c r="R22" i="7"/>
  <c r="R21" i="7"/>
  <c r="P18" i="7"/>
  <c r="R15" i="7"/>
  <c r="X12" i="7"/>
  <c r="R20" i="7"/>
  <c r="R16" i="7"/>
  <c r="R18" i="7"/>
  <c r="Z22" i="7"/>
  <c r="Z24" i="7"/>
  <c r="Z21" i="8"/>
  <c r="X25" i="8"/>
  <c r="X29" i="8"/>
  <c r="X33" i="8"/>
  <c r="X34" i="8"/>
  <c r="J36" i="10"/>
  <c r="J34" i="10"/>
  <c r="J33" i="10"/>
  <c r="J31" i="10"/>
  <c r="J29" i="10"/>
  <c r="J27" i="10"/>
  <c r="J25" i="10"/>
  <c r="J24" i="10"/>
  <c r="J22" i="10"/>
  <c r="J20" i="10"/>
  <c r="J18" i="10"/>
  <c r="J16" i="10"/>
  <c r="H18" i="10"/>
  <c r="J15" i="10"/>
  <c r="N12" i="10"/>
  <c r="J21" i="10"/>
  <c r="X13" i="10"/>
  <c r="Z15" i="10"/>
  <c r="X21" i="10"/>
  <c r="F36" i="11"/>
  <c r="F34" i="11"/>
  <c r="F33" i="11"/>
  <c r="F31" i="11"/>
  <c r="F29" i="11"/>
  <c r="F27" i="11"/>
  <c r="F25" i="11"/>
  <c r="F21" i="11"/>
  <c r="F20" i="11"/>
  <c r="F18" i="11"/>
  <c r="F16" i="11"/>
  <c r="D18" i="11"/>
  <c r="F15" i="11"/>
  <c r="L12" i="11"/>
  <c r="F24" i="11"/>
  <c r="F22" i="11"/>
  <c r="X16" i="11"/>
  <c r="X20" i="11"/>
  <c r="L29" i="14"/>
  <c r="Z15" i="16"/>
  <c r="F36" i="4"/>
  <c r="F34" i="4"/>
  <c r="F33" i="4"/>
  <c r="F31" i="4"/>
  <c r="F29" i="4"/>
  <c r="F27" i="4"/>
  <c r="F25" i="4"/>
  <c r="F24" i="4"/>
  <c r="F22" i="4"/>
  <c r="F20" i="4"/>
  <c r="F18" i="4"/>
  <c r="F16" i="4"/>
  <c r="D18" i="4"/>
  <c r="F15" i="4"/>
  <c r="F21" i="4"/>
  <c r="L12" i="4"/>
  <c r="X16" i="4"/>
  <c r="X20" i="4"/>
  <c r="X15" i="5"/>
  <c r="N25" i="5"/>
  <c r="N29" i="5"/>
  <c r="N33" i="5"/>
  <c r="N34" i="5"/>
  <c r="V24" i="7"/>
  <c r="V22" i="7"/>
  <c r="V21" i="7"/>
  <c r="V20" i="7"/>
  <c r="V18" i="7"/>
  <c r="V16" i="7"/>
  <c r="T18" i="7"/>
  <c r="V15" i="7"/>
  <c r="V36" i="7"/>
  <c r="V34" i="7"/>
  <c r="V33" i="7"/>
  <c r="V31" i="7"/>
  <c r="V29" i="7"/>
  <c r="V27" i="7"/>
  <c r="V25" i="7"/>
  <c r="Z12" i="7"/>
  <c r="L15" i="7"/>
  <c r="Z25" i="7"/>
  <c r="Z29" i="7"/>
  <c r="Z33" i="7"/>
  <c r="Z34" i="7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R15" i="8"/>
  <c r="X12" i="8"/>
  <c r="P18" i="8"/>
  <c r="Z22" i="8"/>
  <c r="Z24" i="8"/>
  <c r="Z13" i="10"/>
  <c r="Z16" i="10"/>
  <c r="Z20" i="10"/>
  <c r="X22" i="10"/>
  <c r="X24" i="10"/>
  <c r="J36" i="11"/>
  <c r="J34" i="11"/>
  <c r="J33" i="11"/>
  <c r="J31" i="11"/>
  <c r="J29" i="11"/>
  <c r="J27" i="11"/>
  <c r="J25" i="11"/>
  <c r="J24" i="11"/>
  <c r="J22" i="11"/>
  <c r="J21" i="11"/>
  <c r="H18" i="11"/>
  <c r="J15" i="11"/>
  <c r="J18" i="11"/>
  <c r="J16" i="11"/>
  <c r="N12" i="11"/>
  <c r="J20" i="11"/>
  <c r="X13" i="11"/>
  <c r="Z15" i="11"/>
  <c r="X21" i="11"/>
  <c r="X20" i="14"/>
  <c r="Z24" i="16"/>
  <c r="Z33" i="19"/>
  <c r="F24" i="13"/>
  <c r="F22" i="13"/>
  <c r="F21" i="13"/>
  <c r="F20" i="13"/>
  <c r="F18" i="13"/>
  <c r="F16" i="13"/>
  <c r="D18" i="13"/>
  <c r="F15" i="13"/>
  <c r="L12" i="13"/>
  <c r="F36" i="13"/>
  <c r="F25" i="13"/>
  <c r="F34" i="13"/>
  <c r="F33" i="13"/>
  <c r="F31" i="13"/>
  <c r="F29" i="13"/>
  <c r="F27" i="13"/>
  <c r="X16" i="13"/>
  <c r="X20" i="13"/>
  <c r="X15" i="14"/>
  <c r="N25" i="14"/>
  <c r="N29" i="14"/>
  <c r="N33" i="14"/>
  <c r="N34" i="14"/>
  <c r="Z21" i="16"/>
  <c r="X25" i="16"/>
  <c r="X29" i="16"/>
  <c r="X33" i="16"/>
  <c r="X34" i="16"/>
  <c r="Z13" i="17"/>
  <c r="Z16" i="17"/>
  <c r="Z20" i="17"/>
  <c r="X22" i="17"/>
  <c r="X24" i="17"/>
  <c r="Z34" i="19"/>
  <c r="Z13" i="13"/>
  <c r="Z16" i="13"/>
  <c r="Z20" i="13"/>
  <c r="X22" i="13"/>
  <c r="X24" i="13"/>
  <c r="J21" i="14"/>
  <c r="H18" i="14"/>
  <c r="J15" i="14"/>
  <c r="N12" i="14"/>
  <c r="J24" i="14"/>
  <c r="J22" i="14"/>
  <c r="J29" i="14"/>
  <c r="J20" i="14"/>
  <c r="J27" i="14"/>
  <c r="J18" i="14"/>
  <c r="J16" i="14"/>
  <c r="J34" i="14"/>
  <c r="J33" i="14"/>
  <c r="J36" i="14"/>
  <c r="J31" i="14"/>
  <c r="J25" i="14"/>
  <c r="X13" i="14"/>
  <c r="Z15" i="14"/>
  <c r="X21" i="14"/>
  <c r="T18" i="16"/>
  <c r="V15" i="16"/>
  <c r="Z12" i="16"/>
  <c r="V36" i="16"/>
  <c r="V34" i="16"/>
  <c r="V33" i="16"/>
  <c r="V31" i="16"/>
  <c r="V29" i="16"/>
  <c r="V27" i="16"/>
  <c r="V25" i="16"/>
  <c r="V24" i="16"/>
  <c r="V22" i="16"/>
  <c r="V20" i="16"/>
  <c r="V18" i="16"/>
  <c r="V16" i="16"/>
  <c r="V21" i="16"/>
  <c r="L15" i="16"/>
  <c r="Z25" i="16"/>
  <c r="Z29" i="16"/>
  <c r="Z33" i="16"/>
  <c r="Z34" i="16"/>
  <c r="R20" i="17"/>
  <c r="R18" i="17"/>
  <c r="R16" i="17"/>
  <c r="X12" i="17"/>
  <c r="R36" i="17"/>
  <c r="R34" i="17"/>
  <c r="R33" i="17"/>
  <c r="R31" i="17"/>
  <c r="R29" i="17"/>
  <c r="R27" i="17"/>
  <c r="R25" i="17"/>
  <c r="R21" i="17"/>
  <c r="P18" i="17"/>
  <c r="R15" i="17"/>
  <c r="R22" i="17"/>
  <c r="R24" i="17"/>
  <c r="Z22" i="17"/>
  <c r="Z24" i="17"/>
  <c r="Z25" i="19"/>
  <c r="Z21" i="13"/>
  <c r="X25" i="13"/>
  <c r="X29" i="13"/>
  <c r="X33" i="13"/>
  <c r="X34" i="13"/>
  <c r="Z13" i="14"/>
  <c r="Z16" i="14"/>
  <c r="Z20" i="14"/>
  <c r="X22" i="14"/>
  <c r="X24" i="14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T18" i="17"/>
  <c r="V15" i="17"/>
  <c r="V18" i="17"/>
  <c r="V16" i="17"/>
  <c r="V20" i="17"/>
  <c r="L15" i="17"/>
  <c r="Z25" i="17"/>
  <c r="Z29" i="17"/>
  <c r="Z33" i="17"/>
  <c r="Z34" i="17"/>
  <c r="Z29" i="20"/>
  <c r="Z21" i="22"/>
  <c r="N16" i="25"/>
  <c r="X12" i="13"/>
  <c r="R36" i="13"/>
  <c r="R34" i="13"/>
  <c r="R33" i="13"/>
  <c r="R31" i="13"/>
  <c r="R29" i="13"/>
  <c r="R27" i="13"/>
  <c r="R25" i="13"/>
  <c r="R24" i="13"/>
  <c r="R22" i="13"/>
  <c r="R21" i="13"/>
  <c r="P18" i="13"/>
  <c r="R15" i="13"/>
  <c r="R16" i="13"/>
  <c r="R20" i="13"/>
  <c r="R18" i="13"/>
  <c r="Z22" i="13"/>
  <c r="Z24" i="13"/>
  <c r="Z21" i="14"/>
  <c r="X25" i="14"/>
  <c r="X29" i="14"/>
  <c r="X33" i="14"/>
  <c r="X34" i="14"/>
  <c r="N15" i="16"/>
  <c r="L21" i="16"/>
  <c r="L16" i="17"/>
  <c r="L20" i="17"/>
  <c r="R21" i="20"/>
  <c r="R20" i="20"/>
  <c r="R18" i="20"/>
  <c r="R16" i="20"/>
  <c r="P18" i="20"/>
  <c r="R15" i="20"/>
  <c r="X12" i="20"/>
  <c r="R24" i="20"/>
  <c r="R22" i="20"/>
  <c r="R34" i="20"/>
  <c r="R33" i="20"/>
  <c r="R31" i="20"/>
  <c r="R29" i="20"/>
  <c r="R27" i="20"/>
  <c r="R36" i="20"/>
  <c r="R25" i="20"/>
  <c r="X25" i="22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P18" i="14"/>
  <c r="R15" i="14"/>
  <c r="Z22" i="14"/>
  <c r="Z24" i="14"/>
  <c r="N16" i="16"/>
  <c r="N20" i="16"/>
  <c r="L22" i="16"/>
  <c r="L24" i="16"/>
  <c r="N15" i="17"/>
  <c r="L21" i="17"/>
  <c r="L20" i="19"/>
  <c r="T18" i="20"/>
  <c r="V15" i="20"/>
  <c r="Z12" i="20"/>
  <c r="V36" i="20"/>
  <c r="V34" i="20"/>
  <c r="V33" i="20"/>
  <c r="V31" i="20"/>
  <c r="V29" i="20"/>
  <c r="V27" i="20"/>
  <c r="V25" i="20"/>
  <c r="V20" i="20"/>
  <c r="V18" i="20"/>
  <c r="V16" i="20"/>
  <c r="V24" i="20"/>
  <c r="V22" i="20"/>
  <c r="V21" i="20"/>
  <c r="X29" i="28"/>
  <c r="Z20" i="32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L13" i="16"/>
  <c r="N21" i="16"/>
  <c r="L25" i="16"/>
  <c r="L29" i="16"/>
  <c r="L33" i="16"/>
  <c r="L34" i="16"/>
  <c r="N16" i="17"/>
  <c r="N20" i="17"/>
  <c r="L22" i="17"/>
  <c r="L24" i="17"/>
  <c r="Z29" i="19"/>
  <c r="Z22" i="20"/>
  <c r="N15" i="13"/>
  <c r="L21" i="13"/>
  <c r="L16" i="14"/>
  <c r="L20" i="14"/>
  <c r="N13" i="16"/>
  <c r="N22" i="16"/>
  <c r="N24" i="16"/>
  <c r="L13" i="17"/>
  <c r="N21" i="17"/>
  <c r="L25" i="17"/>
  <c r="L29" i="17"/>
  <c r="L33" i="17"/>
  <c r="L34" i="17"/>
  <c r="L15" i="20"/>
  <c r="Z33" i="20"/>
  <c r="N16" i="13"/>
  <c r="N20" i="13"/>
  <c r="L22" i="13"/>
  <c r="L24" i="13"/>
  <c r="N15" i="14"/>
  <c r="L21" i="14"/>
  <c r="X15" i="16"/>
  <c r="N25" i="16"/>
  <c r="N29" i="16"/>
  <c r="N33" i="16"/>
  <c r="N34" i="16"/>
  <c r="N13" i="17"/>
  <c r="N22" i="17"/>
  <c r="N24" i="17"/>
  <c r="V20" i="19"/>
  <c r="V18" i="19"/>
  <c r="V16" i="19"/>
  <c r="T18" i="19"/>
  <c r="V15" i="19"/>
  <c r="Z12" i="19"/>
  <c r="V21" i="19"/>
  <c r="V33" i="19"/>
  <c r="V31" i="19"/>
  <c r="V29" i="19"/>
  <c r="V27" i="19"/>
  <c r="V36" i="19"/>
  <c r="V25" i="19"/>
  <c r="V24" i="19"/>
  <c r="V22" i="19"/>
  <c r="V34" i="19"/>
  <c r="Z24" i="20"/>
  <c r="L13" i="13"/>
  <c r="N21" i="13"/>
  <c r="L25" i="13"/>
  <c r="L29" i="13"/>
  <c r="L33" i="13"/>
  <c r="L34" i="13"/>
  <c r="N16" i="14"/>
  <c r="N20" i="14"/>
  <c r="L22" i="14"/>
  <c r="L24" i="14"/>
  <c r="L12" i="16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X16" i="16"/>
  <c r="X20" i="16"/>
  <c r="X15" i="17"/>
  <c r="N25" i="17"/>
  <c r="N29" i="17"/>
  <c r="N33" i="17"/>
  <c r="N34" i="17"/>
  <c r="Z34" i="20"/>
  <c r="X15" i="13"/>
  <c r="N25" i="13"/>
  <c r="N29" i="13"/>
  <c r="N33" i="13"/>
  <c r="N34" i="13"/>
  <c r="N13" i="14"/>
  <c r="N22" i="14"/>
  <c r="N24" i="14"/>
  <c r="Z13" i="16"/>
  <c r="Z16" i="16"/>
  <c r="Z20" i="16"/>
  <c r="X22" i="16"/>
  <c r="X24" i="16"/>
  <c r="J24" i="17"/>
  <c r="J22" i="17"/>
  <c r="J21" i="17"/>
  <c r="J20" i="17"/>
  <c r="J18" i="17"/>
  <c r="J16" i="17"/>
  <c r="H18" i="17"/>
  <c r="J15" i="17"/>
  <c r="J27" i="17"/>
  <c r="J36" i="17"/>
  <c r="J25" i="17"/>
  <c r="J34" i="17"/>
  <c r="J33" i="17"/>
  <c r="N12" i="17"/>
  <c r="J31" i="17"/>
  <c r="J29" i="17"/>
  <c r="X13" i="17"/>
  <c r="Z15" i="17"/>
  <c r="X21" i="17"/>
  <c r="Z25" i="20"/>
  <c r="R24" i="19"/>
  <c r="R22" i="19"/>
  <c r="R21" i="19"/>
  <c r="R20" i="19"/>
  <c r="R18" i="19"/>
  <c r="R16" i="19"/>
  <c r="P18" i="19"/>
  <c r="R15" i="19"/>
  <c r="R36" i="19"/>
  <c r="R34" i="19"/>
  <c r="R33" i="19"/>
  <c r="R31" i="19"/>
  <c r="R29" i="19"/>
  <c r="R27" i="19"/>
  <c r="R25" i="19"/>
  <c r="X12" i="19"/>
  <c r="Z22" i="19"/>
  <c r="Z24" i="19"/>
  <c r="Z21" i="20"/>
  <c r="X25" i="20"/>
  <c r="X29" i="20"/>
  <c r="X33" i="20"/>
  <c r="X34" i="20"/>
  <c r="F36" i="22"/>
  <c r="F34" i="22"/>
  <c r="F33" i="22"/>
  <c r="F31" i="22"/>
  <c r="F29" i="22"/>
  <c r="F27" i="22"/>
  <c r="F25" i="22"/>
  <c r="F24" i="22"/>
  <c r="F22" i="22"/>
  <c r="F20" i="22"/>
  <c r="F18" i="22"/>
  <c r="F16" i="22"/>
  <c r="D18" i="22"/>
  <c r="F15" i="22"/>
  <c r="L12" i="22"/>
  <c r="F21" i="22"/>
  <c r="X16" i="22"/>
  <c r="X15" i="23"/>
  <c r="N34" i="23"/>
  <c r="N24" i="25"/>
  <c r="N20" i="28"/>
  <c r="Z12" i="22"/>
  <c r="V36" i="22"/>
  <c r="V34" i="22"/>
  <c r="V33" i="22"/>
  <c r="V31" i="22"/>
  <c r="V29" i="22"/>
  <c r="V27" i="22"/>
  <c r="V25" i="22"/>
  <c r="V21" i="22"/>
  <c r="T18" i="22"/>
  <c r="V15" i="22"/>
  <c r="V24" i="22"/>
  <c r="V20" i="22"/>
  <c r="V22" i="22"/>
  <c r="V18" i="22"/>
  <c r="V16" i="22"/>
  <c r="Z25" i="22"/>
  <c r="L29" i="26"/>
  <c r="N15" i="19"/>
  <c r="L21" i="19"/>
  <c r="L16" i="20"/>
  <c r="L20" i="20"/>
  <c r="L22" i="22"/>
  <c r="N29" i="23"/>
  <c r="L21" i="26"/>
  <c r="N29" i="29"/>
  <c r="N16" i="19"/>
  <c r="N20" i="19"/>
  <c r="L22" i="19"/>
  <c r="L24" i="19"/>
  <c r="N15" i="20"/>
  <c r="L21" i="20"/>
  <c r="Z16" i="23"/>
  <c r="X22" i="23"/>
  <c r="N21" i="26"/>
  <c r="L22" i="28"/>
  <c r="Z33" i="28"/>
  <c r="L20" i="29"/>
  <c r="L20" i="31"/>
  <c r="L13" i="19"/>
  <c r="N21" i="19"/>
  <c r="L25" i="19"/>
  <c r="L29" i="19"/>
  <c r="L33" i="19"/>
  <c r="L34" i="19"/>
  <c r="N16" i="20"/>
  <c r="N20" i="20"/>
  <c r="L22" i="20"/>
  <c r="L24" i="20"/>
  <c r="X33" i="22"/>
  <c r="Z22" i="23"/>
  <c r="N20" i="25"/>
  <c r="N13" i="28"/>
  <c r="N22" i="28"/>
  <c r="N13" i="19"/>
  <c r="N22" i="19"/>
  <c r="N24" i="19"/>
  <c r="L13" i="20"/>
  <c r="N21" i="20"/>
  <c r="L25" i="20"/>
  <c r="L29" i="20"/>
  <c r="L33" i="20"/>
  <c r="L34" i="20"/>
  <c r="L15" i="22"/>
  <c r="Z33" i="22"/>
  <c r="P18" i="23"/>
  <c r="R15" i="23"/>
  <c r="X12" i="23"/>
  <c r="R24" i="23"/>
  <c r="R22" i="23"/>
  <c r="R20" i="23"/>
  <c r="R18" i="23"/>
  <c r="R16" i="23"/>
  <c r="R33" i="23"/>
  <c r="R25" i="23"/>
  <c r="R31" i="23"/>
  <c r="R36" i="23"/>
  <c r="R29" i="23"/>
  <c r="R34" i="23"/>
  <c r="R27" i="23"/>
  <c r="R21" i="23"/>
  <c r="L13" i="26"/>
  <c r="L33" i="26"/>
  <c r="L24" i="28"/>
  <c r="L16" i="34"/>
  <c r="X15" i="19"/>
  <c r="N25" i="19"/>
  <c r="N29" i="19"/>
  <c r="N33" i="19"/>
  <c r="N34" i="19"/>
  <c r="N13" i="20"/>
  <c r="N22" i="20"/>
  <c r="N24" i="20"/>
  <c r="N20" i="22"/>
  <c r="L24" i="22"/>
  <c r="X24" i="23"/>
  <c r="N15" i="26"/>
  <c r="N24" i="28"/>
  <c r="N34" i="29"/>
  <c r="X25" i="31"/>
  <c r="L12" i="19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F15" i="19"/>
  <c r="D18" i="19"/>
  <c r="X16" i="19"/>
  <c r="X20" i="19"/>
  <c r="X15" i="20"/>
  <c r="N25" i="20"/>
  <c r="N29" i="20"/>
  <c r="N33" i="20"/>
  <c r="N34" i="20"/>
  <c r="X20" i="22"/>
  <c r="Z24" i="23"/>
  <c r="L34" i="26"/>
  <c r="N16" i="28"/>
  <c r="L25" i="28"/>
  <c r="N12" i="19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X13" i="19"/>
  <c r="Z15" i="19"/>
  <c r="X21" i="19"/>
  <c r="L12" i="20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X16" i="20"/>
  <c r="X20" i="20"/>
  <c r="X29" i="22"/>
  <c r="X34" i="22"/>
  <c r="Z13" i="23"/>
  <c r="N25" i="23"/>
  <c r="N33" i="23"/>
  <c r="L22" i="25"/>
  <c r="N25" i="28"/>
  <c r="F36" i="29"/>
  <c r="F34" i="29"/>
  <c r="F33" i="29"/>
  <c r="F31" i="29"/>
  <c r="F29" i="29"/>
  <c r="F24" i="29"/>
  <c r="F22" i="29"/>
  <c r="F20" i="29"/>
  <c r="F18" i="29"/>
  <c r="F16" i="29"/>
  <c r="F25" i="29"/>
  <c r="F15" i="29"/>
  <c r="F27" i="29"/>
  <c r="L12" i="29"/>
  <c r="F21" i="29"/>
  <c r="D18" i="29"/>
  <c r="X22" i="29"/>
  <c r="X33" i="31"/>
  <c r="Z34" i="34"/>
  <c r="Z13" i="19"/>
  <c r="Z16" i="19"/>
  <c r="Z20" i="19"/>
  <c r="X22" i="19"/>
  <c r="X24" i="19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N12" i="20"/>
  <c r="X13" i="20"/>
  <c r="Z15" i="20"/>
  <c r="X21" i="20"/>
  <c r="Z29" i="22"/>
  <c r="Z34" i="22"/>
  <c r="Z20" i="23"/>
  <c r="N13" i="25"/>
  <c r="N22" i="25"/>
  <c r="L25" i="26"/>
  <c r="X24" i="29"/>
  <c r="V20" i="32"/>
  <c r="V18" i="32"/>
  <c r="V16" i="32"/>
  <c r="V36" i="32"/>
  <c r="V34" i="32"/>
  <c r="V33" i="32"/>
  <c r="V31" i="32"/>
  <c r="V29" i="32"/>
  <c r="V27" i="32"/>
  <c r="V25" i="32"/>
  <c r="V21" i="32"/>
  <c r="V22" i="32"/>
  <c r="V15" i="32"/>
  <c r="Z12" i="32"/>
  <c r="T18" i="32"/>
  <c r="V24" i="32"/>
  <c r="Z21" i="19"/>
  <c r="X25" i="19"/>
  <c r="X29" i="19"/>
  <c r="X33" i="19"/>
  <c r="X34" i="19"/>
  <c r="Z13" i="20"/>
  <c r="Z16" i="20"/>
  <c r="Z20" i="20"/>
  <c r="X22" i="20"/>
  <c r="X24" i="20"/>
  <c r="N16" i="22"/>
  <c r="N15" i="23"/>
  <c r="L24" i="25"/>
  <c r="Z13" i="29"/>
  <c r="Z24" i="29"/>
  <c r="Z13" i="32"/>
  <c r="Z13" i="22"/>
  <c r="Z16" i="22"/>
  <c r="Z20" i="22"/>
  <c r="X22" i="22"/>
  <c r="X24" i="22"/>
  <c r="J36" i="23"/>
  <c r="J34" i="23"/>
  <c r="J33" i="23"/>
  <c r="J31" i="23"/>
  <c r="J29" i="23"/>
  <c r="J27" i="23"/>
  <c r="J25" i="23"/>
  <c r="J21" i="23"/>
  <c r="J20" i="23"/>
  <c r="J18" i="23"/>
  <c r="J16" i="23"/>
  <c r="H18" i="23"/>
  <c r="J15" i="23"/>
  <c r="N12" i="23"/>
  <c r="J24" i="23"/>
  <c r="J22" i="23"/>
  <c r="X13" i="23"/>
  <c r="Z15" i="23"/>
  <c r="X21" i="23"/>
  <c r="N15" i="25"/>
  <c r="L21" i="25"/>
  <c r="L16" i="26"/>
  <c r="L20" i="26"/>
  <c r="N15" i="28"/>
  <c r="L21" i="28"/>
  <c r="Z15" i="29"/>
  <c r="X25" i="29"/>
  <c r="Z33" i="29"/>
  <c r="X24" i="32"/>
  <c r="Z22" i="34"/>
  <c r="X34" i="34"/>
  <c r="R20" i="22"/>
  <c r="R18" i="22"/>
  <c r="R16" i="22"/>
  <c r="X12" i="22"/>
  <c r="R36" i="22"/>
  <c r="R34" i="22"/>
  <c r="R33" i="22"/>
  <c r="R31" i="22"/>
  <c r="R29" i="22"/>
  <c r="R27" i="22"/>
  <c r="R25" i="22"/>
  <c r="R21" i="22"/>
  <c r="R24" i="22"/>
  <c r="R15" i="22"/>
  <c r="R22" i="22"/>
  <c r="P18" i="22"/>
  <c r="Z22" i="22"/>
  <c r="Z24" i="22"/>
  <c r="Z21" i="23"/>
  <c r="X25" i="23"/>
  <c r="X29" i="23"/>
  <c r="X33" i="23"/>
  <c r="X34" i="23"/>
  <c r="L13" i="25"/>
  <c r="N21" i="25"/>
  <c r="L25" i="25"/>
  <c r="L29" i="25"/>
  <c r="L33" i="25"/>
  <c r="L34" i="25"/>
  <c r="N16" i="26"/>
  <c r="N20" i="26"/>
  <c r="L22" i="26"/>
  <c r="L24" i="26"/>
  <c r="L13" i="28"/>
  <c r="N21" i="28"/>
  <c r="X13" i="29"/>
  <c r="N20" i="29"/>
  <c r="Z25" i="29"/>
  <c r="N20" i="31"/>
  <c r="Z24" i="34"/>
  <c r="L16" i="22"/>
  <c r="L20" i="22"/>
  <c r="V36" i="23"/>
  <c r="V34" i="23"/>
  <c r="V33" i="23"/>
  <c r="V31" i="23"/>
  <c r="V29" i="23"/>
  <c r="V27" i="23"/>
  <c r="V25" i="23"/>
  <c r="V24" i="23"/>
  <c r="V22" i="23"/>
  <c r="V20" i="23"/>
  <c r="V18" i="23"/>
  <c r="V16" i="23"/>
  <c r="T18" i="23"/>
  <c r="Z12" i="23"/>
  <c r="V21" i="23"/>
  <c r="V15" i="23"/>
  <c r="L15" i="23"/>
  <c r="Z25" i="23"/>
  <c r="Z29" i="23"/>
  <c r="Z33" i="23"/>
  <c r="Z34" i="23"/>
  <c r="X15" i="25"/>
  <c r="N25" i="25"/>
  <c r="N29" i="25"/>
  <c r="N33" i="25"/>
  <c r="N34" i="25"/>
  <c r="N13" i="26"/>
  <c r="N22" i="26"/>
  <c r="N24" i="26"/>
  <c r="X15" i="28"/>
  <c r="L34" i="28"/>
  <c r="J36" i="29"/>
  <c r="J34" i="29"/>
  <c r="J33" i="29"/>
  <c r="J31" i="29"/>
  <c r="J29" i="29"/>
  <c r="J20" i="29"/>
  <c r="J18" i="29"/>
  <c r="J16" i="29"/>
  <c r="J24" i="29"/>
  <c r="J25" i="29"/>
  <c r="J15" i="29"/>
  <c r="J27" i="29"/>
  <c r="N12" i="29"/>
  <c r="H18" i="29"/>
  <c r="J22" i="29"/>
  <c r="J21" i="29"/>
  <c r="X21" i="29"/>
  <c r="L15" i="32"/>
  <c r="Z25" i="32"/>
  <c r="Z33" i="32"/>
  <c r="N13" i="35"/>
  <c r="Z15" i="40"/>
  <c r="N15" i="22"/>
  <c r="L21" i="22"/>
  <c r="L16" i="23"/>
  <c r="L20" i="23"/>
  <c r="D18" i="25"/>
  <c r="F15" i="25"/>
  <c r="L12" i="25"/>
  <c r="F24" i="25"/>
  <c r="F22" i="25"/>
  <c r="F20" i="25"/>
  <c r="F18" i="25"/>
  <c r="F16" i="25"/>
  <c r="F33" i="25"/>
  <c r="F31" i="25"/>
  <c r="F21" i="25"/>
  <c r="F29" i="25"/>
  <c r="F27" i="25"/>
  <c r="F36" i="25"/>
  <c r="F25" i="25"/>
  <c r="F34" i="25"/>
  <c r="X16" i="25"/>
  <c r="X20" i="25"/>
  <c r="X15" i="26"/>
  <c r="N25" i="26"/>
  <c r="N29" i="26"/>
  <c r="N33" i="26"/>
  <c r="N34" i="26"/>
  <c r="F36" i="28"/>
  <c r="F34" i="28"/>
  <c r="F33" i="28"/>
  <c r="F31" i="28"/>
  <c r="F29" i="28"/>
  <c r="F27" i="28"/>
  <c r="D18" i="28"/>
  <c r="F15" i="28"/>
  <c r="L12" i="28"/>
  <c r="F25" i="28"/>
  <c r="F24" i="28"/>
  <c r="F22" i="28"/>
  <c r="F20" i="28"/>
  <c r="F18" i="28"/>
  <c r="F16" i="28"/>
  <c r="F21" i="28"/>
  <c r="X16" i="28"/>
  <c r="X20" i="28"/>
  <c r="Z29" i="28"/>
  <c r="N34" i="28"/>
  <c r="L16" i="29"/>
  <c r="X20" i="29"/>
  <c r="Z22" i="29"/>
  <c r="X34" i="29"/>
  <c r="N15" i="32"/>
  <c r="L21" i="32"/>
  <c r="X13" i="35"/>
  <c r="L21" i="23"/>
  <c r="N12" i="25"/>
  <c r="J36" i="25"/>
  <c r="J34" i="25"/>
  <c r="J33" i="25"/>
  <c r="J31" i="25"/>
  <c r="J29" i="25"/>
  <c r="J27" i="25"/>
  <c r="J25" i="25"/>
  <c r="J24" i="25"/>
  <c r="J22" i="25"/>
  <c r="J20" i="25"/>
  <c r="J18" i="25"/>
  <c r="J16" i="25"/>
  <c r="J15" i="25"/>
  <c r="J21" i="25"/>
  <c r="H18" i="25"/>
  <c r="X13" i="25"/>
  <c r="Z15" i="25"/>
  <c r="X21" i="25"/>
  <c r="L12" i="26"/>
  <c r="F36" i="26"/>
  <c r="F34" i="26"/>
  <c r="F33" i="26"/>
  <c r="F31" i="26"/>
  <c r="F29" i="26"/>
  <c r="F27" i="26"/>
  <c r="F25" i="26"/>
  <c r="F21" i="26"/>
  <c r="D18" i="26"/>
  <c r="F15" i="26"/>
  <c r="F18" i="26"/>
  <c r="F16" i="26"/>
  <c r="F24" i="26"/>
  <c r="F22" i="26"/>
  <c r="F20" i="26"/>
  <c r="X16" i="26"/>
  <c r="X20" i="26"/>
  <c r="J31" i="28"/>
  <c r="J33" i="28"/>
  <c r="N12" i="28"/>
  <c r="J34" i="28"/>
  <c r="J36" i="28"/>
  <c r="J25" i="28"/>
  <c r="J24" i="28"/>
  <c r="J22" i="28"/>
  <c r="J27" i="28"/>
  <c r="J20" i="28"/>
  <c r="J18" i="28"/>
  <c r="J16" i="28"/>
  <c r="J29" i="28"/>
  <c r="H18" i="28"/>
  <c r="J15" i="28"/>
  <c r="J21" i="28"/>
  <c r="X13" i="28"/>
  <c r="Z15" i="28"/>
  <c r="X21" i="28"/>
  <c r="L33" i="28"/>
  <c r="L15" i="29"/>
  <c r="N16" i="29"/>
  <c r="Z21" i="29"/>
  <c r="X29" i="29"/>
  <c r="Z21" i="31"/>
  <c r="X34" i="31"/>
  <c r="N15" i="38"/>
  <c r="L13" i="22"/>
  <c r="N21" i="22"/>
  <c r="L25" i="22"/>
  <c r="L29" i="22"/>
  <c r="L33" i="22"/>
  <c r="L34" i="22"/>
  <c r="N16" i="23"/>
  <c r="N20" i="23"/>
  <c r="L22" i="23"/>
  <c r="L24" i="23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4" i="26"/>
  <c r="J22" i="26"/>
  <c r="J21" i="26"/>
  <c r="H18" i="26"/>
  <c r="J15" i="26"/>
  <c r="J16" i="26"/>
  <c r="J20" i="26"/>
  <c r="J18" i="26"/>
  <c r="X13" i="26"/>
  <c r="Z15" i="26"/>
  <c r="X21" i="26"/>
  <c r="Z13" i="28"/>
  <c r="Z16" i="28"/>
  <c r="Z20" i="28"/>
  <c r="X22" i="28"/>
  <c r="X24" i="28"/>
  <c r="X25" i="28"/>
  <c r="N33" i="28"/>
  <c r="R33" i="29"/>
  <c r="R27" i="29"/>
  <c r="R15" i="29"/>
  <c r="R16" i="29"/>
  <c r="X12" i="29"/>
  <c r="R18" i="29"/>
  <c r="R29" i="29"/>
  <c r="P18" i="29"/>
  <c r="R34" i="29"/>
  <c r="R20" i="29"/>
  <c r="R21" i="29"/>
  <c r="R22" i="29"/>
  <c r="R24" i="29"/>
  <c r="R36" i="29"/>
  <c r="R31" i="29"/>
  <c r="R25" i="29"/>
  <c r="Z20" i="29"/>
  <c r="N33" i="29"/>
  <c r="Z34" i="29"/>
  <c r="L16" i="31"/>
  <c r="Z34" i="32"/>
  <c r="L20" i="34"/>
  <c r="Z15" i="38"/>
  <c r="N13" i="22"/>
  <c r="N22" i="22"/>
  <c r="N24" i="22"/>
  <c r="L13" i="23"/>
  <c r="N21" i="23"/>
  <c r="L25" i="23"/>
  <c r="L29" i="23"/>
  <c r="L33" i="23"/>
  <c r="L34" i="23"/>
  <c r="Z21" i="25"/>
  <c r="X25" i="25"/>
  <c r="X29" i="25"/>
  <c r="X33" i="25"/>
  <c r="X34" i="25"/>
  <c r="Z13" i="26"/>
  <c r="Z16" i="26"/>
  <c r="Z20" i="26"/>
  <c r="X22" i="26"/>
  <c r="X24" i="26"/>
  <c r="Z21" i="28"/>
  <c r="Z12" i="29"/>
  <c r="V18" i="29"/>
  <c r="V29" i="29"/>
  <c r="T18" i="29"/>
  <c r="V34" i="29"/>
  <c r="V20" i="29"/>
  <c r="V21" i="29"/>
  <c r="V22" i="29"/>
  <c r="V31" i="29"/>
  <c r="V24" i="29"/>
  <c r="V16" i="29"/>
  <c r="V36" i="29"/>
  <c r="V33" i="29"/>
  <c r="V27" i="29"/>
  <c r="V15" i="29"/>
  <c r="V25" i="29"/>
  <c r="L24" i="29"/>
  <c r="N25" i="29"/>
  <c r="Z29" i="29"/>
  <c r="N16" i="31"/>
  <c r="L22" i="31"/>
  <c r="L21" i="38"/>
  <c r="X15" i="22"/>
  <c r="N25" i="22"/>
  <c r="N29" i="22"/>
  <c r="N33" i="22"/>
  <c r="N34" i="22"/>
  <c r="N13" i="23"/>
  <c r="N22" i="23"/>
  <c r="N24" i="23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Z22" i="25"/>
  <c r="Z24" i="25"/>
  <c r="Z21" i="26"/>
  <c r="X25" i="26"/>
  <c r="X29" i="26"/>
  <c r="X33" i="26"/>
  <c r="X34" i="26"/>
  <c r="X12" i="28"/>
  <c r="R34" i="28"/>
  <c r="R36" i="28"/>
  <c r="R25" i="28"/>
  <c r="R24" i="28"/>
  <c r="R22" i="28"/>
  <c r="R21" i="28"/>
  <c r="R27" i="28"/>
  <c r="R20" i="28"/>
  <c r="R18" i="28"/>
  <c r="R16" i="28"/>
  <c r="P18" i="28"/>
  <c r="R15" i="28"/>
  <c r="R29" i="28"/>
  <c r="R31" i="28"/>
  <c r="R33" i="28"/>
  <c r="Z22" i="28"/>
  <c r="Z24" i="28"/>
  <c r="Z25" i="28"/>
  <c r="X34" i="28"/>
  <c r="X16" i="29"/>
  <c r="N24" i="29"/>
  <c r="X29" i="31"/>
  <c r="Z16" i="32"/>
  <c r="X22" i="32"/>
  <c r="X21" i="38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Z12" i="25"/>
  <c r="L15" i="25"/>
  <c r="Z25" i="25"/>
  <c r="Z29" i="25"/>
  <c r="Z33" i="25"/>
  <c r="Z34" i="25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X12" i="26"/>
  <c r="Z22" i="26"/>
  <c r="Z24" i="26"/>
  <c r="V36" i="28"/>
  <c r="V25" i="28"/>
  <c r="V24" i="28"/>
  <c r="V22" i="28"/>
  <c r="V21" i="28"/>
  <c r="V27" i="28"/>
  <c r="V20" i="28"/>
  <c r="V18" i="28"/>
  <c r="V16" i="28"/>
  <c r="T18" i="28"/>
  <c r="V15" i="28"/>
  <c r="V29" i="28"/>
  <c r="V31" i="28"/>
  <c r="V33" i="28"/>
  <c r="V34" i="28"/>
  <c r="Z12" i="28"/>
  <c r="L15" i="28"/>
  <c r="L29" i="28"/>
  <c r="X15" i="29"/>
  <c r="L22" i="29"/>
  <c r="X33" i="29"/>
  <c r="Z29" i="32"/>
  <c r="R36" i="34"/>
  <c r="R29" i="34"/>
  <c r="R21" i="34"/>
  <c r="R20" i="34"/>
  <c r="R18" i="34"/>
  <c r="R16" i="34"/>
  <c r="P18" i="34"/>
  <c r="R15" i="34"/>
  <c r="R31" i="34"/>
  <c r="R33" i="34"/>
  <c r="R34" i="34"/>
  <c r="R24" i="34"/>
  <c r="R22" i="34"/>
  <c r="X12" i="34"/>
  <c r="R27" i="34"/>
  <c r="R25" i="34"/>
  <c r="N33" i="34"/>
  <c r="J24" i="22"/>
  <c r="J22" i="22"/>
  <c r="J21" i="22"/>
  <c r="J20" i="22"/>
  <c r="J18" i="22"/>
  <c r="J16" i="22"/>
  <c r="J34" i="22"/>
  <c r="J29" i="22"/>
  <c r="J15" i="22"/>
  <c r="J33" i="22"/>
  <c r="J27" i="22"/>
  <c r="H18" i="22"/>
  <c r="J36" i="22"/>
  <c r="J31" i="22"/>
  <c r="J25" i="22"/>
  <c r="N12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D18" i="23"/>
  <c r="F15" i="23"/>
  <c r="L12" i="23"/>
  <c r="X16" i="23"/>
  <c r="X20" i="23"/>
  <c r="L16" i="25"/>
  <c r="L20" i="25"/>
  <c r="V24" i="26"/>
  <c r="V22" i="26"/>
  <c r="V21" i="26"/>
  <c r="V20" i="26"/>
  <c r="V18" i="26"/>
  <c r="V16" i="26"/>
  <c r="T18" i="26"/>
  <c r="V15" i="26"/>
  <c r="V36" i="26"/>
  <c r="V34" i="26"/>
  <c r="V33" i="26"/>
  <c r="V31" i="26"/>
  <c r="V29" i="26"/>
  <c r="V27" i="26"/>
  <c r="V25" i="26"/>
  <c r="Z12" i="26"/>
  <c r="L15" i="26"/>
  <c r="Z25" i="26"/>
  <c r="Z29" i="26"/>
  <c r="Z33" i="26"/>
  <c r="Z34" i="26"/>
  <c r="L16" i="28"/>
  <c r="L20" i="28"/>
  <c r="N29" i="28"/>
  <c r="X33" i="28"/>
  <c r="Z34" i="28"/>
  <c r="N13" i="29"/>
  <c r="Z16" i="29"/>
  <c r="N22" i="29"/>
  <c r="L24" i="31"/>
  <c r="V21" i="31"/>
  <c r="T18" i="31"/>
  <c r="V15" i="31"/>
  <c r="Z12" i="31"/>
  <c r="V24" i="31"/>
  <c r="V22" i="31"/>
  <c r="V36" i="31"/>
  <c r="V29" i="31"/>
  <c r="V16" i="31"/>
  <c r="V34" i="31"/>
  <c r="V27" i="31"/>
  <c r="V33" i="31"/>
  <c r="V25" i="31"/>
  <c r="V18" i="31"/>
  <c r="V31" i="31"/>
  <c r="V20" i="31"/>
  <c r="L15" i="31"/>
  <c r="Z25" i="31"/>
  <c r="Z29" i="31"/>
  <c r="Z33" i="31"/>
  <c r="Z34" i="31"/>
  <c r="R24" i="32"/>
  <c r="R22" i="32"/>
  <c r="R20" i="32"/>
  <c r="R18" i="32"/>
  <c r="R16" i="32"/>
  <c r="P18" i="32"/>
  <c r="R15" i="32"/>
  <c r="X12" i="32"/>
  <c r="R36" i="32"/>
  <c r="R34" i="32"/>
  <c r="R33" i="32"/>
  <c r="R31" i="32"/>
  <c r="R29" i="32"/>
  <c r="R27" i="32"/>
  <c r="R25" i="32"/>
  <c r="R21" i="32"/>
  <c r="Z22" i="32"/>
  <c r="Z24" i="32"/>
  <c r="Z21" i="34"/>
  <c r="X25" i="34"/>
  <c r="Z29" i="34"/>
  <c r="L33" i="34"/>
  <c r="Z20" i="35"/>
  <c r="Z13" i="37"/>
  <c r="Z20" i="37"/>
  <c r="X13" i="38"/>
  <c r="N34" i="43"/>
  <c r="N16" i="47"/>
  <c r="N15" i="29"/>
  <c r="L21" i="29"/>
  <c r="N15" i="31"/>
  <c r="L21" i="31"/>
  <c r="L16" i="32"/>
  <c r="L20" i="32"/>
  <c r="V36" i="34"/>
  <c r="V34" i="34"/>
  <c r="V33" i="34"/>
  <c r="V31" i="34"/>
  <c r="V29" i="34"/>
  <c r="V27" i="34"/>
  <c r="T18" i="34"/>
  <c r="V15" i="34"/>
  <c r="Z12" i="34"/>
  <c r="V24" i="34"/>
  <c r="V22" i="34"/>
  <c r="V20" i="34"/>
  <c r="V18" i="34"/>
  <c r="V16" i="34"/>
  <c r="V21" i="34"/>
  <c r="V25" i="34"/>
  <c r="L15" i="34"/>
  <c r="Z25" i="34"/>
  <c r="L21" i="35"/>
  <c r="X22" i="35"/>
  <c r="N21" i="38"/>
  <c r="L34" i="38"/>
  <c r="L22" i="41"/>
  <c r="X24" i="44"/>
  <c r="L13" i="29"/>
  <c r="N21" i="29"/>
  <c r="L25" i="29"/>
  <c r="L29" i="29"/>
  <c r="L33" i="29"/>
  <c r="L34" i="29"/>
  <c r="L13" i="31"/>
  <c r="N21" i="31"/>
  <c r="L25" i="31"/>
  <c r="L29" i="31"/>
  <c r="L33" i="31"/>
  <c r="L34" i="31"/>
  <c r="N16" i="32"/>
  <c r="N20" i="32"/>
  <c r="L22" i="32"/>
  <c r="L24" i="32"/>
  <c r="N15" i="34"/>
  <c r="L21" i="34"/>
  <c r="X33" i="34"/>
  <c r="Z13" i="35"/>
  <c r="N16" i="35"/>
  <c r="X34" i="35"/>
  <c r="N16" i="37"/>
  <c r="L22" i="37"/>
  <c r="N13" i="31"/>
  <c r="N22" i="31"/>
  <c r="N24" i="31"/>
  <c r="L13" i="32"/>
  <c r="N21" i="32"/>
  <c r="L25" i="32"/>
  <c r="L29" i="32"/>
  <c r="L33" i="32"/>
  <c r="L34" i="32"/>
  <c r="N16" i="34"/>
  <c r="N20" i="34"/>
  <c r="L22" i="34"/>
  <c r="L24" i="34"/>
  <c r="L29" i="34"/>
  <c r="D18" i="35"/>
  <c r="F15" i="35"/>
  <c r="F24" i="35"/>
  <c r="F22" i="35"/>
  <c r="F18" i="35"/>
  <c r="F31" i="35"/>
  <c r="F27" i="35"/>
  <c r="F36" i="35"/>
  <c r="F20" i="35"/>
  <c r="L12" i="35"/>
  <c r="F33" i="35"/>
  <c r="F34" i="35"/>
  <c r="F21" i="35"/>
  <c r="F16" i="35"/>
  <c r="F29" i="35"/>
  <c r="F25" i="35"/>
  <c r="L24" i="35"/>
  <c r="X25" i="35"/>
  <c r="N22" i="37"/>
  <c r="L29" i="38"/>
  <c r="X15" i="31"/>
  <c r="N25" i="31"/>
  <c r="N29" i="31"/>
  <c r="N33" i="31"/>
  <c r="N34" i="31"/>
  <c r="N13" i="32"/>
  <c r="N22" i="32"/>
  <c r="N24" i="32"/>
  <c r="L13" i="34"/>
  <c r="N21" i="34"/>
  <c r="L25" i="34"/>
  <c r="N29" i="34"/>
  <c r="Z33" i="34"/>
  <c r="J24" i="35"/>
  <c r="J22" i="35"/>
  <c r="J20" i="35"/>
  <c r="J18" i="35"/>
  <c r="J16" i="35"/>
  <c r="J31" i="35"/>
  <c r="J27" i="35"/>
  <c r="J36" i="35"/>
  <c r="J15" i="35"/>
  <c r="N12" i="35"/>
  <c r="J33" i="35"/>
  <c r="J29" i="35"/>
  <c r="J21" i="35"/>
  <c r="J25" i="35"/>
  <c r="H18" i="35"/>
  <c r="J34" i="35"/>
  <c r="X16" i="35"/>
  <c r="X21" i="35"/>
  <c r="N24" i="35"/>
  <c r="Z16" i="37"/>
  <c r="X22" i="37"/>
  <c r="L29" i="40"/>
  <c r="L12" i="31"/>
  <c r="F36" i="31"/>
  <c r="F34" i="31"/>
  <c r="F33" i="31"/>
  <c r="F31" i="31"/>
  <c r="F29" i="31"/>
  <c r="F27" i="31"/>
  <c r="F25" i="31"/>
  <c r="F24" i="31"/>
  <c r="F22" i="31"/>
  <c r="F20" i="31"/>
  <c r="F18" i="31"/>
  <c r="F16" i="31"/>
  <c r="D18" i="31"/>
  <c r="F21" i="31"/>
  <c r="F15" i="31"/>
  <c r="X16" i="31"/>
  <c r="X20" i="31"/>
  <c r="X15" i="32"/>
  <c r="N25" i="32"/>
  <c r="N29" i="32"/>
  <c r="N33" i="32"/>
  <c r="N34" i="32"/>
  <c r="N13" i="34"/>
  <c r="N22" i="34"/>
  <c r="N24" i="34"/>
  <c r="N15" i="35"/>
  <c r="X29" i="35"/>
  <c r="L24" i="37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N12" i="31"/>
  <c r="X13" i="31"/>
  <c r="Z15" i="31"/>
  <c r="X21" i="31"/>
  <c r="F36" i="32"/>
  <c r="F34" i="32"/>
  <c r="F33" i="32"/>
  <c r="F31" i="32"/>
  <c r="F29" i="32"/>
  <c r="F27" i="32"/>
  <c r="F25" i="32"/>
  <c r="F24" i="32"/>
  <c r="F22" i="32"/>
  <c r="F21" i="32"/>
  <c r="D18" i="32"/>
  <c r="F15" i="32"/>
  <c r="F18" i="32"/>
  <c r="F16" i="32"/>
  <c r="F20" i="32"/>
  <c r="L12" i="32"/>
  <c r="X16" i="32"/>
  <c r="X20" i="32"/>
  <c r="X15" i="34"/>
  <c r="N25" i="34"/>
  <c r="Z16" i="35"/>
  <c r="N20" i="35"/>
  <c r="Z21" i="35"/>
  <c r="N24" i="37"/>
  <c r="L34" i="40"/>
  <c r="N13" i="43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X13" i="32"/>
  <c r="Z15" i="32"/>
  <c r="X21" i="32"/>
  <c r="F36" i="34"/>
  <c r="F34" i="34"/>
  <c r="F33" i="34"/>
  <c r="F31" i="34"/>
  <c r="F29" i="34"/>
  <c r="L12" i="34"/>
  <c r="F27" i="34"/>
  <c r="F25" i="34"/>
  <c r="F24" i="34"/>
  <c r="F22" i="34"/>
  <c r="F21" i="34"/>
  <c r="F20" i="34"/>
  <c r="F18" i="34"/>
  <c r="F16" i="34"/>
  <c r="D18" i="34"/>
  <c r="F15" i="34"/>
  <c r="X16" i="34"/>
  <c r="X20" i="34"/>
  <c r="L34" i="34"/>
  <c r="R36" i="35"/>
  <c r="R34" i="35"/>
  <c r="R33" i="35"/>
  <c r="R31" i="35"/>
  <c r="R29" i="35"/>
  <c r="R27" i="35"/>
  <c r="R25" i="35"/>
  <c r="R20" i="35"/>
  <c r="R24" i="35"/>
  <c r="R15" i="35"/>
  <c r="X12" i="35"/>
  <c r="R21" i="35"/>
  <c r="R16" i="35"/>
  <c r="P18" i="35"/>
  <c r="R18" i="35"/>
  <c r="R22" i="35"/>
  <c r="X24" i="35"/>
  <c r="X33" i="35"/>
  <c r="X24" i="37"/>
  <c r="N12" i="38"/>
  <c r="J36" i="38"/>
  <c r="J34" i="38"/>
  <c r="J33" i="38"/>
  <c r="J31" i="38"/>
  <c r="J29" i="38"/>
  <c r="J27" i="38"/>
  <c r="J25" i="38"/>
  <c r="J24" i="38"/>
  <c r="J22" i="38"/>
  <c r="J21" i="38"/>
  <c r="H18" i="38"/>
  <c r="J15" i="38"/>
  <c r="J20" i="38"/>
  <c r="J18" i="38"/>
  <c r="J16" i="38"/>
  <c r="J36" i="34"/>
  <c r="J34" i="34"/>
  <c r="J33" i="34"/>
  <c r="J31" i="34"/>
  <c r="J27" i="34"/>
  <c r="J25" i="34"/>
  <c r="J24" i="34"/>
  <c r="J22" i="34"/>
  <c r="J29" i="34"/>
  <c r="J21" i="34"/>
  <c r="J20" i="34"/>
  <c r="J18" i="34"/>
  <c r="J16" i="34"/>
  <c r="H18" i="34"/>
  <c r="J15" i="34"/>
  <c r="N12" i="34"/>
  <c r="X13" i="34"/>
  <c r="Z15" i="34"/>
  <c r="X21" i="34"/>
  <c r="X29" i="34"/>
  <c r="N34" i="34"/>
  <c r="X20" i="35"/>
  <c r="L22" i="35"/>
  <c r="N20" i="37"/>
  <c r="N22" i="43"/>
  <c r="R36" i="31"/>
  <c r="R34" i="31"/>
  <c r="R33" i="31"/>
  <c r="R31" i="31"/>
  <c r="R29" i="31"/>
  <c r="R27" i="31"/>
  <c r="R25" i="31"/>
  <c r="R21" i="31"/>
  <c r="R20" i="31"/>
  <c r="R18" i="31"/>
  <c r="R16" i="31"/>
  <c r="P18" i="31"/>
  <c r="R15" i="31"/>
  <c r="R22" i="31"/>
  <c r="R24" i="31"/>
  <c r="X12" i="31"/>
  <c r="Z22" i="31"/>
  <c r="Z24" i="31"/>
  <c r="Z21" i="32"/>
  <c r="X25" i="32"/>
  <c r="X29" i="32"/>
  <c r="X33" i="32"/>
  <c r="X34" i="32"/>
  <c r="Z13" i="34"/>
  <c r="Z16" i="34"/>
  <c r="Z20" i="34"/>
  <c r="X22" i="34"/>
  <c r="X24" i="34"/>
  <c r="Z15" i="35"/>
  <c r="N22" i="35"/>
  <c r="N13" i="37"/>
  <c r="L13" i="38"/>
  <c r="L25" i="38"/>
  <c r="L33" i="38"/>
  <c r="N34" i="46"/>
  <c r="N15" i="37"/>
  <c r="L21" i="37"/>
  <c r="L16" i="38"/>
  <c r="L20" i="38"/>
  <c r="N15" i="40"/>
  <c r="L13" i="35"/>
  <c r="N21" i="35"/>
  <c r="L25" i="35"/>
  <c r="L29" i="35"/>
  <c r="L33" i="35"/>
  <c r="L34" i="35"/>
  <c r="L13" i="37"/>
  <c r="N21" i="37"/>
  <c r="L25" i="37"/>
  <c r="L29" i="37"/>
  <c r="L33" i="37"/>
  <c r="L34" i="37"/>
  <c r="N16" i="38"/>
  <c r="N20" i="38"/>
  <c r="L22" i="38"/>
  <c r="L24" i="38"/>
  <c r="X15" i="40"/>
  <c r="N29" i="40"/>
  <c r="N34" i="40"/>
  <c r="N13" i="41"/>
  <c r="N22" i="41"/>
  <c r="L22" i="43"/>
  <c r="X15" i="35"/>
  <c r="N25" i="35"/>
  <c r="N29" i="35"/>
  <c r="N33" i="35"/>
  <c r="N34" i="35"/>
  <c r="X15" i="37"/>
  <c r="N25" i="37"/>
  <c r="N29" i="37"/>
  <c r="N33" i="37"/>
  <c r="N34" i="37"/>
  <c r="N13" i="38"/>
  <c r="N22" i="38"/>
  <c r="N24" i="38"/>
  <c r="L21" i="40"/>
  <c r="L20" i="41"/>
  <c r="L24" i="43"/>
  <c r="D18" i="37"/>
  <c r="F15" i="37"/>
  <c r="F24" i="37"/>
  <c r="F22" i="37"/>
  <c r="F20" i="37"/>
  <c r="F18" i="37"/>
  <c r="F16" i="37"/>
  <c r="F33" i="37"/>
  <c r="F25" i="37"/>
  <c r="L12" i="37"/>
  <c r="F31" i="37"/>
  <c r="F36" i="37"/>
  <c r="F29" i="37"/>
  <c r="F34" i="37"/>
  <c r="F27" i="37"/>
  <c r="F21" i="37"/>
  <c r="X16" i="37"/>
  <c r="X20" i="37"/>
  <c r="X15" i="38"/>
  <c r="N25" i="38"/>
  <c r="N29" i="38"/>
  <c r="N33" i="38"/>
  <c r="N34" i="38"/>
  <c r="N21" i="40"/>
  <c r="L25" i="40"/>
  <c r="N20" i="41"/>
  <c r="L24" i="41"/>
  <c r="N24" i="43"/>
  <c r="N12" i="37"/>
  <c r="J36" i="37"/>
  <c r="J34" i="37"/>
  <c r="J33" i="37"/>
  <c r="J31" i="37"/>
  <c r="J29" i="37"/>
  <c r="J27" i="37"/>
  <c r="J25" i="37"/>
  <c r="J24" i="37"/>
  <c r="J22" i="37"/>
  <c r="J20" i="37"/>
  <c r="J18" i="37"/>
  <c r="J16" i="37"/>
  <c r="H18" i="37"/>
  <c r="J21" i="37"/>
  <c r="J15" i="37"/>
  <c r="X13" i="37"/>
  <c r="Z15" i="37"/>
  <c r="X21" i="37"/>
  <c r="L12" i="38"/>
  <c r="F36" i="38"/>
  <c r="F34" i="38"/>
  <c r="F33" i="38"/>
  <c r="F31" i="38"/>
  <c r="F29" i="38"/>
  <c r="F27" i="38"/>
  <c r="F25" i="38"/>
  <c r="F21" i="38"/>
  <c r="D18" i="38"/>
  <c r="F15" i="38"/>
  <c r="F20" i="38"/>
  <c r="F24" i="38"/>
  <c r="F18" i="38"/>
  <c r="F22" i="38"/>
  <c r="F16" i="38"/>
  <c r="X16" i="38"/>
  <c r="X20" i="38"/>
  <c r="N25" i="40"/>
  <c r="N24" i="41"/>
  <c r="N16" i="43"/>
  <c r="L25" i="43"/>
  <c r="Z24" i="47"/>
  <c r="N12" i="40"/>
  <c r="J36" i="40"/>
  <c r="J34" i="40"/>
  <c r="J33" i="40"/>
  <c r="J31" i="40"/>
  <c r="J29" i="40"/>
  <c r="J27" i="40"/>
  <c r="J25" i="40"/>
  <c r="J21" i="40"/>
  <c r="H18" i="40"/>
  <c r="J15" i="40"/>
  <c r="J22" i="40"/>
  <c r="J18" i="40"/>
  <c r="J16" i="40"/>
  <c r="J24" i="40"/>
  <c r="J20" i="40"/>
  <c r="X21" i="40"/>
  <c r="X20" i="41"/>
  <c r="N25" i="43"/>
  <c r="N13" i="44"/>
  <c r="L13" i="46"/>
  <c r="Z21" i="37"/>
  <c r="X25" i="37"/>
  <c r="X29" i="37"/>
  <c r="X33" i="37"/>
  <c r="X34" i="37"/>
  <c r="Z13" i="38"/>
  <c r="Z16" i="38"/>
  <c r="Z20" i="38"/>
  <c r="X22" i="38"/>
  <c r="X24" i="38"/>
  <c r="L16" i="41"/>
  <c r="N33" i="49"/>
  <c r="L29" i="52"/>
  <c r="Z22" i="35"/>
  <c r="Z24" i="35"/>
  <c r="X12" i="37"/>
  <c r="R36" i="37"/>
  <c r="R34" i="37"/>
  <c r="R33" i="37"/>
  <c r="R31" i="37"/>
  <c r="R29" i="37"/>
  <c r="R27" i="37"/>
  <c r="R25" i="37"/>
  <c r="R24" i="37"/>
  <c r="R22" i="37"/>
  <c r="R20" i="37"/>
  <c r="R18" i="37"/>
  <c r="R16" i="37"/>
  <c r="P18" i="37"/>
  <c r="R15" i="37"/>
  <c r="R21" i="37"/>
  <c r="Z22" i="37"/>
  <c r="Z24" i="37"/>
  <c r="Z21" i="38"/>
  <c r="X25" i="38"/>
  <c r="X29" i="38"/>
  <c r="X33" i="38"/>
  <c r="X34" i="38"/>
  <c r="L13" i="40"/>
  <c r="L33" i="40"/>
  <c r="N16" i="41"/>
  <c r="L15" i="50"/>
  <c r="L22" i="53"/>
  <c r="V36" i="35"/>
  <c r="V34" i="35"/>
  <c r="V33" i="35"/>
  <c r="V31" i="35"/>
  <c r="V29" i="35"/>
  <c r="V27" i="35"/>
  <c r="V25" i="35"/>
  <c r="V24" i="35"/>
  <c r="V22" i="35"/>
  <c r="V21" i="35"/>
  <c r="Z12" i="35"/>
  <c r="V16" i="35"/>
  <c r="V18" i="35"/>
  <c r="T18" i="35"/>
  <c r="V15" i="35"/>
  <c r="V20" i="35"/>
  <c r="L15" i="35"/>
  <c r="Z25" i="35"/>
  <c r="Z29" i="35"/>
  <c r="Z33" i="35"/>
  <c r="Z34" i="35"/>
  <c r="V36" i="37"/>
  <c r="V34" i="37"/>
  <c r="V33" i="37"/>
  <c r="V31" i="37"/>
  <c r="V29" i="37"/>
  <c r="V27" i="37"/>
  <c r="V25" i="37"/>
  <c r="V24" i="37"/>
  <c r="V22" i="37"/>
  <c r="V21" i="37"/>
  <c r="V20" i="37"/>
  <c r="V18" i="37"/>
  <c r="V16" i="37"/>
  <c r="Z12" i="37"/>
  <c r="T18" i="37"/>
  <c r="V15" i="37"/>
  <c r="L15" i="37"/>
  <c r="Z25" i="37"/>
  <c r="Z29" i="37"/>
  <c r="Z33" i="37"/>
  <c r="Z34" i="37"/>
  <c r="R36" i="38"/>
  <c r="R34" i="38"/>
  <c r="R33" i="38"/>
  <c r="R31" i="38"/>
  <c r="R29" i="38"/>
  <c r="R27" i="38"/>
  <c r="R25" i="38"/>
  <c r="R24" i="38"/>
  <c r="R22" i="38"/>
  <c r="R21" i="38"/>
  <c r="P18" i="38"/>
  <c r="R15" i="38"/>
  <c r="X12" i="38"/>
  <c r="R18" i="38"/>
  <c r="R16" i="38"/>
  <c r="R20" i="38"/>
  <c r="Z22" i="38"/>
  <c r="Z24" i="38"/>
  <c r="N33" i="40"/>
  <c r="N20" i="43"/>
  <c r="X16" i="50"/>
  <c r="X25" i="53"/>
  <c r="L16" i="35"/>
  <c r="L20" i="35"/>
  <c r="L16" i="37"/>
  <c r="L20" i="37"/>
  <c r="V24" i="38"/>
  <c r="V22" i="38"/>
  <c r="V21" i="38"/>
  <c r="V20" i="38"/>
  <c r="V18" i="38"/>
  <c r="V16" i="38"/>
  <c r="T18" i="38"/>
  <c r="V15" i="38"/>
  <c r="V36" i="38"/>
  <c r="V34" i="38"/>
  <c r="V33" i="38"/>
  <c r="V31" i="38"/>
  <c r="V29" i="38"/>
  <c r="V27" i="38"/>
  <c r="V25" i="38"/>
  <c r="Z12" i="38"/>
  <c r="L15" i="38"/>
  <c r="Z25" i="38"/>
  <c r="Z29" i="38"/>
  <c r="Z33" i="38"/>
  <c r="Z34" i="38"/>
  <c r="X13" i="40"/>
  <c r="L12" i="41"/>
  <c r="F36" i="41"/>
  <c r="F24" i="41"/>
  <c r="F22" i="41"/>
  <c r="F20" i="41"/>
  <c r="F18" i="41"/>
  <c r="F16" i="41"/>
  <c r="F31" i="41"/>
  <c r="F25" i="41"/>
  <c r="F21" i="41"/>
  <c r="F34" i="41"/>
  <c r="F29" i="41"/>
  <c r="F15" i="41"/>
  <c r="F33" i="41"/>
  <c r="F27" i="41"/>
  <c r="D18" i="41"/>
  <c r="X16" i="41"/>
  <c r="X29" i="43"/>
  <c r="L16" i="40"/>
  <c r="L20" i="40"/>
  <c r="V21" i="41"/>
  <c r="V20" i="41"/>
  <c r="V18" i="41"/>
  <c r="V16" i="41"/>
  <c r="T18" i="41"/>
  <c r="V15" i="41"/>
  <c r="Z12" i="41"/>
  <c r="V24" i="41"/>
  <c r="V22" i="41"/>
  <c r="V36" i="41"/>
  <c r="V34" i="41"/>
  <c r="V29" i="41"/>
  <c r="V33" i="41"/>
  <c r="V27" i="41"/>
  <c r="V31" i="41"/>
  <c r="V25" i="41"/>
  <c r="L15" i="41"/>
  <c r="Z25" i="41"/>
  <c r="Z29" i="41"/>
  <c r="Z33" i="41"/>
  <c r="Z34" i="41"/>
  <c r="N15" i="43"/>
  <c r="L21" i="43"/>
  <c r="L21" i="44"/>
  <c r="L20" i="46"/>
  <c r="X22" i="47"/>
  <c r="Z29" i="49"/>
  <c r="N16" i="40"/>
  <c r="N20" i="40"/>
  <c r="L22" i="40"/>
  <c r="L24" i="40"/>
  <c r="N15" i="41"/>
  <c r="L21" i="41"/>
  <c r="L13" i="43"/>
  <c r="N21" i="43"/>
  <c r="L34" i="43"/>
  <c r="L16" i="44"/>
  <c r="N13" i="46"/>
  <c r="X25" i="46"/>
  <c r="N13" i="40"/>
  <c r="N22" i="40"/>
  <c r="N24" i="40"/>
  <c r="L13" i="41"/>
  <c r="N21" i="41"/>
  <c r="L25" i="41"/>
  <c r="L29" i="41"/>
  <c r="L33" i="41"/>
  <c r="L34" i="41"/>
  <c r="X15" i="43"/>
  <c r="Z29" i="43"/>
  <c r="Z13" i="44"/>
  <c r="N16" i="44"/>
  <c r="L20" i="44"/>
  <c r="Z24" i="44"/>
  <c r="Z33" i="44"/>
  <c r="N21" i="46"/>
  <c r="Z33" i="47"/>
  <c r="X13" i="49"/>
  <c r="F36" i="43"/>
  <c r="F34" i="43"/>
  <c r="F33" i="43"/>
  <c r="F31" i="43"/>
  <c r="F29" i="43"/>
  <c r="F27" i="43"/>
  <c r="D18" i="43"/>
  <c r="F15" i="43"/>
  <c r="L12" i="43"/>
  <c r="F25" i="43"/>
  <c r="F24" i="43"/>
  <c r="F22" i="43"/>
  <c r="F20" i="43"/>
  <c r="F18" i="43"/>
  <c r="F16" i="43"/>
  <c r="F21" i="43"/>
  <c r="X16" i="43"/>
  <c r="X20" i="43"/>
  <c r="L33" i="43"/>
  <c r="L25" i="47"/>
  <c r="Z15" i="49"/>
  <c r="Z33" i="50"/>
  <c r="L12" i="40"/>
  <c r="F36" i="40"/>
  <c r="F34" i="40"/>
  <c r="F33" i="40"/>
  <c r="F31" i="40"/>
  <c r="F29" i="40"/>
  <c r="F27" i="40"/>
  <c r="F25" i="40"/>
  <c r="F21" i="40"/>
  <c r="D18" i="40"/>
  <c r="F15" i="40"/>
  <c r="F22" i="40"/>
  <c r="F18" i="40"/>
  <c r="F16" i="40"/>
  <c r="F20" i="40"/>
  <c r="F24" i="40"/>
  <c r="X16" i="40"/>
  <c r="X20" i="40"/>
  <c r="X15" i="41"/>
  <c r="N25" i="41"/>
  <c r="N29" i="41"/>
  <c r="N33" i="41"/>
  <c r="N34" i="41"/>
  <c r="J36" i="43"/>
  <c r="J34" i="43"/>
  <c r="J33" i="43"/>
  <c r="J31" i="43"/>
  <c r="N12" i="43"/>
  <c r="J25" i="43"/>
  <c r="J24" i="43"/>
  <c r="J22" i="43"/>
  <c r="J27" i="43"/>
  <c r="J20" i="43"/>
  <c r="J18" i="43"/>
  <c r="J16" i="43"/>
  <c r="J29" i="43"/>
  <c r="H18" i="43"/>
  <c r="J15" i="43"/>
  <c r="J21" i="43"/>
  <c r="X13" i="43"/>
  <c r="Z15" i="43"/>
  <c r="X21" i="43"/>
  <c r="N33" i="43"/>
  <c r="X34" i="43"/>
  <c r="L15" i="44"/>
  <c r="Z16" i="44"/>
  <c r="N20" i="44"/>
  <c r="L16" i="46"/>
  <c r="X29" i="46"/>
  <c r="F20" i="47"/>
  <c r="F18" i="47"/>
  <c r="F16" i="47"/>
  <c r="F29" i="47"/>
  <c r="F31" i="47"/>
  <c r="F33" i="47"/>
  <c r="F21" i="47"/>
  <c r="F22" i="47"/>
  <c r="F34" i="47"/>
  <c r="F24" i="47"/>
  <c r="F25" i="47"/>
  <c r="L12" i="47"/>
  <c r="F15" i="47"/>
  <c r="F36" i="47"/>
  <c r="F27" i="47"/>
  <c r="D18" i="47"/>
  <c r="Z34" i="47"/>
  <c r="Z34" i="49"/>
  <c r="Z13" i="43"/>
  <c r="Z16" i="43"/>
  <c r="Z20" i="43"/>
  <c r="X22" i="43"/>
  <c r="X24" i="43"/>
  <c r="X25" i="43"/>
  <c r="Z34" i="43"/>
  <c r="N22" i="46"/>
  <c r="L16" i="49"/>
  <c r="L34" i="53"/>
  <c r="Z13" i="40"/>
  <c r="Z16" i="40"/>
  <c r="Z20" i="40"/>
  <c r="X22" i="40"/>
  <c r="X24" i="40"/>
  <c r="N12" i="41"/>
  <c r="J24" i="41"/>
  <c r="J22" i="41"/>
  <c r="J20" i="41"/>
  <c r="J18" i="41"/>
  <c r="J16" i="41"/>
  <c r="J31" i="41"/>
  <c r="J25" i="41"/>
  <c r="J36" i="41"/>
  <c r="J21" i="41"/>
  <c r="J34" i="41"/>
  <c r="J29" i="41"/>
  <c r="J15" i="41"/>
  <c r="J33" i="41"/>
  <c r="J27" i="41"/>
  <c r="H18" i="41"/>
  <c r="X13" i="41"/>
  <c r="Z15" i="41"/>
  <c r="X21" i="41"/>
  <c r="Z21" i="43"/>
  <c r="Z25" i="43"/>
  <c r="N15" i="44"/>
  <c r="Z20" i="44"/>
  <c r="L22" i="44"/>
  <c r="Z29" i="44"/>
  <c r="Z34" i="44"/>
  <c r="R22" i="47"/>
  <c r="R34" i="47"/>
  <c r="R24" i="47"/>
  <c r="R25" i="47"/>
  <c r="R36" i="47"/>
  <c r="R27" i="47"/>
  <c r="R15" i="47"/>
  <c r="R16" i="47"/>
  <c r="R29" i="47"/>
  <c r="X12" i="47"/>
  <c r="R18" i="47"/>
  <c r="R33" i="47"/>
  <c r="R21" i="47"/>
  <c r="R20" i="47"/>
  <c r="P18" i="47"/>
  <c r="R31" i="47"/>
  <c r="Z20" i="47"/>
  <c r="Z22" i="50"/>
  <c r="X34" i="53"/>
  <c r="Z21" i="40"/>
  <c r="X25" i="40"/>
  <c r="X29" i="40"/>
  <c r="X33" i="40"/>
  <c r="X34" i="40"/>
  <c r="Z13" i="41"/>
  <c r="Z16" i="41"/>
  <c r="Z20" i="41"/>
  <c r="X22" i="41"/>
  <c r="X24" i="41"/>
  <c r="R36" i="43"/>
  <c r="R34" i="43"/>
  <c r="R33" i="43"/>
  <c r="R31" i="43"/>
  <c r="R29" i="43"/>
  <c r="R27" i="43"/>
  <c r="R25" i="43"/>
  <c r="X12" i="43"/>
  <c r="R24" i="43"/>
  <c r="R22" i="43"/>
  <c r="R21" i="43"/>
  <c r="R20" i="43"/>
  <c r="R18" i="43"/>
  <c r="R16" i="43"/>
  <c r="P18" i="43"/>
  <c r="R15" i="43"/>
  <c r="Z22" i="43"/>
  <c r="X33" i="43"/>
  <c r="N22" i="44"/>
  <c r="Z13" i="47"/>
  <c r="L29" i="47"/>
  <c r="R36" i="40"/>
  <c r="R34" i="40"/>
  <c r="R33" i="40"/>
  <c r="R31" i="40"/>
  <c r="R29" i="40"/>
  <c r="R27" i="40"/>
  <c r="R25" i="40"/>
  <c r="R24" i="40"/>
  <c r="R22" i="40"/>
  <c r="R21" i="40"/>
  <c r="P18" i="40"/>
  <c r="R15" i="40"/>
  <c r="X12" i="40"/>
  <c r="R18" i="40"/>
  <c r="R16" i="40"/>
  <c r="R20" i="40"/>
  <c r="Z22" i="40"/>
  <c r="Z24" i="40"/>
  <c r="Z21" i="41"/>
  <c r="X25" i="41"/>
  <c r="X29" i="41"/>
  <c r="X33" i="41"/>
  <c r="X34" i="41"/>
  <c r="V33" i="43"/>
  <c r="V22" i="43"/>
  <c r="V25" i="43"/>
  <c r="V24" i="43"/>
  <c r="V21" i="43"/>
  <c r="V34" i="43"/>
  <c r="V20" i="43"/>
  <c r="V18" i="43"/>
  <c r="V16" i="43"/>
  <c r="V27" i="43"/>
  <c r="T18" i="43"/>
  <c r="V15" i="43"/>
  <c r="V29" i="43"/>
  <c r="V36" i="43"/>
  <c r="V31" i="43"/>
  <c r="Z12" i="43"/>
  <c r="L15" i="43"/>
  <c r="L29" i="43"/>
  <c r="Z33" i="43"/>
  <c r="R24" i="44"/>
  <c r="R22" i="44"/>
  <c r="R20" i="44"/>
  <c r="R18" i="44"/>
  <c r="R16" i="44"/>
  <c r="P18" i="44"/>
  <c r="R15" i="44"/>
  <c r="R36" i="44"/>
  <c r="R34" i="44"/>
  <c r="R33" i="44"/>
  <c r="R31" i="44"/>
  <c r="R25" i="44"/>
  <c r="R29" i="44"/>
  <c r="R27" i="44"/>
  <c r="X12" i="44"/>
  <c r="R21" i="44"/>
  <c r="X22" i="44"/>
  <c r="Z25" i="44"/>
  <c r="L33" i="46"/>
  <c r="L15" i="47"/>
  <c r="Z21" i="47"/>
  <c r="F24" i="50"/>
  <c r="F22" i="50"/>
  <c r="F21" i="50"/>
  <c r="F33" i="50"/>
  <c r="F27" i="50"/>
  <c r="F18" i="50"/>
  <c r="D18" i="50"/>
  <c r="F34" i="50"/>
  <c r="F29" i="50"/>
  <c r="F20" i="50"/>
  <c r="F15" i="50"/>
  <c r="L12" i="50"/>
  <c r="F16" i="50"/>
  <c r="F25" i="50"/>
  <c r="F36" i="50"/>
  <c r="F31" i="50"/>
  <c r="V24" i="40"/>
  <c r="V22" i="40"/>
  <c r="V21" i="40"/>
  <c r="V20" i="40"/>
  <c r="V18" i="40"/>
  <c r="V16" i="40"/>
  <c r="T18" i="40"/>
  <c r="V15" i="40"/>
  <c r="V36" i="40"/>
  <c r="V34" i="40"/>
  <c r="V33" i="40"/>
  <c r="V31" i="40"/>
  <c r="V29" i="40"/>
  <c r="V27" i="40"/>
  <c r="V25" i="40"/>
  <c r="Z12" i="40"/>
  <c r="L15" i="40"/>
  <c r="Z25" i="40"/>
  <c r="Z29" i="40"/>
  <c r="Z33" i="40"/>
  <c r="Z34" i="40"/>
  <c r="R36" i="41"/>
  <c r="R34" i="41"/>
  <c r="R33" i="41"/>
  <c r="R31" i="41"/>
  <c r="R29" i="41"/>
  <c r="R27" i="41"/>
  <c r="R25" i="41"/>
  <c r="R24" i="41"/>
  <c r="R22" i="41"/>
  <c r="R21" i="41"/>
  <c r="R20" i="41"/>
  <c r="R18" i="41"/>
  <c r="R16" i="41"/>
  <c r="R15" i="41"/>
  <c r="X12" i="41"/>
  <c r="P18" i="41"/>
  <c r="Z22" i="41"/>
  <c r="Z24" i="41"/>
  <c r="L16" i="43"/>
  <c r="L20" i="43"/>
  <c r="N29" i="43"/>
  <c r="V20" i="44"/>
  <c r="V18" i="44"/>
  <c r="V16" i="44"/>
  <c r="V25" i="44"/>
  <c r="V15" i="44"/>
  <c r="V34" i="44"/>
  <c r="V29" i="44"/>
  <c r="V33" i="44"/>
  <c r="V24" i="44"/>
  <c r="V27" i="44"/>
  <c r="V21" i="44"/>
  <c r="V22" i="44"/>
  <c r="T18" i="44"/>
  <c r="V36" i="44"/>
  <c r="V31" i="44"/>
  <c r="Z12" i="44"/>
  <c r="Z22" i="44"/>
  <c r="L20" i="53"/>
  <c r="N16" i="46"/>
  <c r="N20" i="46"/>
  <c r="N24" i="46"/>
  <c r="Z29" i="46"/>
  <c r="L16" i="47"/>
  <c r="X20" i="47"/>
  <c r="Z22" i="47"/>
  <c r="L22" i="49"/>
  <c r="Z24" i="49"/>
  <c r="L21" i="50"/>
  <c r="X33" i="50"/>
  <c r="N21" i="52"/>
  <c r="Z24" i="52"/>
  <c r="L25" i="53"/>
  <c r="X15" i="46"/>
  <c r="X24" i="46"/>
  <c r="N33" i="46"/>
  <c r="Z12" i="47"/>
  <c r="V36" i="47"/>
  <c r="V34" i="47"/>
  <c r="V33" i="47"/>
  <c r="V24" i="47"/>
  <c r="V27" i="47"/>
  <c r="V15" i="47"/>
  <c r="V16" i="47"/>
  <c r="V29" i="47"/>
  <c r="V18" i="47"/>
  <c r="V31" i="47"/>
  <c r="T18" i="47"/>
  <c r="V20" i="47"/>
  <c r="V21" i="47"/>
  <c r="V25" i="47"/>
  <c r="V22" i="47"/>
  <c r="L24" i="47"/>
  <c r="X29" i="47"/>
  <c r="L34" i="47"/>
  <c r="L21" i="49"/>
  <c r="X33" i="49"/>
  <c r="Z16" i="50"/>
  <c r="L20" i="50"/>
  <c r="R24" i="52"/>
  <c r="R22" i="52"/>
  <c r="R21" i="52"/>
  <c r="R20" i="52"/>
  <c r="R18" i="52"/>
  <c r="R16" i="52"/>
  <c r="P18" i="52"/>
  <c r="R15" i="52"/>
  <c r="X12" i="52"/>
  <c r="R36" i="52"/>
  <c r="R27" i="52"/>
  <c r="R31" i="52"/>
  <c r="R34" i="52"/>
  <c r="R25" i="52"/>
  <c r="R29" i="52"/>
  <c r="R33" i="52"/>
  <c r="L25" i="52"/>
  <c r="L16" i="53"/>
  <c r="N20" i="53"/>
  <c r="L24" i="44"/>
  <c r="F24" i="46"/>
  <c r="F20" i="46"/>
  <c r="F18" i="46"/>
  <c r="F16" i="46"/>
  <c r="F27" i="46"/>
  <c r="F29" i="46"/>
  <c r="L12" i="46"/>
  <c r="F31" i="46"/>
  <c r="F34" i="46"/>
  <c r="F22" i="46"/>
  <c r="F21" i="46"/>
  <c r="F33" i="46"/>
  <c r="D18" i="46"/>
  <c r="F25" i="46"/>
  <c r="F15" i="46"/>
  <c r="F36" i="46"/>
  <c r="X16" i="46"/>
  <c r="X20" i="46"/>
  <c r="Z25" i="46"/>
  <c r="X34" i="46"/>
  <c r="X16" i="47"/>
  <c r="N16" i="49"/>
  <c r="Z22" i="49"/>
  <c r="N15" i="50"/>
  <c r="Z21" i="50"/>
  <c r="X25" i="50"/>
  <c r="L22" i="52"/>
  <c r="L34" i="52"/>
  <c r="L13" i="44"/>
  <c r="N21" i="44"/>
  <c r="L25" i="44"/>
  <c r="L29" i="44"/>
  <c r="L33" i="44"/>
  <c r="L34" i="44"/>
  <c r="J36" i="46"/>
  <c r="J34" i="46"/>
  <c r="J33" i="46"/>
  <c r="J31" i="46"/>
  <c r="J29" i="46"/>
  <c r="J27" i="46"/>
  <c r="J25" i="46"/>
  <c r="N12" i="46"/>
  <c r="H18" i="46"/>
  <c r="J15" i="46"/>
  <c r="J24" i="46"/>
  <c r="J18" i="46"/>
  <c r="J22" i="46"/>
  <c r="J16" i="46"/>
  <c r="J21" i="46"/>
  <c r="J20" i="46"/>
  <c r="X13" i="46"/>
  <c r="Z15" i="46"/>
  <c r="X21" i="46"/>
  <c r="X22" i="46"/>
  <c r="Z24" i="46"/>
  <c r="L29" i="46"/>
  <c r="L22" i="47"/>
  <c r="N24" i="47"/>
  <c r="Z29" i="47"/>
  <c r="L15" i="49"/>
  <c r="N25" i="49"/>
  <c r="Z33" i="49"/>
  <c r="R20" i="50"/>
  <c r="R18" i="50"/>
  <c r="R16" i="50"/>
  <c r="P18" i="50"/>
  <c r="R34" i="50"/>
  <c r="R29" i="50"/>
  <c r="R24" i="50"/>
  <c r="X12" i="50"/>
  <c r="R15" i="50"/>
  <c r="R36" i="50"/>
  <c r="R31" i="50"/>
  <c r="R25" i="50"/>
  <c r="R21" i="50"/>
  <c r="R22" i="50"/>
  <c r="R33" i="50"/>
  <c r="R27" i="50"/>
  <c r="N24" i="50"/>
  <c r="N16" i="52"/>
  <c r="N20" i="52"/>
  <c r="N16" i="53"/>
  <c r="N24" i="44"/>
  <c r="Z13" i="46"/>
  <c r="Z16" i="46"/>
  <c r="Z20" i="46"/>
  <c r="X33" i="46"/>
  <c r="Z34" i="46"/>
  <c r="L13" i="47"/>
  <c r="Z16" i="47"/>
  <c r="L33" i="47"/>
  <c r="J36" i="49"/>
  <c r="J34" i="49"/>
  <c r="J33" i="49"/>
  <c r="J31" i="49"/>
  <c r="J29" i="49"/>
  <c r="J27" i="49"/>
  <c r="J25" i="49"/>
  <c r="J21" i="49"/>
  <c r="J20" i="49"/>
  <c r="J18" i="49"/>
  <c r="J16" i="49"/>
  <c r="J24" i="49"/>
  <c r="J15" i="49"/>
  <c r="N12" i="49"/>
  <c r="H18" i="49"/>
  <c r="J22" i="49"/>
  <c r="L20" i="49"/>
  <c r="X21" i="49"/>
  <c r="V34" i="50"/>
  <c r="V29" i="50"/>
  <c r="T18" i="50"/>
  <c r="V24" i="50"/>
  <c r="V20" i="50"/>
  <c r="Z12" i="50"/>
  <c r="V36" i="50"/>
  <c r="V31" i="50"/>
  <c r="V25" i="50"/>
  <c r="V15" i="50"/>
  <c r="V21" i="50"/>
  <c r="V16" i="50"/>
  <c r="V33" i="50"/>
  <c r="V27" i="50"/>
  <c r="V18" i="50"/>
  <c r="V22" i="50"/>
  <c r="X20" i="50"/>
  <c r="Z25" i="50"/>
  <c r="L13" i="52"/>
  <c r="N22" i="52"/>
  <c r="L24" i="53"/>
  <c r="X15" i="44"/>
  <c r="N25" i="44"/>
  <c r="N29" i="44"/>
  <c r="N33" i="44"/>
  <c r="N34" i="44"/>
  <c r="Z21" i="46"/>
  <c r="Z22" i="46"/>
  <c r="N29" i="46"/>
  <c r="N13" i="47"/>
  <c r="Z15" i="47"/>
  <c r="N22" i="47"/>
  <c r="X25" i="47"/>
  <c r="N15" i="49"/>
  <c r="Z21" i="49"/>
  <c r="X25" i="49"/>
  <c r="Z20" i="50"/>
  <c r="X24" i="50"/>
  <c r="N13" i="52"/>
  <c r="Z22" i="52"/>
  <c r="L21" i="53"/>
  <c r="F36" i="44"/>
  <c r="F34" i="44"/>
  <c r="F33" i="44"/>
  <c r="F31" i="44"/>
  <c r="F29" i="44"/>
  <c r="F27" i="44"/>
  <c r="F25" i="44"/>
  <c r="F24" i="44"/>
  <c r="F22" i="44"/>
  <c r="F18" i="44"/>
  <c r="D18" i="44"/>
  <c r="L12" i="44"/>
  <c r="F15" i="44"/>
  <c r="F20" i="44"/>
  <c r="F16" i="44"/>
  <c r="F21" i="44"/>
  <c r="X16" i="44"/>
  <c r="X20" i="44"/>
  <c r="R29" i="46"/>
  <c r="R31" i="46"/>
  <c r="R33" i="46"/>
  <c r="R22" i="46"/>
  <c r="R21" i="46"/>
  <c r="R34" i="46"/>
  <c r="R20" i="46"/>
  <c r="R18" i="46"/>
  <c r="R16" i="46"/>
  <c r="R24" i="46"/>
  <c r="P18" i="46"/>
  <c r="R15" i="46"/>
  <c r="R36" i="46"/>
  <c r="R25" i="46"/>
  <c r="R27" i="46"/>
  <c r="X12" i="46"/>
  <c r="Z33" i="46"/>
  <c r="L20" i="47"/>
  <c r="N21" i="47"/>
  <c r="X24" i="47"/>
  <c r="X34" i="47"/>
  <c r="R21" i="49"/>
  <c r="P18" i="49"/>
  <c r="R15" i="49"/>
  <c r="R24" i="49"/>
  <c r="R36" i="49"/>
  <c r="R31" i="49"/>
  <c r="R25" i="49"/>
  <c r="R16" i="49"/>
  <c r="R33" i="49"/>
  <c r="R27" i="49"/>
  <c r="R22" i="49"/>
  <c r="R34" i="49"/>
  <c r="R29" i="49"/>
  <c r="R20" i="49"/>
  <c r="R18" i="49"/>
  <c r="X12" i="49"/>
  <c r="N20" i="49"/>
  <c r="L24" i="49"/>
  <c r="X29" i="50"/>
  <c r="X34" i="50"/>
  <c r="Z13" i="52"/>
  <c r="Z16" i="52"/>
  <c r="Z20" i="52"/>
  <c r="L13" i="53"/>
  <c r="L33" i="53"/>
  <c r="N12" i="44"/>
  <c r="J36" i="44"/>
  <c r="J34" i="44"/>
  <c r="J33" i="44"/>
  <c r="J31" i="44"/>
  <c r="J29" i="44"/>
  <c r="J27" i="44"/>
  <c r="J25" i="44"/>
  <c r="J24" i="44"/>
  <c r="J22" i="44"/>
  <c r="J20" i="44"/>
  <c r="J18" i="44"/>
  <c r="J16" i="44"/>
  <c r="H18" i="44"/>
  <c r="J15" i="44"/>
  <c r="J21" i="44"/>
  <c r="X13" i="44"/>
  <c r="Z15" i="44"/>
  <c r="X21" i="44"/>
  <c r="V31" i="46"/>
  <c r="Z12" i="46"/>
  <c r="V33" i="46"/>
  <c r="V22" i="46"/>
  <c r="V21" i="46"/>
  <c r="V34" i="46"/>
  <c r="V20" i="46"/>
  <c r="V18" i="46"/>
  <c r="V16" i="46"/>
  <c r="V24" i="46"/>
  <c r="T18" i="46"/>
  <c r="V15" i="46"/>
  <c r="V36" i="46"/>
  <c r="V25" i="46"/>
  <c r="V27" i="46"/>
  <c r="V29" i="46"/>
  <c r="L15" i="46"/>
  <c r="L25" i="46"/>
  <c r="X13" i="47"/>
  <c r="N20" i="47"/>
  <c r="Z25" i="47"/>
  <c r="T18" i="49"/>
  <c r="V15" i="49"/>
  <c r="V20" i="49"/>
  <c r="Z12" i="49"/>
  <c r="V21" i="49"/>
  <c r="V16" i="49"/>
  <c r="V33" i="49"/>
  <c r="V27" i="49"/>
  <c r="V22" i="49"/>
  <c r="V18" i="49"/>
  <c r="V36" i="49"/>
  <c r="V25" i="49"/>
  <c r="V34" i="49"/>
  <c r="V24" i="49"/>
  <c r="V31" i="49"/>
  <c r="V29" i="49"/>
  <c r="X15" i="49"/>
  <c r="Z25" i="49"/>
  <c r="N29" i="49"/>
  <c r="N34" i="49"/>
  <c r="N13" i="50"/>
  <c r="N22" i="50"/>
  <c r="Z24" i="50"/>
  <c r="L24" i="52"/>
  <c r="N21" i="53"/>
  <c r="X33" i="53"/>
  <c r="Z29" i="50"/>
  <c r="Z34" i="50"/>
  <c r="N15" i="52"/>
  <c r="L21" i="52"/>
  <c r="Z21" i="53"/>
  <c r="L29" i="53"/>
  <c r="Z24" i="43"/>
  <c r="Z21" i="44"/>
  <c r="X25" i="44"/>
  <c r="X29" i="44"/>
  <c r="X33" i="44"/>
  <c r="X34" i="44"/>
  <c r="N15" i="46"/>
  <c r="L21" i="46"/>
  <c r="N25" i="46"/>
  <c r="L34" i="46"/>
  <c r="J24" i="47"/>
  <c r="J22" i="47"/>
  <c r="H18" i="47"/>
  <c r="J21" i="47"/>
  <c r="J33" i="47"/>
  <c r="J34" i="47"/>
  <c r="J25" i="47"/>
  <c r="J15" i="47"/>
  <c r="J29" i="47"/>
  <c r="J18" i="47"/>
  <c r="J36" i="47"/>
  <c r="J27" i="47"/>
  <c r="N12" i="47"/>
  <c r="J20" i="47"/>
  <c r="J16" i="47"/>
  <c r="J31" i="47"/>
  <c r="X21" i="47"/>
  <c r="X33" i="47"/>
  <c r="X29" i="49"/>
  <c r="X34" i="49"/>
  <c r="Z13" i="50"/>
  <c r="L16" i="50"/>
  <c r="X22" i="50"/>
  <c r="N24" i="52"/>
  <c r="L33" i="52"/>
  <c r="N15" i="53"/>
  <c r="X29" i="53"/>
  <c r="L16" i="52"/>
  <c r="L20" i="52"/>
  <c r="V21" i="53"/>
  <c r="T18" i="53"/>
  <c r="V15" i="53"/>
  <c r="V24" i="53"/>
  <c r="V22" i="53"/>
  <c r="V33" i="53"/>
  <c r="V36" i="53"/>
  <c r="V27" i="53"/>
  <c r="V16" i="53"/>
  <c r="Z12" i="53"/>
  <c r="V31" i="53"/>
  <c r="V20" i="53"/>
  <c r="V34" i="53"/>
  <c r="V29" i="53"/>
  <c r="V18" i="53"/>
  <c r="V25" i="53"/>
  <c r="L15" i="53"/>
  <c r="Z25" i="53"/>
  <c r="Z29" i="53"/>
  <c r="Z33" i="53"/>
  <c r="Z34" i="53"/>
  <c r="X15" i="52"/>
  <c r="N25" i="52"/>
  <c r="N29" i="52"/>
  <c r="N33" i="52"/>
  <c r="N34" i="52"/>
  <c r="N13" i="53"/>
  <c r="N22" i="53"/>
  <c r="N24" i="53"/>
  <c r="L13" i="49"/>
  <c r="N21" i="49"/>
  <c r="L25" i="49"/>
  <c r="L29" i="49"/>
  <c r="L33" i="49"/>
  <c r="L34" i="49"/>
  <c r="N16" i="50"/>
  <c r="N20" i="50"/>
  <c r="L22" i="50"/>
  <c r="L24" i="50"/>
  <c r="D18" i="52"/>
  <c r="F15" i="52"/>
  <c r="F21" i="52"/>
  <c r="F36" i="52"/>
  <c r="F24" i="52"/>
  <c r="F18" i="52"/>
  <c r="F27" i="52"/>
  <c r="F31" i="52"/>
  <c r="F34" i="52"/>
  <c r="F22" i="52"/>
  <c r="F25" i="52"/>
  <c r="F20" i="52"/>
  <c r="F16" i="52"/>
  <c r="F33" i="52"/>
  <c r="L12" i="52"/>
  <c r="F29" i="52"/>
  <c r="X16" i="52"/>
  <c r="X20" i="52"/>
  <c r="X15" i="53"/>
  <c r="N25" i="53"/>
  <c r="N29" i="53"/>
  <c r="N33" i="53"/>
  <c r="N34" i="53"/>
  <c r="L22" i="46"/>
  <c r="L24" i="46"/>
  <c r="N15" i="47"/>
  <c r="L21" i="47"/>
  <c r="N13" i="49"/>
  <c r="N22" i="49"/>
  <c r="N24" i="49"/>
  <c r="L13" i="50"/>
  <c r="N21" i="50"/>
  <c r="L25" i="50"/>
  <c r="L29" i="50"/>
  <c r="L33" i="50"/>
  <c r="L34" i="50"/>
  <c r="N12" i="52"/>
  <c r="J36" i="52"/>
  <c r="J34" i="52"/>
  <c r="J33" i="52"/>
  <c r="J31" i="52"/>
  <c r="J29" i="52"/>
  <c r="J27" i="52"/>
  <c r="J25" i="52"/>
  <c r="J24" i="52"/>
  <c r="J22" i="52"/>
  <c r="H18" i="52"/>
  <c r="J15" i="52"/>
  <c r="J20" i="52"/>
  <c r="J16" i="52"/>
  <c r="J18" i="52"/>
  <c r="J21" i="52"/>
  <c r="X13" i="52"/>
  <c r="Z15" i="52"/>
  <c r="X21" i="52"/>
  <c r="L12" i="53"/>
  <c r="F36" i="53"/>
  <c r="F34" i="53"/>
  <c r="F33" i="53"/>
  <c r="F31" i="53"/>
  <c r="F29" i="53"/>
  <c r="F27" i="53"/>
  <c r="F25" i="53"/>
  <c r="F15" i="53"/>
  <c r="F18" i="53"/>
  <c r="F21" i="53"/>
  <c r="D18" i="53"/>
  <c r="F24" i="53"/>
  <c r="F16" i="53"/>
  <c r="F22" i="53"/>
  <c r="F20" i="53"/>
  <c r="X16" i="53"/>
  <c r="X20" i="53"/>
  <c r="X22" i="52"/>
  <c r="X24" i="52"/>
  <c r="J36" i="53"/>
  <c r="J34" i="53"/>
  <c r="J33" i="53"/>
  <c r="J31" i="53"/>
  <c r="J29" i="53"/>
  <c r="J27" i="53"/>
  <c r="J25" i="53"/>
  <c r="J24" i="53"/>
  <c r="J22" i="53"/>
  <c r="J21" i="53"/>
  <c r="J18" i="53"/>
  <c r="H18" i="53"/>
  <c r="J16" i="53"/>
  <c r="J20" i="53"/>
  <c r="N12" i="53"/>
  <c r="J15" i="53"/>
  <c r="X13" i="53"/>
  <c r="Z15" i="53"/>
  <c r="X21" i="53"/>
  <c r="L12" i="49"/>
  <c r="F36" i="49"/>
  <c r="F34" i="49"/>
  <c r="F33" i="49"/>
  <c r="F31" i="49"/>
  <c r="F29" i="49"/>
  <c r="F27" i="49"/>
  <c r="F25" i="49"/>
  <c r="F24" i="49"/>
  <c r="F22" i="49"/>
  <c r="F18" i="49"/>
  <c r="F20" i="49"/>
  <c r="F15" i="49"/>
  <c r="F21" i="49"/>
  <c r="F16" i="49"/>
  <c r="D18" i="49"/>
  <c r="X16" i="49"/>
  <c r="X20" i="49"/>
  <c r="X15" i="50"/>
  <c r="N25" i="50"/>
  <c r="N29" i="50"/>
  <c r="N33" i="50"/>
  <c r="N34" i="50"/>
  <c r="Z21" i="52"/>
  <c r="X25" i="52"/>
  <c r="X29" i="52"/>
  <c r="X33" i="52"/>
  <c r="X34" i="52"/>
  <c r="Z13" i="53"/>
  <c r="Z16" i="53"/>
  <c r="Z20" i="53"/>
  <c r="X22" i="53"/>
  <c r="X24" i="53"/>
  <c r="X15" i="47"/>
  <c r="N25" i="47"/>
  <c r="N29" i="47"/>
  <c r="N33" i="47"/>
  <c r="N34" i="47"/>
  <c r="Z13" i="49"/>
  <c r="Z16" i="49"/>
  <c r="Z20" i="49"/>
  <c r="X22" i="49"/>
  <c r="X24" i="49"/>
  <c r="J24" i="50"/>
  <c r="J22" i="50"/>
  <c r="J20" i="50"/>
  <c r="J18" i="50"/>
  <c r="J16" i="50"/>
  <c r="H18" i="50"/>
  <c r="J15" i="50"/>
  <c r="J33" i="50"/>
  <c r="J27" i="50"/>
  <c r="J34" i="50"/>
  <c r="J29" i="50"/>
  <c r="N12" i="50"/>
  <c r="J25" i="50"/>
  <c r="J36" i="50"/>
  <c r="J21" i="50"/>
  <c r="J31" i="50"/>
  <c r="X13" i="50"/>
  <c r="Z15" i="50"/>
  <c r="X21" i="50"/>
  <c r="V24" i="52"/>
  <c r="V22" i="52"/>
  <c r="V20" i="52"/>
  <c r="V18" i="52"/>
  <c r="V16" i="52"/>
  <c r="V36" i="52"/>
  <c r="V34" i="52"/>
  <c r="V33" i="52"/>
  <c r="V31" i="52"/>
  <c r="V29" i="52"/>
  <c r="V27" i="52"/>
  <c r="V25" i="52"/>
  <c r="Z12" i="52"/>
  <c r="T18" i="52"/>
  <c r="V15" i="52"/>
  <c r="V21" i="52"/>
  <c r="L15" i="52"/>
  <c r="Z25" i="52"/>
  <c r="Z29" i="52"/>
  <c r="Z33" i="52"/>
  <c r="Z34" i="52"/>
  <c r="R36" i="53"/>
  <c r="R34" i="53"/>
  <c r="R33" i="53"/>
  <c r="R31" i="53"/>
  <c r="R29" i="53"/>
  <c r="R27" i="53"/>
  <c r="R25" i="53"/>
  <c r="R21" i="53"/>
  <c r="R20" i="53"/>
  <c r="R18" i="53"/>
  <c r="R16" i="53"/>
  <c r="P18" i="53"/>
  <c r="R15" i="53"/>
  <c r="R24" i="53"/>
  <c r="X12" i="53"/>
  <c r="R22" i="53"/>
  <c r="Z22" i="53"/>
  <c r="Z24" i="53"/>
  <c r="T18" i="111"/>
  <c r="V15" i="111"/>
  <c r="Z12" i="111"/>
  <c r="V36" i="111"/>
  <c r="V34" i="111"/>
  <c r="V33" i="111"/>
  <c r="V31" i="111"/>
  <c r="V29" i="111"/>
  <c r="V27" i="111"/>
  <c r="V25" i="111"/>
  <c r="V20" i="111"/>
  <c r="V18" i="111"/>
  <c r="V16" i="111"/>
  <c r="V22" i="111"/>
  <c r="V21" i="111"/>
  <c r="V24" i="111"/>
  <c r="J21" i="113"/>
  <c r="J20" i="113"/>
  <c r="J18" i="113"/>
  <c r="J16" i="113"/>
  <c r="H18" i="113"/>
  <c r="J15" i="113"/>
  <c r="N12" i="113"/>
  <c r="J24" i="113"/>
  <c r="J22" i="113"/>
  <c r="J36" i="113"/>
  <c r="J29" i="113"/>
  <c r="J34" i="113"/>
  <c r="J27" i="113"/>
  <c r="J33" i="113"/>
  <c r="J25" i="113"/>
  <c r="J31" i="113"/>
  <c r="R21" i="111"/>
  <c r="R20" i="111"/>
  <c r="R18" i="111"/>
  <c r="R16" i="111"/>
  <c r="P18" i="111"/>
  <c r="R15" i="111"/>
  <c r="X12" i="111"/>
  <c r="R24" i="111"/>
  <c r="R22" i="111"/>
  <c r="R36" i="111"/>
  <c r="R29" i="111"/>
  <c r="R34" i="111"/>
  <c r="R27" i="111"/>
  <c r="R33" i="111"/>
  <c r="R25" i="111"/>
  <c r="R31" i="111"/>
  <c r="Z24" i="111"/>
  <c r="X24" i="112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N20" i="111"/>
  <c r="L20" i="112"/>
  <c r="X12" i="113"/>
  <c r="R24" i="113"/>
  <c r="R22" i="113"/>
  <c r="R21" i="113"/>
  <c r="R36" i="113"/>
  <c r="R29" i="113"/>
  <c r="R16" i="113"/>
  <c r="R34" i="113"/>
  <c r="R27" i="113"/>
  <c r="R15" i="113"/>
  <c r="R33" i="113"/>
  <c r="R25" i="113"/>
  <c r="R20" i="113"/>
  <c r="R31" i="113"/>
  <c r="P18" i="113"/>
  <c r="R18" i="113"/>
  <c r="Z24" i="113"/>
  <c r="Z13" i="112"/>
  <c r="Z20" i="112"/>
  <c r="X20" i="113"/>
  <c r="L15" i="111"/>
  <c r="Z25" i="111"/>
  <c r="Z33" i="111"/>
  <c r="X25" i="112"/>
  <c r="X33" i="112"/>
  <c r="X13" i="113"/>
  <c r="Z34" i="111"/>
  <c r="Z21" i="112"/>
  <c r="X34" i="112"/>
  <c r="Z15" i="113"/>
  <c r="X21" i="113"/>
  <c r="N16" i="111"/>
  <c r="L22" i="111"/>
  <c r="L16" i="112"/>
  <c r="Z22" i="111"/>
  <c r="Z16" i="112"/>
  <c r="X22" i="112"/>
  <c r="X16" i="113"/>
  <c r="Z29" i="111"/>
  <c r="X29" i="112"/>
  <c r="L24" i="111"/>
  <c r="Z22" i="113"/>
  <c r="Z21" i="111"/>
  <c r="X25" i="111"/>
  <c r="X29" i="111"/>
  <c r="X33" i="111"/>
  <c r="X34" i="111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X13" i="112"/>
  <c r="Z15" i="112"/>
  <c r="X21" i="112"/>
  <c r="X15" i="113"/>
  <c r="N25" i="113"/>
  <c r="N29" i="113"/>
  <c r="N33" i="113"/>
  <c r="N34" i="113"/>
  <c r="L16" i="111"/>
  <c r="L20" i="111"/>
  <c r="P18" i="112"/>
  <c r="R15" i="112"/>
  <c r="R36" i="112"/>
  <c r="R34" i="112"/>
  <c r="R33" i="112"/>
  <c r="R31" i="112"/>
  <c r="R29" i="112"/>
  <c r="R27" i="112"/>
  <c r="R25" i="112"/>
  <c r="R20" i="112"/>
  <c r="R18" i="112"/>
  <c r="R16" i="112"/>
  <c r="R22" i="112"/>
  <c r="R21" i="112"/>
  <c r="X12" i="112"/>
  <c r="R24" i="112"/>
  <c r="Z22" i="112"/>
  <c r="Z24" i="112"/>
  <c r="Z13" i="113"/>
  <c r="Z16" i="113"/>
  <c r="Z20" i="113"/>
  <c r="X22" i="113"/>
  <c r="X24" i="113"/>
  <c r="N15" i="111"/>
  <c r="L21" i="111"/>
  <c r="Z12" i="112"/>
  <c r="V24" i="112"/>
  <c r="V22" i="112"/>
  <c r="V21" i="112"/>
  <c r="V36" i="112"/>
  <c r="V29" i="112"/>
  <c r="V16" i="112"/>
  <c r="V34" i="112"/>
  <c r="V27" i="112"/>
  <c r="V15" i="112"/>
  <c r="V33" i="112"/>
  <c r="V25" i="112"/>
  <c r="V20" i="112"/>
  <c r="V31" i="112"/>
  <c r="T18" i="112"/>
  <c r="V18" i="112"/>
  <c r="L15" i="112"/>
  <c r="Z25" i="112"/>
  <c r="Z29" i="112"/>
  <c r="Z33" i="112"/>
  <c r="Z34" i="112"/>
  <c r="Z21" i="113"/>
  <c r="X25" i="113"/>
  <c r="X29" i="113"/>
  <c r="X33" i="113"/>
  <c r="X3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0" i="113"/>
  <c r="V18" i="113"/>
  <c r="V16" i="113"/>
  <c r="T18" i="113"/>
  <c r="V15" i="113"/>
  <c r="V21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F20" i="111"/>
  <c r="F18" i="111"/>
  <c r="F16" i="111"/>
  <c r="D18" i="111"/>
  <c r="F15" i="111"/>
  <c r="F21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N12" i="111"/>
  <c r="H18" i="111"/>
  <c r="J15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N13" i="113"/>
  <c r="N22" i="113"/>
  <c r="N24" i="113"/>
  <c r="R282" i="3"/>
  <c r="R279" i="3"/>
  <c r="R272" i="3"/>
  <c r="R271" i="3"/>
  <c r="R255" i="3"/>
  <c r="R216" i="3"/>
  <c r="R215" i="3"/>
  <c r="R208" i="3"/>
  <c r="R207" i="3"/>
  <c r="R188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135" i="3"/>
  <c r="R131" i="3"/>
  <c r="R266" i="3"/>
  <c r="R262" i="3"/>
  <c r="R251" i="3"/>
  <c r="R250" i="3"/>
  <c r="R235" i="3"/>
  <c r="R234" i="3"/>
  <c r="R226" i="3"/>
  <c r="R202" i="3"/>
  <c r="R187" i="3"/>
  <c r="R274" i="3"/>
  <c r="R273" i="3"/>
  <c r="R245" i="3"/>
  <c r="R217" i="3"/>
  <c r="R210" i="3"/>
  <c r="R209" i="3"/>
  <c r="R198" i="3"/>
  <c r="R197" i="3"/>
  <c r="R193" i="3"/>
  <c r="R189" i="3"/>
  <c r="P185" i="3"/>
  <c r="R185" i="3" s="1"/>
  <c r="R291" i="3"/>
  <c r="R257" i="3"/>
  <c r="R256" i="3"/>
  <c r="R252" i="3"/>
  <c r="R237" i="3"/>
  <c r="R236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132" i="3"/>
  <c r="R289" i="3"/>
  <c r="R258" i="3"/>
  <c r="R247" i="3"/>
  <c r="R246" i="3"/>
  <c r="R239" i="3"/>
  <c r="R238" i="3"/>
  <c r="R219" i="3"/>
  <c r="R218" i="3"/>
  <c r="R194" i="3"/>
  <c r="R190" i="3"/>
  <c r="R295" i="3"/>
  <c r="R288" i="3"/>
  <c r="R253" i="3"/>
  <c r="R229" i="3"/>
  <c r="R213" i="3"/>
  <c r="R181" i="3"/>
  <c r="R177" i="3"/>
  <c r="R173" i="3"/>
  <c r="R169" i="3"/>
  <c r="R165" i="3"/>
  <c r="R161" i="3"/>
  <c r="R157" i="3"/>
  <c r="R153" i="3"/>
  <c r="R149" i="3"/>
  <c r="R145" i="3"/>
  <c r="R141" i="3"/>
  <c r="R137" i="3"/>
  <c r="R133" i="3"/>
  <c r="R129" i="3"/>
  <c r="R300" i="3"/>
  <c r="R299" i="3"/>
  <c r="R287" i="3"/>
  <c r="R276" i="3"/>
  <c r="R269" i="3"/>
  <c r="R268" i="3"/>
  <c r="R264" i="3"/>
  <c r="R248" i="3"/>
  <c r="R241" i="3"/>
  <c r="R240" i="3"/>
  <c r="R221" i="3"/>
  <c r="R220" i="3"/>
  <c r="R204" i="3"/>
  <c r="R200" i="3"/>
  <c r="R286" i="3"/>
  <c r="R260" i="3"/>
  <c r="R259" i="3"/>
  <c r="R195" i="3"/>
  <c r="R191" i="3"/>
  <c r="R285" i="3"/>
  <c r="R270" i="3"/>
  <c r="R254" i="3"/>
  <c r="R243" i="3"/>
  <c r="R242" i="3"/>
  <c r="R231" i="3"/>
  <c r="R230" i="3"/>
  <c r="R223" i="3"/>
  <c r="R222" i="3"/>
  <c r="R214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134" i="3"/>
  <c r="R130" i="3"/>
  <c r="R283" i="3"/>
  <c r="R244" i="3"/>
  <c r="R233" i="3"/>
  <c r="R232" i="3"/>
  <c r="R225" i="3"/>
  <c r="R224" i="3"/>
  <c r="R196" i="3"/>
  <c r="R192" i="3"/>
  <c r="R290" i="3"/>
  <c r="R261" i="3"/>
  <c r="R249" i="3"/>
  <c r="R205" i="3"/>
  <c r="R277" i="3"/>
  <c r="R211" i="3"/>
  <c r="R228" i="3"/>
  <c r="R284" i="3"/>
  <c r="R263" i="3"/>
  <c r="R206" i="3"/>
  <c r="R212" i="3"/>
  <c r="R199" i="3"/>
  <c r="X12" i="3"/>
  <c r="Z12" i="3" s="1"/>
  <c r="R278" i="3"/>
  <c r="R265" i="3"/>
  <c r="R267" i="3"/>
  <c r="R201" i="3"/>
  <c r="R203" i="3"/>
  <c r="R128" i="3"/>
  <c r="R275" i="3"/>
  <c r="R227" i="3"/>
  <c r="Z26" i="3"/>
  <c r="Z28" i="3"/>
  <c r="Z56" i="3"/>
  <c r="Z22" i="3"/>
  <c r="Z72" i="3"/>
  <c r="V274" i="3"/>
  <c r="V266" i="3"/>
  <c r="V262" i="3"/>
  <c r="V250" i="3"/>
  <c r="V234" i="3"/>
  <c r="V226" i="3"/>
  <c r="V210" i="3"/>
  <c r="V202" i="3"/>
  <c r="V198" i="3"/>
  <c r="T185" i="3"/>
  <c r="V291" i="3"/>
  <c r="V273" i="3"/>
  <c r="V257" i="3"/>
  <c r="V245" i="3"/>
  <c r="V237" i="3"/>
  <c r="V217" i="3"/>
  <c r="V209" i="3"/>
  <c r="V197" i="3"/>
  <c r="V193" i="3"/>
  <c r="V189" i="3"/>
  <c r="V290" i="3"/>
  <c r="V256" i="3"/>
  <c r="V252" i="3"/>
  <c r="V236" i="3"/>
  <c r="V228" i="3"/>
  <c r="V212" i="3"/>
  <c r="V180" i="3"/>
  <c r="V176" i="3"/>
  <c r="V172" i="3"/>
  <c r="V168" i="3"/>
  <c r="V164" i="3"/>
  <c r="V160" i="3"/>
  <c r="V156" i="3"/>
  <c r="V152" i="3"/>
  <c r="V148" i="3"/>
  <c r="V144" i="3"/>
  <c r="V289" i="3"/>
  <c r="V275" i="3"/>
  <c r="V267" i="3"/>
  <c r="V263" i="3"/>
  <c r="V247" i="3"/>
  <c r="V239" i="3"/>
  <c r="V227" i="3"/>
  <c r="V219" i="3"/>
  <c r="V211" i="3"/>
  <c r="V203" i="3"/>
  <c r="V199" i="3"/>
  <c r="V300" i="3"/>
  <c r="V299" i="3"/>
  <c r="V295" i="3"/>
  <c r="V287" i="3"/>
  <c r="V269" i="3"/>
  <c r="V253" i="3"/>
  <c r="V241" i="3"/>
  <c r="V229" i="3"/>
  <c r="V221" i="3"/>
  <c r="V213" i="3"/>
  <c r="V181" i="3"/>
  <c r="V177" i="3"/>
  <c r="V173" i="3"/>
  <c r="V169" i="3"/>
  <c r="V165" i="3"/>
  <c r="V161" i="3"/>
  <c r="V157" i="3"/>
  <c r="V153" i="3"/>
  <c r="V149" i="3"/>
  <c r="V145" i="3"/>
  <c r="V141" i="3"/>
  <c r="V137" i="3"/>
  <c r="V133" i="3"/>
  <c r="V129" i="3"/>
  <c r="V286" i="3"/>
  <c r="V276" i="3"/>
  <c r="V268" i="3"/>
  <c r="V264" i="3"/>
  <c r="V260" i="3"/>
  <c r="V248" i="3"/>
  <c r="V240" i="3"/>
  <c r="V220" i="3"/>
  <c r="V204" i="3"/>
  <c r="V200" i="3"/>
  <c r="V285" i="3"/>
  <c r="V259" i="3"/>
  <c r="V243" i="3"/>
  <c r="V231" i="3"/>
  <c r="V223" i="3"/>
  <c r="V195" i="3"/>
  <c r="V191" i="3"/>
  <c r="V284" i="3"/>
  <c r="V278" i="3"/>
  <c r="V270" i="3"/>
  <c r="V254" i="3"/>
  <c r="V242" i="3"/>
  <c r="V230" i="3"/>
  <c r="V222" i="3"/>
  <c r="V214" i="3"/>
  <c r="V206" i="3"/>
  <c r="V182" i="3"/>
  <c r="V178" i="3"/>
  <c r="V174" i="3"/>
  <c r="V170" i="3"/>
  <c r="V166" i="3"/>
  <c r="V162" i="3"/>
  <c r="V158" i="3"/>
  <c r="V154" i="3"/>
  <c r="V150" i="3"/>
  <c r="V146" i="3"/>
  <c r="V142" i="3"/>
  <c r="V283" i="3"/>
  <c r="V277" i="3"/>
  <c r="V265" i="3"/>
  <c r="V261" i="3"/>
  <c r="V249" i="3"/>
  <c r="V233" i="3"/>
  <c r="V225" i="3"/>
  <c r="V205" i="3"/>
  <c r="V201" i="3"/>
  <c r="V279" i="3"/>
  <c r="V271" i="3"/>
  <c r="V255" i="3"/>
  <c r="V251" i="3"/>
  <c r="V235" i="3"/>
  <c r="V215" i="3"/>
  <c r="V207" i="3"/>
  <c r="V187" i="3"/>
  <c r="V185" i="3"/>
  <c r="V183" i="3"/>
  <c r="V179" i="3"/>
  <c r="V175" i="3"/>
  <c r="V171" i="3"/>
  <c r="V167" i="3"/>
  <c r="V163" i="3"/>
  <c r="V159" i="3"/>
  <c r="V155" i="3"/>
  <c r="V151" i="3"/>
  <c r="V147" i="3"/>
  <c r="V143" i="3"/>
  <c r="V139" i="3"/>
  <c r="V135" i="3"/>
  <c r="V131" i="3"/>
  <c r="V244" i="3"/>
  <c r="V130" i="3"/>
  <c r="V218" i="3"/>
  <c r="V188" i="3"/>
  <c r="V138" i="3"/>
  <c r="V282" i="3"/>
  <c r="V272" i="3"/>
  <c r="V258" i="3"/>
  <c r="V132" i="3"/>
  <c r="V246" i="3"/>
  <c r="V224" i="3"/>
  <c r="V208" i="3"/>
  <c r="V194" i="3"/>
  <c r="V134" i="3"/>
  <c r="V216" i="3"/>
  <c r="V128" i="3"/>
  <c r="V136" i="3"/>
  <c r="V232" i="3"/>
  <c r="V196" i="3"/>
  <c r="V190" i="3"/>
  <c r="V238" i="3"/>
  <c r="V140" i="3"/>
  <c r="V288" i="3"/>
  <c r="V192" i="3"/>
  <c r="N93" i="3"/>
  <c r="Z44" i="3"/>
  <c r="N89" i="3"/>
  <c r="N35" i="3"/>
  <c r="N55" i="3"/>
  <c r="Z63" i="3"/>
  <c r="Z91" i="3"/>
  <c r="N47" i="3"/>
  <c r="N51" i="3"/>
  <c r="Z87" i="3"/>
  <c r="Z35" i="3"/>
  <c r="Z55" i="3"/>
  <c r="P97" i="9"/>
  <c r="Z14" i="3"/>
  <c r="D12" i="3"/>
  <c r="X14" i="3"/>
  <c r="X18" i="3"/>
  <c r="Z18" i="3" s="1"/>
  <c r="X22" i="3"/>
  <c r="X34" i="3"/>
  <c r="Z34" i="3" s="1"/>
  <c r="X38" i="3"/>
  <c r="Z38" i="3" s="1"/>
  <c r="Z105" i="3"/>
  <c r="Z110" i="3"/>
  <c r="X110" i="3"/>
  <c r="L225" i="3"/>
  <c r="Z231" i="3"/>
  <c r="H281" i="3"/>
  <c r="N285" i="3"/>
  <c r="Z300" i="3"/>
  <c r="F45" i="9"/>
  <c r="F70" i="9"/>
  <c r="Z72" i="9"/>
  <c r="Z43" i="12"/>
  <c r="Z52" i="12"/>
  <c r="N71" i="12"/>
  <c r="Z89" i="12"/>
  <c r="Z240" i="15"/>
  <c r="R87" i="21"/>
  <c r="R77" i="21"/>
  <c r="R96" i="21"/>
  <c r="R88" i="21"/>
  <c r="R84" i="21"/>
  <c r="R69" i="21"/>
  <c r="R68" i="21"/>
  <c r="R57" i="21"/>
  <c r="R56" i="21"/>
  <c r="R98" i="21"/>
  <c r="R89" i="21"/>
  <c r="R85" i="21"/>
  <c r="R50" i="21"/>
  <c r="R49" i="21"/>
  <c r="R102" i="21"/>
  <c r="R73" i="21"/>
  <c r="R72" i="21"/>
  <c r="R61" i="21"/>
  <c r="R60" i="21"/>
  <c r="R91" i="21"/>
  <c r="R90" i="21"/>
  <c r="R86" i="21"/>
  <c r="R75" i="21"/>
  <c r="R74" i="21"/>
  <c r="R63" i="21"/>
  <c r="R62" i="21"/>
  <c r="R93" i="21"/>
  <c r="R92" i="21"/>
  <c r="R76" i="21"/>
  <c r="R65" i="21"/>
  <c r="R64" i="21"/>
  <c r="R36" i="21"/>
  <c r="R32" i="21"/>
  <c r="R94" i="21"/>
  <c r="R83" i="21"/>
  <c r="R55" i="21"/>
  <c r="R51" i="21"/>
  <c r="R47" i="21"/>
  <c r="R48" i="21"/>
  <c r="R42" i="21"/>
  <c r="R23" i="21"/>
  <c r="R81" i="21"/>
  <c r="R70" i="21"/>
  <c r="R52" i="21"/>
  <c r="R37" i="21"/>
  <c r="R33" i="21"/>
  <c r="R58" i="21"/>
  <c r="R24" i="21"/>
  <c r="R95" i="21"/>
  <c r="R66" i="21"/>
  <c r="R43" i="21"/>
  <c r="R79" i="21"/>
  <c r="R71" i="21"/>
  <c r="R39" i="21"/>
  <c r="R38" i="21"/>
  <c r="R34" i="21"/>
  <c r="R59" i="21"/>
  <c r="R53" i="21"/>
  <c r="R30" i="21"/>
  <c r="R25" i="21"/>
  <c r="R67" i="21"/>
  <c r="R44" i="21"/>
  <c r="R40" i="21"/>
  <c r="R29" i="21"/>
  <c r="R82" i="21"/>
  <c r="R35" i="21"/>
  <c r="R31" i="21"/>
  <c r="P27" i="21"/>
  <c r="R78" i="21"/>
  <c r="R54" i="21"/>
  <c r="R46" i="21"/>
  <c r="R45" i="21"/>
  <c r="R41" i="21"/>
  <c r="R80" i="21"/>
  <c r="J286" i="3"/>
  <c r="J270" i="3"/>
  <c r="J260" i="3"/>
  <c r="J254" i="3"/>
  <c r="J242" i="3"/>
  <c r="J230" i="3"/>
  <c r="J222" i="3"/>
  <c r="J214" i="3"/>
  <c r="J182" i="3"/>
  <c r="J178" i="3"/>
  <c r="J174" i="3"/>
  <c r="J170" i="3"/>
  <c r="J166" i="3"/>
  <c r="J162" i="3"/>
  <c r="J158" i="3"/>
  <c r="J154" i="3"/>
  <c r="J150" i="3"/>
  <c r="J146" i="3"/>
  <c r="J142" i="3"/>
  <c r="J138" i="3"/>
  <c r="J134" i="3"/>
  <c r="J130" i="3"/>
  <c r="J285" i="3"/>
  <c r="J277" i="3"/>
  <c r="J265" i="3"/>
  <c r="J261" i="3"/>
  <c r="J249" i="3"/>
  <c r="J243" i="3"/>
  <c r="J231" i="3"/>
  <c r="J223" i="3"/>
  <c r="J205" i="3"/>
  <c r="J201" i="3"/>
  <c r="J284" i="3"/>
  <c r="J278" i="3"/>
  <c r="J244" i="3"/>
  <c r="J232" i="3"/>
  <c r="J224" i="3"/>
  <c r="J206" i="3"/>
  <c r="J196" i="3"/>
  <c r="J192" i="3"/>
  <c r="J283" i="3"/>
  <c r="J279" i="3"/>
  <c r="J271" i="3"/>
  <c r="J255" i="3"/>
  <c r="J233" i="3"/>
  <c r="J225" i="3"/>
  <c r="J215" i="3"/>
  <c r="J207" i="3"/>
  <c r="J183" i="3"/>
  <c r="J179" i="3"/>
  <c r="J175" i="3"/>
  <c r="J171" i="3"/>
  <c r="J167" i="3"/>
  <c r="J163" i="3"/>
  <c r="J159" i="3"/>
  <c r="J155" i="3"/>
  <c r="J151" i="3"/>
  <c r="J147" i="3"/>
  <c r="J143" i="3"/>
  <c r="J139" i="3"/>
  <c r="J135" i="3"/>
  <c r="J131" i="3"/>
  <c r="J281" i="3"/>
  <c r="J273" i="3"/>
  <c r="J251" i="3"/>
  <c r="J245" i="3"/>
  <c r="J235" i="3"/>
  <c r="J217" i="3"/>
  <c r="J209" i="3"/>
  <c r="J197" i="3"/>
  <c r="J193" i="3"/>
  <c r="J189" i="3"/>
  <c r="J187" i="3"/>
  <c r="J274" i="3"/>
  <c r="J256" i="3"/>
  <c r="J252" i="3"/>
  <c r="J236" i="3"/>
  <c r="J210" i="3"/>
  <c r="J198" i="3"/>
  <c r="H185" i="3"/>
  <c r="J185" i="3" s="1"/>
  <c r="J180" i="3"/>
  <c r="J176" i="3"/>
  <c r="J172" i="3"/>
  <c r="J168" i="3"/>
  <c r="J164" i="3"/>
  <c r="J160" i="3"/>
  <c r="J156" i="3"/>
  <c r="J152" i="3"/>
  <c r="J148" i="3"/>
  <c r="J144" i="3"/>
  <c r="J140" i="3"/>
  <c r="J136" i="3"/>
  <c r="J132" i="3"/>
  <c r="J291" i="3"/>
  <c r="J275" i="3"/>
  <c r="J267" i="3"/>
  <c r="J263" i="3"/>
  <c r="J257" i="3"/>
  <c r="J237" i="3"/>
  <c r="J227" i="3"/>
  <c r="J211" i="3"/>
  <c r="J203" i="3"/>
  <c r="J199" i="3"/>
  <c r="J290" i="3"/>
  <c r="J258" i="3"/>
  <c r="J246" i="3"/>
  <c r="J238" i="3"/>
  <c r="J228" i="3"/>
  <c r="J218" i="3"/>
  <c r="J212" i="3"/>
  <c r="J194" i="3"/>
  <c r="J190" i="3"/>
  <c r="J295" i="3"/>
  <c r="J289" i="3"/>
  <c r="J253" i="3"/>
  <c r="J247" i="3"/>
  <c r="J239" i="3"/>
  <c r="J229" i="3"/>
  <c r="J219" i="3"/>
  <c r="J213" i="3"/>
  <c r="J181" i="3"/>
  <c r="J177" i="3"/>
  <c r="J173" i="3"/>
  <c r="J169" i="3"/>
  <c r="J165" i="3"/>
  <c r="J161" i="3"/>
  <c r="J157" i="3"/>
  <c r="J153" i="3"/>
  <c r="J149" i="3"/>
  <c r="J145" i="3"/>
  <c r="J141" i="3"/>
  <c r="J137" i="3"/>
  <c r="J133" i="3"/>
  <c r="J129" i="3"/>
  <c r="J300" i="3"/>
  <c r="J299" i="3"/>
  <c r="J287" i="3"/>
  <c r="J269" i="3"/>
  <c r="J259" i="3"/>
  <c r="J241" i="3"/>
  <c r="J221" i="3"/>
  <c r="J195" i="3"/>
  <c r="J191" i="3"/>
  <c r="N225" i="3"/>
  <c r="J234" i="3"/>
  <c r="X247" i="3"/>
  <c r="Z247" i="3" s="1"/>
  <c r="N269" i="3"/>
  <c r="X283" i="3"/>
  <c r="P281" i="3"/>
  <c r="X281" i="3" s="1"/>
  <c r="X285" i="3"/>
  <c r="Z285" i="3" s="1"/>
  <c r="N58" i="9"/>
  <c r="Z21" i="12"/>
  <c r="Z45" i="12"/>
  <c r="Z69" i="12"/>
  <c r="Z91" i="12"/>
  <c r="N95" i="12"/>
  <c r="L181" i="15"/>
  <c r="N181" i="15" s="1"/>
  <c r="Z194" i="15"/>
  <c r="X194" i="15"/>
  <c r="Z107" i="3"/>
  <c r="X117" i="3"/>
  <c r="Z117" i="3" s="1"/>
  <c r="X122" i="3"/>
  <c r="Z122" i="3" s="1"/>
  <c r="Z187" i="3"/>
  <c r="L219" i="3"/>
  <c r="N219" i="3" s="1"/>
  <c r="N221" i="3"/>
  <c r="X225" i="3"/>
  <c r="J250" i="3"/>
  <c r="J262" i="3"/>
  <c r="T281" i="3"/>
  <c r="Z283" i="3"/>
  <c r="L289" i="3"/>
  <c r="F92" i="9"/>
  <c r="F62" i="9"/>
  <c r="F42" i="9"/>
  <c r="F41" i="9"/>
  <c r="F30" i="9"/>
  <c r="F26" i="9"/>
  <c r="F22" i="9"/>
  <c r="F81" i="9"/>
  <c r="F53" i="9"/>
  <c r="F52" i="9"/>
  <c r="F76" i="9"/>
  <c r="F68" i="9"/>
  <c r="F44" i="9"/>
  <c r="F43" i="9"/>
  <c r="F36" i="9"/>
  <c r="F32" i="9"/>
  <c r="F31" i="9"/>
  <c r="L12" i="9"/>
  <c r="F97" i="9"/>
  <c r="F94" i="9"/>
  <c r="F83" i="9"/>
  <c r="F82" i="9"/>
  <c r="F63" i="9"/>
  <c r="F55" i="9"/>
  <c r="F54" i="9"/>
  <c r="F27" i="9"/>
  <c r="F23" i="9"/>
  <c r="F85" i="9"/>
  <c r="F84" i="9"/>
  <c r="F77" i="9"/>
  <c r="F57" i="9"/>
  <c r="F56" i="9"/>
  <c r="F37" i="9"/>
  <c r="F33" i="9"/>
  <c r="F64" i="9"/>
  <c r="F28" i="9"/>
  <c r="F24" i="9"/>
  <c r="F20" i="9"/>
  <c r="F19" i="9"/>
  <c r="F71" i="9"/>
  <c r="F59" i="9"/>
  <c r="F58" i="9"/>
  <c r="F47" i="9"/>
  <c r="F18" i="9"/>
  <c r="F16" i="9"/>
  <c r="F14" i="9"/>
  <c r="F86" i="9"/>
  <c r="F78" i="9"/>
  <c r="F66" i="9"/>
  <c r="F65" i="9"/>
  <c r="F38" i="9"/>
  <c r="F34" i="9"/>
  <c r="D16" i="9"/>
  <c r="F73" i="9"/>
  <c r="F72" i="9"/>
  <c r="F61" i="9"/>
  <c r="F60" i="9"/>
  <c r="F49" i="9"/>
  <c r="F48" i="9"/>
  <c r="F29" i="9"/>
  <c r="F25" i="9"/>
  <c r="F21" i="9"/>
  <c r="F90" i="9"/>
  <c r="F88" i="9"/>
  <c r="F75" i="9"/>
  <c r="F74" i="9"/>
  <c r="F67" i="9"/>
  <c r="F51" i="9"/>
  <c r="F50" i="9"/>
  <c r="F35" i="9"/>
  <c r="N19" i="9"/>
  <c r="N56" i="9"/>
  <c r="L56" i="9"/>
  <c r="Z23" i="12"/>
  <c r="Z32" i="12"/>
  <c r="Z47" i="12"/>
  <c r="Z71" i="12"/>
  <c r="Z93" i="12"/>
  <c r="V135" i="12"/>
  <c r="Z13" i="3"/>
  <c r="Z109" i="3"/>
  <c r="Z124" i="3"/>
  <c r="X124" i="3"/>
  <c r="X219" i="3"/>
  <c r="Z219" i="3" s="1"/>
  <c r="Z223" i="3"/>
  <c r="J248" i="3"/>
  <c r="Z269" i="3"/>
  <c r="Z287" i="3"/>
  <c r="N50" i="9"/>
  <c r="L50" i="9"/>
  <c r="Z56" i="9"/>
  <c r="X56" i="9"/>
  <c r="Z60" i="9"/>
  <c r="N82" i="9"/>
  <c r="Z14" i="12"/>
  <c r="Z27" i="12"/>
  <c r="Z51" i="12"/>
  <c r="N55" i="12"/>
  <c r="Z60" i="12"/>
  <c r="Z73" i="12"/>
  <c r="N99" i="12"/>
  <c r="L236" i="12"/>
  <c r="N236" i="12"/>
  <c r="X226" i="15"/>
  <c r="Z226" i="15" s="1"/>
  <c r="N66" i="18"/>
  <c r="Z114" i="3"/>
  <c r="X114" i="3"/>
  <c r="J204" i="3"/>
  <c r="N206" i="3"/>
  <c r="J208" i="3"/>
  <c r="J226" i="3"/>
  <c r="X289" i="3"/>
  <c r="Z289" i="3" s="1"/>
  <c r="Z291" i="3"/>
  <c r="Z84" i="9"/>
  <c r="X84" i="9"/>
  <c r="D12" i="12"/>
  <c r="L13" i="12"/>
  <c r="N13" i="12" s="1"/>
  <c r="N102" i="12"/>
  <c r="X20" i="3"/>
  <c r="Z20" i="3" s="1"/>
  <c r="X24" i="3"/>
  <c r="Z24" i="3" s="1"/>
  <c r="X28" i="3"/>
  <c r="X40" i="3"/>
  <c r="Z40" i="3" s="1"/>
  <c r="X44" i="3"/>
  <c r="X48" i="3"/>
  <c r="Z48" i="3" s="1"/>
  <c r="X60" i="3"/>
  <c r="Z60" i="3" s="1"/>
  <c r="X64" i="3"/>
  <c r="Z64" i="3" s="1"/>
  <c r="X68" i="3"/>
  <c r="Z68" i="3" s="1"/>
  <c r="X72" i="3"/>
  <c r="X76" i="3"/>
  <c r="Z76" i="3" s="1"/>
  <c r="X80" i="3"/>
  <c r="Z80" i="3" s="1"/>
  <c r="X84" i="3"/>
  <c r="Z84" i="3" s="1"/>
  <c r="X88" i="3"/>
  <c r="Z88" i="3" s="1"/>
  <c r="X92" i="3"/>
  <c r="Z92" i="3" s="1"/>
  <c r="X96" i="3"/>
  <c r="Z96" i="3" s="1"/>
  <c r="X100" i="3"/>
  <c r="Z100" i="3" s="1"/>
  <c r="N188" i="3"/>
  <c r="J272" i="3"/>
  <c r="J282" i="3"/>
  <c r="N284" i="3"/>
  <c r="N18" i="9"/>
  <c r="F46" i="9"/>
  <c r="X50" i="9"/>
  <c r="Z50" i="9" s="1"/>
  <c r="F69" i="9"/>
  <c r="F80" i="9"/>
  <c r="N88" i="9"/>
  <c r="L88" i="9"/>
  <c r="Z31" i="12"/>
  <c r="Z55" i="12"/>
  <c r="N59" i="12"/>
  <c r="Z64" i="12"/>
  <c r="Z77" i="12"/>
  <c r="Z86" i="12"/>
  <c r="Z112" i="3"/>
  <c r="X112" i="3"/>
  <c r="Z116" i="3"/>
  <c r="X116" i="3"/>
  <c r="Z126" i="3"/>
  <c r="X126" i="3"/>
  <c r="J188" i="3"/>
  <c r="J202" i="3"/>
  <c r="J220" i="3"/>
  <c r="N239" i="3"/>
  <c r="Z243" i="3"/>
  <c r="J268" i="3"/>
  <c r="J31" i="6"/>
  <c r="Z48" i="9"/>
  <c r="N69" i="9"/>
  <c r="Z33" i="12"/>
  <c r="Z57" i="12"/>
  <c r="Z79" i="12"/>
  <c r="Z225" i="3"/>
  <c r="N289" i="3"/>
  <c r="L84" i="9"/>
  <c r="N84" i="9" s="1"/>
  <c r="Z106" i="3"/>
  <c r="X106" i="3"/>
  <c r="L233" i="3"/>
  <c r="N235" i="3"/>
  <c r="X239" i="3"/>
  <c r="Z239" i="3" s="1"/>
  <c r="N288" i="3"/>
  <c r="N28" i="6"/>
  <c r="Z88" i="9"/>
  <c r="X88" i="9"/>
  <c r="V252" i="12"/>
  <c r="V222" i="12"/>
  <c r="V210" i="12"/>
  <c r="V202" i="12"/>
  <c r="V190" i="12"/>
  <c r="V182" i="12"/>
  <c r="V150" i="12"/>
  <c r="V146" i="12"/>
  <c r="V142" i="12"/>
  <c r="V138" i="12"/>
  <c r="V134" i="12"/>
  <c r="V130" i="12"/>
  <c r="V126" i="12"/>
  <c r="V122" i="12"/>
  <c r="V250" i="12"/>
  <c r="V240" i="12"/>
  <c r="V232" i="12"/>
  <c r="V228" i="12"/>
  <c r="V212" i="12"/>
  <c r="V204" i="12"/>
  <c r="V192" i="12"/>
  <c r="V184" i="12"/>
  <c r="V164" i="12"/>
  <c r="V160" i="12"/>
  <c r="V249" i="12"/>
  <c r="V223" i="12"/>
  <c r="V211" i="12"/>
  <c r="V203" i="12"/>
  <c r="V183" i="12"/>
  <c r="V175" i="12"/>
  <c r="V151" i="12"/>
  <c r="V147" i="12"/>
  <c r="V143" i="12"/>
  <c r="V139" i="12"/>
  <c r="V256" i="12"/>
  <c r="V248" i="12"/>
  <c r="V242" i="12"/>
  <c r="V234" i="12"/>
  <c r="V218" i="12"/>
  <c r="V206" i="12"/>
  <c r="V194" i="12"/>
  <c r="V174" i="12"/>
  <c r="V170" i="12"/>
  <c r="V247" i="12"/>
  <c r="V241" i="12"/>
  <c r="V229" i="12"/>
  <c r="V225" i="12"/>
  <c r="V213" i="12"/>
  <c r="V205" i="12"/>
  <c r="V185" i="12"/>
  <c r="V177" i="12"/>
  <c r="V165" i="12"/>
  <c r="V161" i="12"/>
  <c r="V157" i="12"/>
  <c r="V246" i="12"/>
  <c r="V236" i="12"/>
  <c r="V224" i="12"/>
  <c r="V208" i="12"/>
  <c r="V196" i="12"/>
  <c r="V176" i="12"/>
  <c r="V156" i="12"/>
  <c r="V152" i="12"/>
  <c r="V148" i="12"/>
  <c r="V144" i="12"/>
  <c r="V140" i="12"/>
  <c r="V136" i="12"/>
  <c r="V132" i="12"/>
  <c r="V128" i="12"/>
  <c r="V124" i="12"/>
  <c r="V120" i="12"/>
  <c r="V116" i="12"/>
  <c r="V245" i="12"/>
  <c r="V243" i="12"/>
  <c r="V235" i="12"/>
  <c r="V219" i="12"/>
  <c r="V207" i="12"/>
  <c r="V195" i="12"/>
  <c r="V187" i="12"/>
  <c r="V179" i="12"/>
  <c r="V171" i="12"/>
  <c r="V167" i="12"/>
  <c r="T154" i="12"/>
  <c r="V154" i="12" s="1"/>
  <c r="V238" i="12"/>
  <c r="V230" i="12"/>
  <c r="V226" i="12"/>
  <c r="V214" i="12"/>
  <c r="V198" i="12"/>
  <c r="V186" i="12"/>
  <c r="V178" i="12"/>
  <c r="V166" i="12"/>
  <c r="V162" i="12"/>
  <c r="V158" i="12"/>
  <c r="V237" i="12"/>
  <c r="V209" i="12"/>
  <c r="V197" i="12"/>
  <c r="V189" i="12"/>
  <c r="V181" i="12"/>
  <c r="V149" i="12"/>
  <c r="V145" i="12"/>
  <c r="V141" i="12"/>
  <c r="V239" i="12"/>
  <c r="V231" i="12"/>
  <c r="V227" i="12"/>
  <c r="V215" i="12"/>
  <c r="V199" i="12"/>
  <c r="V191" i="12"/>
  <c r="V163" i="12"/>
  <c r="V159" i="12"/>
  <c r="V129" i="12"/>
  <c r="V112" i="12"/>
  <c r="V200" i="12"/>
  <c r="V172" i="12"/>
  <c r="V169" i="12"/>
  <c r="V131" i="12"/>
  <c r="V110" i="12"/>
  <c r="V104" i="12"/>
  <c r="V220" i="12"/>
  <c r="V217" i="12"/>
  <c r="V193" i="12"/>
  <c r="V133" i="12"/>
  <c r="V108" i="12"/>
  <c r="V180" i="12"/>
  <c r="V117" i="12"/>
  <c r="V115" i="12"/>
  <c r="V113" i="12"/>
  <c r="V105" i="12"/>
  <c r="V121" i="12"/>
  <c r="V119" i="12"/>
  <c r="V216" i="12"/>
  <c r="V168" i="12"/>
  <c r="V123" i="12"/>
  <c r="V111" i="12"/>
  <c r="V109" i="12"/>
  <c r="V106" i="12"/>
  <c r="V102" i="12"/>
  <c r="V233" i="12"/>
  <c r="V201" i="12"/>
  <c r="V188" i="12"/>
  <c r="V125" i="12"/>
  <c r="V251" i="12"/>
  <c r="V127" i="12"/>
  <c r="V118" i="12"/>
  <c r="V114" i="12"/>
  <c r="V107" i="12"/>
  <c r="V103" i="12"/>
  <c r="Z90" i="12"/>
  <c r="Z119" i="3"/>
  <c r="Z34" i="12"/>
  <c r="X15" i="3"/>
  <c r="Z15" i="3" s="1"/>
  <c r="X19" i="3"/>
  <c r="Z19" i="3" s="1"/>
  <c r="X23" i="3"/>
  <c r="Z23" i="3" s="1"/>
  <c r="X27" i="3"/>
  <c r="Z27" i="3" s="1"/>
  <c r="X31" i="3"/>
  <c r="Z31" i="3" s="1"/>
  <c r="X35" i="3"/>
  <c r="X47" i="3"/>
  <c r="Z47" i="3" s="1"/>
  <c r="X51" i="3"/>
  <c r="Z51" i="3" s="1"/>
  <c r="X55" i="3"/>
  <c r="X59" i="3"/>
  <c r="Z59" i="3" s="1"/>
  <c r="X63" i="3"/>
  <c r="X67" i="3"/>
  <c r="Z67" i="3" s="1"/>
  <c r="X71" i="3"/>
  <c r="Z71" i="3" s="1"/>
  <c r="X75" i="3"/>
  <c r="Z75" i="3" s="1"/>
  <c r="X79" i="3"/>
  <c r="Z79" i="3" s="1"/>
  <c r="X83" i="3"/>
  <c r="Z83" i="3" s="1"/>
  <c r="X87" i="3"/>
  <c r="X91" i="3"/>
  <c r="X95" i="3"/>
  <c r="Z95" i="3" s="1"/>
  <c r="X99" i="3"/>
  <c r="Z99" i="3" s="1"/>
  <c r="X103" i="3"/>
  <c r="Z103" i="3" s="1"/>
  <c r="Z113" i="3"/>
  <c r="X118" i="3"/>
  <c r="Z118" i="3" s="1"/>
  <c r="X123" i="3"/>
  <c r="Z123" i="3" s="1"/>
  <c r="J200" i="3"/>
  <c r="N233" i="3"/>
  <c r="Z241" i="3"/>
  <c r="N251" i="3"/>
  <c r="J266" i="3"/>
  <c r="Z284" i="3"/>
  <c r="J288" i="3"/>
  <c r="N300" i="3"/>
  <c r="L74" i="9"/>
  <c r="N74" i="9" s="1"/>
  <c r="Z22" i="12"/>
  <c r="N87" i="12"/>
  <c r="Z92" i="12"/>
  <c r="Z108" i="3"/>
  <c r="X108" i="3"/>
  <c r="N231" i="3"/>
  <c r="Z237" i="3"/>
  <c r="J22" i="6"/>
  <c r="J20" i="6"/>
  <c r="J18" i="6"/>
  <c r="J16" i="6"/>
  <c r="J14" i="6"/>
  <c r="H16" i="6"/>
  <c r="J24" i="6"/>
  <c r="N12" i="6"/>
  <c r="Z18" i="9"/>
  <c r="Z17" i="12"/>
  <c r="Z39" i="12"/>
  <c r="Z48" i="12"/>
  <c r="Z63" i="12"/>
  <c r="N67" i="12"/>
  <c r="Z72" i="12"/>
  <c r="Z85" i="12"/>
  <c r="L196" i="12"/>
  <c r="N196" i="12" s="1"/>
  <c r="L19" i="18"/>
  <c r="D12" i="18"/>
  <c r="Z115" i="3"/>
  <c r="X120" i="3"/>
  <c r="Z120" i="3" s="1"/>
  <c r="J128" i="3"/>
  <c r="N187" i="3"/>
  <c r="Z233" i="3"/>
  <c r="X233" i="3"/>
  <c r="Z235" i="3"/>
  <c r="J240" i="3"/>
  <c r="L247" i="3"/>
  <c r="N247" i="3" s="1"/>
  <c r="J264" i="3"/>
  <c r="L283" i="3"/>
  <c r="N283" i="3" s="1"/>
  <c r="L285" i="3"/>
  <c r="D281" i="3"/>
  <c r="L281" i="3" s="1"/>
  <c r="Z28" i="6"/>
  <c r="F39" i="9"/>
  <c r="Z74" i="9"/>
  <c r="X74" i="9"/>
  <c r="V137" i="12"/>
  <c r="V221" i="12"/>
  <c r="V258" i="18"/>
  <c r="V248" i="18"/>
  <c r="V236" i="18"/>
  <c r="V224" i="18"/>
  <c r="V216" i="18"/>
  <c r="V204" i="18"/>
  <c r="V196" i="18"/>
  <c r="V188" i="18"/>
  <c r="V184" i="18"/>
  <c r="V255" i="18"/>
  <c r="V247" i="18"/>
  <c r="V231" i="18"/>
  <c r="V215" i="18"/>
  <c r="V207" i="18"/>
  <c r="V179" i="18"/>
  <c r="V175" i="18"/>
  <c r="V250" i="18"/>
  <c r="V242" i="18"/>
  <c r="V238" i="18"/>
  <c r="V226" i="18"/>
  <c r="V218" i="18"/>
  <c r="V206" i="18"/>
  <c r="V198" i="18"/>
  <c r="V166" i="18"/>
  <c r="V162" i="18"/>
  <c r="V158" i="18"/>
  <c r="V154" i="18"/>
  <c r="V150" i="18"/>
  <c r="V146" i="18"/>
  <c r="V142" i="18"/>
  <c r="V138" i="18"/>
  <c r="V134" i="18"/>
  <c r="V130" i="18"/>
  <c r="V249" i="18"/>
  <c r="V237" i="18"/>
  <c r="V225" i="18"/>
  <c r="V217" i="18"/>
  <c r="V209" i="18"/>
  <c r="V189" i="18"/>
  <c r="V266" i="18"/>
  <c r="V232" i="18"/>
  <c r="V220" i="18"/>
  <c r="V208" i="18"/>
  <c r="V200" i="18"/>
  <c r="V180" i="18"/>
  <c r="V176" i="18"/>
  <c r="V265" i="18"/>
  <c r="V251" i="18"/>
  <c r="V243" i="18"/>
  <c r="V239" i="18"/>
  <c r="V227" i="18"/>
  <c r="V219" i="18"/>
  <c r="V199" i="18"/>
  <c r="V191" i="18"/>
  <c r="V264" i="18"/>
  <c r="V222" i="18"/>
  <c r="V210" i="18"/>
  <c r="V190" i="18"/>
  <c r="V186" i="18"/>
  <c r="V263" i="18"/>
  <c r="V270" i="18"/>
  <c r="V262" i="18"/>
  <c r="V252" i="18"/>
  <c r="V244" i="18"/>
  <c r="V240" i="18"/>
  <c r="V228" i="18"/>
  <c r="V212" i="18"/>
  <c r="V192" i="18"/>
  <c r="V172" i="18"/>
  <c r="V168" i="18"/>
  <c r="V164" i="18"/>
  <c r="V160" i="18"/>
  <c r="V156" i="18"/>
  <c r="V152" i="18"/>
  <c r="V148" i="18"/>
  <c r="V144" i="18"/>
  <c r="V140" i="18"/>
  <c r="V136" i="18"/>
  <c r="V132" i="18"/>
  <c r="V259" i="18"/>
  <c r="V253" i="18"/>
  <c r="V241" i="18"/>
  <c r="V229" i="18"/>
  <c r="V213" i="18"/>
  <c r="V205" i="18"/>
  <c r="V197" i="18"/>
  <c r="V165" i="18"/>
  <c r="V161" i="18"/>
  <c r="V261" i="18"/>
  <c r="V245" i="18"/>
  <c r="V203" i="18"/>
  <c r="V174" i="18"/>
  <c r="V157" i="18"/>
  <c r="V155" i="18"/>
  <c r="V125" i="18"/>
  <c r="V214" i="18"/>
  <c r="V183" i="18"/>
  <c r="V153" i="18"/>
  <c r="V128" i="18"/>
  <c r="V123" i="18"/>
  <c r="V193" i="18"/>
  <c r="V149" i="18"/>
  <c r="V147" i="18"/>
  <c r="V143" i="18"/>
  <c r="V139" i="18"/>
  <c r="V116" i="18"/>
  <c r="V195" i="18"/>
  <c r="V181" i="18"/>
  <c r="V145" i="18"/>
  <c r="V141" i="18"/>
  <c r="V137" i="18"/>
  <c r="V135" i="18"/>
  <c r="V126" i="18"/>
  <c r="V234" i="18"/>
  <c r="V187" i="18"/>
  <c r="V185" i="18"/>
  <c r="V178" i="18"/>
  <c r="V173" i="18"/>
  <c r="V121" i="18"/>
  <c r="V223" i="18"/>
  <c r="V133" i="18"/>
  <c r="V131" i="18"/>
  <c r="V119" i="18"/>
  <c r="V260" i="18"/>
  <c r="V221" i="18"/>
  <c r="V202" i="18"/>
  <c r="V167" i="18"/>
  <c r="V124" i="18"/>
  <c r="V246" i="18"/>
  <c r="T170" i="18"/>
  <c r="V170" i="18" s="1"/>
  <c r="V163" i="18"/>
  <c r="V129" i="18"/>
  <c r="V159" i="18"/>
  <c r="V127" i="18"/>
  <c r="V122" i="18"/>
  <c r="V117" i="18"/>
  <c r="V254" i="18"/>
  <c r="V233" i="18"/>
  <c r="V194" i="18"/>
  <c r="V177" i="18"/>
  <c r="V120" i="18"/>
  <c r="V115" i="18"/>
  <c r="V118" i="18"/>
  <c r="V182" i="18"/>
  <c r="V211" i="18"/>
  <c r="V201" i="18"/>
  <c r="V151" i="18"/>
  <c r="V235" i="18"/>
  <c r="R24" i="6"/>
  <c r="V14" i="9"/>
  <c r="V16" i="9"/>
  <c r="V18" i="9"/>
  <c r="R23" i="9"/>
  <c r="R27" i="9"/>
  <c r="J42" i="9"/>
  <c r="V46" i="9"/>
  <c r="J52" i="9"/>
  <c r="R55" i="9"/>
  <c r="R56" i="9"/>
  <c r="V58" i="9"/>
  <c r="J62" i="9"/>
  <c r="R63" i="9"/>
  <c r="V70" i="9"/>
  <c r="R83" i="9"/>
  <c r="R84" i="9"/>
  <c r="J92" i="9"/>
  <c r="J109" i="12"/>
  <c r="R116" i="12"/>
  <c r="R138" i="12"/>
  <c r="J141" i="12"/>
  <c r="R145" i="12"/>
  <c r="N177" i="12"/>
  <c r="X181" i="12"/>
  <c r="Z181" i="12" s="1"/>
  <c r="Z198" i="12"/>
  <c r="J248" i="12"/>
  <c r="Z23" i="15"/>
  <c r="Z25" i="15"/>
  <c r="Z47" i="15"/>
  <c r="Z60" i="15"/>
  <c r="Z71" i="15"/>
  <c r="Z82" i="15"/>
  <c r="V154" i="15"/>
  <c r="Z208" i="15"/>
  <c r="Z213" i="15"/>
  <c r="L235" i="15"/>
  <c r="Z23" i="18"/>
  <c r="Z34" i="18"/>
  <c r="Z53" i="18"/>
  <c r="Z55" i="18"/>
  <c r="Z78" i="18"/>
  <c r="Z97" i="18"/>
  <c r="N107" i="18"/>
  <c r="L12" i="6"/>
  <c r="P16" i="6"/>
  <c r="X28" i="6"/>
  <c r="X29" i="6"/>
  <c r="Z29" i="6" s="1"/>
  <c r="Z12" i="9"/>
  <c r="V32" i="9"/>
  <c r="V36" i="9"/>
  <c r="J40" i="9"/>
  <c r="V44" i="9"/>
  <c r="J50" i="9"/>
  <c r="R53" i="9"/>
  <c r="R54" i="9"/>
  <c r="V56" i="9"/>
  <c r="V68" i="9"/>
  <c r="J74" i="9"/>
  <c r="V76" i="9"/>
  <c r="J80" i="9"/>
  <c r="R81" i="9"/>
  <c r="R82" i="9"/>
  <c r="V84" i="9"/>
  <c r="J88" i="9"/>
  <c r="J90" i="9"/>
  <c r="R94" i="9"/>
  <c r="R97" i="9"/>
  <c r="R239" i="12"/>
  <c r="R231" i="12"/>
  <c r="R227" i="12"/>
  <c r="R216" i="12"/>
  <c r="R215" i="12"/>
  <c r="R200" i="12"/>
  <c r="R199" i="12"/>
  <c r="R163" i="12"/>
  <c r="R159" i="12"/>
  <c r="R252" i="12"/>
  <c r="R222" i="12"/>
  <c r="R221" i="12"/>
  <c r="R217" i="12"/>
  <c r="R202" i="12"/>
  <c r="R201" i="12"/>
  <c r="R173" i="12"/>
  <c r="R169" i="12"/>
  <c r="R251" i="12"/>
  <c r="R240" i="12"/>
  <c r="R233" i="12"/>
  <c r="R232" i="12"/>
  <c r="R228" i="12"/>
  <c r="R193" i="12"/>
  <c r="R192" i="12"/>
  <c r="R164" i="12"/>
  <c r="R160" i="12"/>
  <c r="R250" i="12"/>
  <c r="R223" i="12"/>
  <c r="R212" i="12"/>
  <c r="R211" i="12"/>
  <c r="R204" i="12"/>
  <c r="R203" i="12"/>
  <c r="R184" i="12"/>
  <c r="R183" i="12"/>
  <c r="R151" i="12"/>
  <c r="R147" i="12"/>
  <c r="R143" i="12"/>
  <c r="R139" i="12"/>
  <c r="R135" i="12"/>
  <c r="R131" i="12"/>
  <c r="R127" i="12"/>
  <c r="R123" i="12"/>
  <c r="R119" i="12"/>
  <c r="R115" i="12"/>
  <c r="R111" i="12"/>
  <c r="R256" i="12"/>
  <c r="R249" i="12"/>
  <c r="R234" i="12"/>
  <c r="R218" i="12"/>
  <c r="R194" i="12"/>
  <c r="R175" i="12"/>
  <c r="R174" i="12"/>
  <c r="R170" i="12"/>
  <c r="R248" i="12"/>
  <c r="R242" i="12"/>
  <c r="R241" i="12"/>
  <c r="R229" i="12"/>
  <c r="R213" i="12"/>
  <c r="R206" i="12"/>
  <c r="R205" i="12"/>
  <c r="R185" i="12"/>
  <c r="R165" i="12"/>
  <c r="R161" i="12"/>
  <c r="R247" i="12"/>
  <c r="R225" i="12"/>
  <c r="R224" i="12"/>
  <c r="R177" i="12"/>
  <c r="R176" i="12"/>
  <c r="R157" i="12"/>
  <c r="R152" i="12"/>
  <c r="R148" i="12"/>
  <c r="R144" i="12"/>
  <c r="R140" i="12"/>
  <c r="R136" i="12"/>
  <c r="R132" i="12"/>
  <c r="R128" i="12"/>
  <c r="R124" i="12"/>
  <c r="R120" i="12"/>
  <c r="R246" i="12"/>
  <c r="R243" i="12"/>
  <c r="R236" i="12"/>
  <c r="R235" i="12"/>
  <c r="R219" i="12"/>
  <c r="R208" i="12"/>
  <c r="R207" i="12"/>
  <c r="R196" i="12"/>
  <c r="R195" i="12"/>
  <c r="R171" i="12"/>
  <c r="R156" i="12"/>
  <c r="R245" i="12"/>
  <c r="R230" i="12"/>
  <c r="R226" i="12"/>
  <c r="R214" i="12"/>
  <c r="R187" i="12"/>
  <c r="R186" i="12"/>
  <c r="R179" i="12"/>
  <c r="R178" i="12"/>
  <c r="R167" i="12"/>
  <c r="R166" i="12"/>
  <c r="R162" i="12"/>
  <c r="R158" i="12"/>
  <c r="P154" i="12"/>
  <c r="R220" i="12"/>
  <c r="R189" i="12"/>
  <c r="R188" i="12"/>
  <c r="R181" i="12"/>
  <c r="R180" i="12"/>
  <c r="R172" i="12"/>
  <c r="R168" i="12"/>
  <c r="Z13" i="12"/>
  <c r="J105" i="12"/>
  <c r="R106" i="12"/>
  <c r="R109" i="12"/>
  <c r="J121" i="12"/>
  <c r="R141" i="12"/>
  <c r="R190" i="12"/>
  <c r="Z64" i="15"/>
  <c r="Z98" i="15"/>
  <c r="V178" i="15"/>
  <c r="N200" i="15"/>
  <c r="Z16" i="18"/>
  <c r="Z27" i="18"/>
  <c r="Z61" i="18"/>
  <c r="Z63" i="18"/>
  <c r="Z107" i="18"/>
  <c r="J207" i="18"/>
  <c r="R14" i="6"/>
  <c r="R16" i="6"/>
  <c r="R18" i="6"/>
  <c r="R20" i="6"/>
  <c r="R22" i="6"/>
  <c r="J21" i="9"/>
  <c r="R22" i="9"/>
  <c r="J25" i="9"/>
  <c r="R26" i="9"/>
  <c r="J29" i="9"/>
  <c r="R30" i="9"/>
  <c r="R31" i="9"/>
  <c r="J39" i="9"/>
  <c r="R42" i="9"/>
  <c r="R43" i="9"/>
  <c r="V45" i="9"/>
  <c r="J49" i="9"/>
  <c r="V53" i="9"/>
  <c r="J61" i="9"/>
  <c r="R62" i="9"/>
  <c r="V69" i="9"/>
  <c r="J73" i="9"/>
  <c r="J79" i="9"/>
  <c r="V81" i="9"/>
  <c r="R92" i="9"/>
  <c r="J113" i="12"/>
  <c r="J117" i="12"/>
  <c r="H154" i="12"/>
  <c r="J224" i="12"/>
  <c r="N250" i="12"/>
  <c r="Z88" i="15"/>
  <c r="Z185" i="15"/>
  <c r="V209" i="15"/>
  <c r="N235" i="15"/>
  <c r="L242" i="15"/>
  <c r="Z42" i="18"/>
  <c r="Z65" i="18"/>
  <c r="Z67" i="18"/>
  <c r="Z86" i="18"/>
  <c r="J167" i="18"/>
  <c r="T12" i="21"/>
  <c r="T16" i="6"/>
  <c r="V22" i="9"/>
  <c r="V26" i="9"/>
  <c r="V30" i="9"/>
  <c r="J34" i="9"/>
  <c r="R35" i="9"/>
  <c r="J38" i="9"/>
  <c r="V42" i="9"/>
  <c r="J48" i="9"/>
  <c r="R51" i="9"/>
  <c r="R52" i="9"/>
  <c r="V54" i="9"/>
  <c r="J60" i="9"/>
  <c r="V62" i="9"/>
  <c r="J66" i="9"/>
  <c r="R67" i="9"/>
  <c r="J72" i="9"/>
  <c r="R75" i="9"/>
  <c r="J78" i="9"/>
  <c r="V82" i="9"/>
  <c r="J86" i="9"/>
  <c r="V92" i="9"/>
  <c r="V94" i="9"/>
  <c r="V97" i="9"/>
  <c r="X12" i="12"/>
  <c r="Z12" i="12" s="1"/>
  <c r="X16" i="12"/>
  <c r="Z16" i="12" s="1"/>
  <c r="X20" i="12"/>
  <c r="Z20" i="12" s="1"/>
  <c r="X24" i="12"/>
  <c r="Z24" i="12" s="1"/>
  <c r="X28" i="12"/>
  <c r="Z28" i="12" s="1"/>
  <c r="X32" i="12"/>
  <c r="X36" i="12"/>
  <c r="Z36" i="12" s="1"/>
  <c r="X40" i="12"/>
  <c r="Z40" i="12" s="1"/>
  <c r="X44" i="12"/>
  <c r="Z44" i="12" s="1"/>
  <c r="X48" i="12"/>
  <c r="J115" i="12"/>
  <c r="R121" i="12"/>
  <c r="J128" i="12"/>
  <c r="R130" i="12"/>
  <c r="J137" i="12"/>
  <c r="J144" i="12"/>
  <c r="J176" i="12"/>
  <c r="R197" i="12"/>
  <c r="N208" i="12"/>
  <c r="Z236" i="12"/>
  <c r="R238" i="12"/>
  <c r="Z33" i="15"/>
  <c r="Z57" i="15"/>
  <c r="Z68" i="15"/>
  <c r="V158" i="15"/>
  <c r="Z181" i="15"/>
  <c r="N228" i="15"/>
  <c r="Z18" i="18"/>
  <c r="Z31" i="18"/>
  <c r="Z46" i="18"/>
  <c r="Z69" i="18"/>
  <c r="Z90" i="18"/>
  <c r="Z109" i="18"/>
  <c r="N250" i="18"/>
  <c r="L250" i="18"/>
  <c r="V14" i="6"/>
  <c r="V16" i="6"/>
  <c r="V18" i="6"/>
  <c r="V20" i="6"/>
  <c r="F26" i="6"/>
  <c r="F28" i="6"/>
  <c r="F29" i="6"/>
  <c r="F31" i="6"/>
  <c r="H16" i="9"/>
  <c r="V31" i="9"/>
  <c r="V35" i="9"/>
  <c r="R40" i="9"/>
  <c r="R41" i="9"/>
  <c r="V43" i="9"/>
  <c r="J47" i="9"/>
  <c r="V51" i="9"/>
  <c r="J59" i="9"/>
  <c r="J65" i="9"/>
  <c r="V67" i="9"/>
  <c r="J71" i="9"/>
  <c r="V75" i="9"/>
  <c r="R80" i="9"/>
  <c r="J104" i="12"/>
  <c r="R105" i="12"/>
  <c r="J108" i="12"/>
  <c r="R113" i="12"/>
  <c r="R117" i="12"/>
  <c r="J133" i="12"/>
  <c r="R146" i="12"/>
  <c r="J149" i="12"/>
  <c r="L156" i="12"/>
  <c r="N156" i="12" s="1"/>
  <c r="R182" i="12"/>
  <c r="Z184" i="12"/>
  <c r="R210" i="12"/>
  <c r="N247" i="12"/>
  <c r="Z250" i="12"/>
  <c r="Z22" i="15"/>
  <c r="Z46" i="15"/>
  <c r="Z70" i="15"/>
  <c r="Z79" i="15"/>
  <c r="Z81" i="15"/>
  <c r="Z92" i="15"/>
  <c r="N161" i="15"/>
  <c r="Z236" i="15"/>
  <c r="T235" i="15"/>
  <c r="V235" i="15" s="1"/>
  <c r="N102" i="18"/>
  <c r="R49" i="9"/>
  <c r="R50" i="9"/>
  <c r="V52" i="9"/>
  <c r="R61" i="9"/>
  <c r="J64" i="9"/>
  <c r="R73" i="9"/>
  <c r="R74" i="9"/>
  <c r="V80" i="9"/>
  <c r="R88" i="9"/>
  <c r="R90" i="9"/>
  <c r="R137" i="12"/>
  <c r="Z212" i="12"/>
  <c r="J237" i="12"/>
  <c r="L249" i="12"/>
  <c r="N249" i="12" s="1"/>
  <c r="V227" i="15"/>
  <c r="V215" i="15"/>
  <c r="V203" i="15"/>
  <c r="V195" i="15"/>
  <c r="V187" i="15"/>
  <c r="V167" i="15"/>
  <c r="V163" i="15"/>
  <c r="V229" i="15"/>
  <c r="V221" i="15"/>
  <c r="V217" i="15"/>
  <c r="V205" i="15"/>
  <c r="V197" i="15"/>
  <c r="V177" i="15"/>
  <c r="V169" i="15"/>
  <c r="V145" i="15"/>
  <c r="V141" i="15"/>
  <c r="V137" i="15"/>
  <c r="V133" i="15"/>
  <c r="V129" i="15"/>
  <c r="V125" i="15"/>
  <c r="V121" i="15"/>
  <c r="V117" i="15"/>
  <c r="V113" i="15"/>
  <c r="V109" i="15"/>
  <c r="V105" i="15"/>
  <c r="V101" i="15"/>
  <c r="V242" i="15"/>
  <c r="V200" i="15"/>
  <c r="V188" i="15"/>
  <c r="V168" i="15"/>
  <c r="V164" i="15"/>
  <c r="Z12" i="15"/>
  <c r="V241" i="15"/>
  <c r="V223" i="15"/>
  <c r="V211" i="15"/>
  <c r="V199" i="15"/>
  <c r="V179" i="15"/>
  <c r="V171" i="15"/>
  <c r="V159" i="15"/>
  <c r="V155" i="15"/>
  <c r="V151" i="15"/>
  <c r="V240" i="15"/>
  <c r="V230" i="15"/>
  <c r="V222" i="15"/>
  <c r="V218" i="15"/>
  <c r="V206" i="15"/>
  <c r="V190" i="15"/>
  <c r="V170" i="15"/>
  <c r="V150" i="15"/>
  <c r="V146" i="15"/>
  <c r="V142" i="15"/>
  <c r="V138" i="15"/>
  <c r="V134" i="15"/>
  <c r="V130" i="15"/>
  <c r="V126" i="15"/>
  <c r="V122" i="15"/>
  <c r="V118" i="15"/>
  <c r="V114" i="15"/>
  <c r="V110" i="15"/>
  <c r="V106" i="15"/>
  <c r="V102" i="15"/>
  <c r="V98" i="15"/>
  <c r="V239" i="15"/>
  <c r="V213" i="15"/>
  <c r="V201" i="15"/>
  <c r="V189" i="15"/>
  <c r="V181" i="15"/>
  <c r="V173" i="15"/>
  <c r="V165" i="15"/>
  <c r="V161" i="15"/>
  <c r="T148" i="15"/>
  <c r="V148" i="15" s="1"/>
  <c r="V246" i="15"/>
  <c r="V238" i="15"/>
  <c r="V232" i="15"/>
  <c r="V224" i="15"/>
  <c r="V212" i="15"/>
  <c r="V208" i="15"/>
  <c r="V192" i="15"/>
  <c r="V180" i="15"/>
  <c r="V172" i="15"/>
  <c r="V160" i="15"/>
  <c r="V156" i="15"/>
  <c r="V152" i="15"/>
  <c r="V237" i="15"/>
  <c r="V231" i="15"/>
  <c r="V219" i="15"/>
  <c r="V207" i="15"/>
  <c r="V191" i="15"/>
  <c r="V183" i="15"/>
  <c r="V175" i="15"/>
  <c r="V143" i="15"/>
  <c r="V139" i="15"/>
  <c r="V135" i="15"/>
  <c r="V131" i="15"/>
  <c r="V127" i="15"/>
  <c r="V123" i="15"/>
  <c r="V119" i="15"/>
  <c r="V115" i="15"/>
  <c r="V111" i="15"/>
  <c r="V107" i="15"/>
  <c r="V103" i="15"/>
  <c r="V99" i="15"/>
  <c r="V236" i="15"/>
  <c r="V226" i="15"/>
  <c r="V214" i="15"/>
  <c r="V202" i="15"/>
  <c r="V194" i="15"/>
  <c r="V182" i="15"/>
  <c r="V174" i="15"/>
  <c r="V166" i="15"/>
  <c r="V162" i="15"/>
  <c r="V228" i="15"/>
  <c r="V220" i="15"/>
  <c r="V216" i="15"/>
  <c r="V204" i="15"/>
  <c r="V196" i="15"/>
  <c r="V184" i="15"/>
  <c r="V176" i="15"/>
  <c r="V144" i="15"/>
  <c r="V140" i="15"/>
  <c r="V136" i="15"/>
  <c r="V132" i="15"/>
  <c r="V128" i="15"/>
  <c r="V124" i="15"/>
  <c r="V120" i="15"/>
  <c r="V116" i="15"/>
  <c r="V112" i="15"/>
  <c r="V108" i="15"/>
  <c r="V104" i="15"/>
  <c r="V100" i="15"/>
  <c r="Z35" i="15"/>
  <c r="Z59" i="15"/>
  <c r="Z94" i="15"/>
  <c r="Z183" i="15"/>
  <c r="V198" i="15"/>
  <c r="Z216" i="15"/>
  <c r="N15" i="18"/>
  <c r="Z22" i="18"/>
  <c r="Z35" i="18"/>
  <c r="Z54" i="18"/>
  <c r="Z77" i="18"/>
  <c r="J129" i="18"/>
  <c r="N34" i="24"/>
  <c r="D16" i="6"/>
  <c r="L28" i="6"/>
  <c r="L29" i="6"/>
  <c r="N29" i="6" s="1"/>
  <c r="V34" i="9"/>
  <c r="V38" i="9"/>
  <c r="X41" i="9"/>
  <c r="Z41" i="9" s="1"/>
  <c r="J46" i="9"/>
  <c r="R47" i="9"/>
  <c r="R48" i="9"/>
  <c r="V50" i="9"/>
  <c r="J56" i="9"/>
  <c r="R59" i="9"/>
  <c r="R60" i="9"/>
  <c r="V66" i="9"/>
  <c r="J70" i="9"/>
  <c r="R71" i="9"/>
  <c r="R72" i="9"/>
  <c r="V74" i="9"/>
  <c r="V78" i="9"/>
  <c r="J84" i="9"/>
  <c r="V86" i="9"/>
  <c r="V88" i="9"/>
  <c r="V90" i="9"/>
  <c r="J103" i="12"/>
  <c r="R104" i="12"/>
  <c r="J107" i="12"/>
  <c r="R110" i="12"/>
  <c r="J129" i="12"/>
  <c r="J140" i="12"/>
  <c r="R142" i="12"/>
  <c r="R149" i="12"/>
  <c r="Z17" i="15"/>
  <c r="Z41" i="15"/>
  <c r="Z65" i="15"/>
  <c r="V210" i="15"/>
  <c r="N237" i="15"/>
  <c r="Z15" i="18"/>
  <c r="N19" i="18"/>
  <c r="Z39" i="18"/>
  <c r="Z62" i="18"/>
  <c r="Z83" i="18"/>
  <c r="R28" i="9"/>
  <c r="V39" i="9"/>
  <c r="J45" i="9"/>
  <c r="V47" i="9"/>
  <c r="J55" i="9"/>
  <c r="V59" i="9"/>
  <c r="J63" i="9"/>
  <c r="R64" i="9"/>
  <c r="R65" i="9"/>
  <c r="J69" i="9"/>
  <c r="V71" i="9"/>
  <c r="V79" i="9"/>
  <c r="J83" i="9"/>
  <c r="J102" i="12"/>
  <c r="J120" i="12"/>
  <c r="J145" i="12"/>
  <c r="J187" i="12"/>
  <c r="R191" i="12"/>
  <c r="Z200" i="12"/>
  <c r="Z204" i="12"/>
  <c r="Z206" i="12"/>
  <c r="J209" i="12"/>
  <c r="Z222" i="12"/>
  <c r="R237" i="12"/>
  <c r="N242" i="12"/>
  <c r="N251" i="12"/>
  <c r="Z76" i="15"/>
  <c r="Z87" i="15"/>
  <c r="N173" i="15"/>
  <c r="N175" i="15"/>
  <c r="Z17" i="18"/>
  <c r="Z41" i="18"/>
  <c r="Z43" i="18"/>
  <c r="Z85" i="18"/>
  <c r="Z87" i="18"/>
  <c r="Z81" i="27"/>
  <c r="X81" i="27"/>
  <c r="N12" i="9"/>
  <c r="R14" i="9"/>
  <c r="R16" i="9"/>
  <c r="R18" i="9"/>
  <c r="V20" i="9"/>
  <c r="V24" i="9"/>
  <c r="V28" i="9"/>
  <c r="J32" i="9"/>
  <c r="R33" i="9"/>
  <c r="J36" i="9"/>
  <c r="R37" i="9"/>
  <c r="J44" i="9"/>
  <c r="V48" i="9"/>
  <c r="J54" i="9"/>
  <c r="R57" i="9"/>
  <c r="R58" i="9"/>
  <c r="V60" i="9"/>
  <c r="V64" i="9"/>
  <c r="J68" i="9"/>
  <c r="V72" i="9"/>
  <c r="J76" i="9"/>
  <c r="R77" i="9"/>
  <c r="J82" i="9"/>
  <c r="R85" i="9"/>
  <c r="J94" i="9"/>
  <c r="J97" i="9"/>
  <c r="X14" i="12"/>
  <c r="X18" i="12"/>
  <c r="Z18" i="12" s="1"/>
  <c r="X22" i="12"/>
  <c r="X26" i="12"/>
  <c r="Z26" i="12" s="1"/>
  <c r="X30" i="12"/>
  <c r="Z30" i="12" s="1"/>
  <c r="X34" i="12"/>
  <c r="X38" i="12"/>
  <c r="Z38" i="12" s="1"/>
  <c r="X42" i="12"/>
  <c r="Z42" i="12" s="1"/>
  <c r="X46" i="12"/>
  <c r="Z46" i="12" s="1"/>
  <c r="X50" i="12"/>
  <c r="Z50" i="12" s="1"/>
  <c r="X54" i="12"/>
  <c r="Z54" i="12" s="1"/>
  <c r="X58" i="12"/>
  <c r="Z58" i="12" s="1"/>
  <c r="X62" i="12"/>
  <c r="Z62" i="12" s="1"/>
  <c r="X66" i="12"/>
  <c r="Z66" i="12" s="1"/>
  <c r="X70" i="12"/>
  <c r="Z70" i="12" s="1"/>
  <c r="X74" i="12"/>
  <c r="Z74" i="12" s="1"/>
  <c r="X78" i="12"/>
  <c r="Z78" i="12" s="1"/>
  <c r="X82" i="12"/>
  <c r="Z82" i="12" s="1"/>
  <c r="X86" i="12"/>
  <c r="X90" i="12"/>
  <c r="X94" i="12"/>
  <c r="Z94" i="12" s="1"/>
  <c r="X98" i="12"/>
  <c r="Z98" i="12" s="1"/>
  <c r="R112" i="12"/>
  <c r="J116" i="12"/>
  <c r="R122" i="12"/>
  <c r="R129" i="12"/>
  <c r="J152" i="12"/>
  <c r="X189" i="12"/>
  <c r="Z189" i="12" s="1"/>
  <c r="H245" i="12"/>
  <c r="L246" i="12"/>
  <c r="D12" i="15"/>
  <c r="Z21" i="15"/>
  <c r="V193" i="15"/>
  <c r="N213" i="15"/>
  <c r="V225" i="15"/>
  <c r="N239" i="15"/>
  <c r="N241" i="15"/>
  <c r="Z45" i="18"/>
  <c r="Z47" i="18"/>
  <c r="N55" i="18"/>
  <c r="Z70" i="18"/>
  <c r="Z89" i="18"/>
  <c r="Z110" i="18"/>
  <c r="R26" i="6"/>
  <c r="R28" i="6"/>
  <c r="R29" i="6"/>
  <c r="T16" i="9"/>
  <c r="R19" i="9"/>
  <c r="J31" i="9"/>
  <c r="V33" i="9"/>
  <c r="V37" i="9"/>
  <c r="J43" i="9"/>
  <c r="R46" i="9"/>
  <c r="J53" i="9"/>
  <c r="V57" i="9"/>
  <c r="V65" i="9"/>
  <c r="V77" i="9"/>
  <c r="J246" i="12"/>
  <c r="J236" i="12"/>
  <c r="J230" i="12"/>
  <c r="J226" i="12"/>
  <c r="J214" i="12"/>
  <c r="J208" i="12"/>
  <c r="J196" i="12"/>
  <c r="J186" i="12"/>
  <c r="J178" i="12"/>
  <c r="J166" i="12"/>
  <c r="J162" i="12"/>
  <c r="J158" i="12"/>
  <c r="J156" i="12"/>
  <c r="J154" i="12"/>
  <c r="J238" i="12"/>
  <c r="J220" i="12"/>
  <c r="J198" i="12"/>
  <c r="J188" i="12"/>
  <c r="J180" i="12"/>
  <c r="J172" i="12"/>
  <c r="J168" i="12"/>
  <c r="J239" i="12"/>
  <c r="J231" i="12"/>
  <c r="J227" i="12"/>
  <c r="J215" i="12"/>
  <c r="J199" i="12"/>
  <c r="J189" i="12"/>
  <c r="J181" i="12"/>
  <c r="J163" i="12"/>
  <c r="J159" i="12"/>
  <c r="J216" i="12"/>
  <c r="J210" i="12"/>
  <c r="J200" i="12"/>
  <c r="J190" i="12"/>
  <c r="J182" i="12"/>
  <c r="J150" i="12"/>
  <c r="J146" i="12"/>
  <c r="J142" i="12"/>
  <c r="J138" i="12"/>
  <c r="J134" i="12"/>
  <c r="J130" i="12"/>
  <c r="J126" i="12"/>
  <c r="J122" i="12"/>
  <c r="J118" i="12"/>
  <c r="J114" i="12"/>
  <c r="J110" i="12"/>
  <c r="J221" i="12"/>
  <c r="J217" i="12"/>
  <c r="J201" i="12"/>
  <c r="J191" i="12"/>
  <c r="J173" i="12"/>
  <c r="J169" i="12"/>
  <c r="J252" i="12"/>
  <c r="J240" i="12"/>
  <c r="J232" i="12"/>
  <c r="J228" i="12"/>
  <c r="J222" i="12"/>
  <c r="J202" i="12"/>
  <c r="J192" i="12"/>
  <c r="J164" i="12"/>
  <c r="J160" i="12"/>
  <c r="J251" i="12"/>
  <c r="J233" i="12"/>
  <c r="J223" i="12"/>
  <c r="J211" i="12"/>
  <c r="J203" i="12"/>
  <c r="J193" i="12"/>
  <c r="J183" i="12"/>
  <c r="J151" i="12"/>
  <c r="J147" i="12"/>
  <c r="J143" i="12"/>
  <c r="J139" i="12"/>
  <c r="J135" i="12"/>
  <c r="J131" i="12"/>
  <c r="J127" i="12"/>
  <c r="J123" i="12"/>
  <c r="J119" i="12"/>
  <c r="J256" i="12"/>
  <c r="J250" i="12"/>
  <c r="J234" i="12"/>
  <c r="J218" i="12"/>
  <c r="J212" i="12"/>
  <c r="J204" i="12"/>
  <c r="J194" i="12"/>
  <c r="J184" i="12"/>
  <c r="J174" i="12"/>
  <c r="J170" i="12"/>
  <c r="J249" i="12"/>
  <c r="J241" i="12"/>
  <c r="J229" i="12"/>
  <c r="J213" i="12"/>
  <c r="J205" i="12"/>
  <c r="J185" i="12"/>
  <c r="J175" i="12"/>
  <c r="J165" i="12"/>
  <c r="J161" i="12"/>
  <c r="J247" i="12"/>
  <c r="J243" i="12"/>
  <c r="J235" i="12"/>
  <c r="J225" i="12"/>
  <c r="J219" i="12"/>
  <c r="J207" i="12"/>
  <c r="J195" i="12"/>
  <c r="J177" i="12"/>
  <c r="J171" i="12"/>
  <c r="J157" i="12"/>
  <c r="R103" i="12"/>
  <c r="J106" i="12"/>
  <c r="R107" i="12"/>
  <c r="R114" i="12"/>
  <c r="R118" i="12"/>
  <c r="J125" i="12"/>
  <c r="J136" i="12"/>
  <c r="J167" i="12"/>
  <c r="N175" i="12"/>
  <c r="Z187" i="12"/>
  <c r="R198" i="12"/>
  <c r="N233" i="12"/>
  <c r="Z245" i="12"/>
  <c r="Z34" i="15"/>
  <c r="Z58" i="15"/>
  <c r="N84" i="15"/>
  <c r="Z91" i="15"/>
  <c r="N98" i="15"/>
  <c r="V157" i="15"/>
  <c r="N178" i="15"/>
  <c r="J270" i="18"/>
  <c r="J264" i="18"/>
  <c r="J252" i="18"/>
  <c r="J244" i="18"/>
  <c r="J240" i="18"/>
  <c r="J228" i="18"/>
  <c r="J222" i="18"/>
  <c r="J192" i="18"/>
  <c r="J168" i="18"/>
  <c r="J164" i="18"/>
  <c r="J160" i="18"/>
  <c r="J156" i="18"/>
  <c r="J152" i="18"/>
  <c r="J148" i="18"/>
  <c r="J144" i="18"/>
  <c r="J140" i="18"/>
  <c r="J136" i="18"/>
  <c r="J132" i="18"/>
  <c r="J128" i="18"/>
  <c r="J124" i="18"/>
  <c r="J120" i="18"/>
  <c r="J116" i="18"/>
  <c r="J263" i="18"/>
  <c r="J245" i="18"/>
  <c r="J223" i="18"/>
  <c r="J211" i="18"/>
  <c r="J193" i="18"/>
  <c r="J187" i="18"/>
  <c r="J173" i="18"/>
  <c r="J262" i="18"/>
  <c r="J246" i="18"/>
  <c r="J234" i="18"/>
  <c r="J212" i="18"/>
  <c r="J202" i="18"/>
  <c r="J194" i="18"/>
  <c r="J182" i="18"/>
  <c r="J178" i="18"/>
  <c r="J174" i="18"/>
  <c r="J172" i="18"/>
  <c r="J170" i="18"/>
  <c r="J261" i="18"/>
  <c r="J253" i="18"/>
  <c r="J241" i="18"/>
  <c r="J235" i="18"/>
  <c r="J229" i="18"/>
  <c r="J213" i="18"/>
  <c r="J203" i="18"/>
  <c r="J195" i="18"/>
  <c r="J260" i="18"/>
  <c r="J254" i="18"/>
  <c r="J236" i="18"/>
  <c r="J230" i="18"/>
  <c r="J224" i="18"/>
  <c r="J214" i="18"/>
  <c r="J204" i="18"/>
  <c r="J196" i="18"/>
  <c r="J188" i="18"/>
  <c r="J184" i="18"/>
  <c r="J259" i="18"/>
  <c r="J255" i="18"/>
  <c r="J247" i="18"/>
  <c r="J231" i="18"/>
  <c r="J215" i="18"/>
  <c r="J205" i="18"/>
  <c r="J197" i="18"/>
  <c r="J179" i="18"/>
  <c r="J175" i="18"/>
  <c r="J258" i="18"/>
  <c r="J248" i="18"/>
  <c r="J242" i="18"/>
  <c r="J216" i="18"/>
  <c r="J206" i="18"/>
  <c r="J198" i="18"/>
  <c r="J166" i="18"/>
  <c r="J162" i="18"/>
  <c r="J158" i="18"/>
  <c r="J154" i="18"/>
  <c r="J150" i="18"/>
  <c r="J146" i="18"/>
  <c r="J142" i="18"/>
  <c r="J138" i="18"/>
  <c r="J134" i="18"/>
  <c r="J130" i="18"/>
  <c r="J126" i="18"/>
  <c r="J122" i="18"/>
  <c r="J118" i="18"/>
  <c r="J250" i="18"/>
  <c r="J238" i="18"/>
  <c r="J232" i="18"/>
  <c r="J226" i="18"/>
  <c r="J218" i="18"/>
  <c r="J208" i="18"/>
  <c r="J180" i="18"/>
  <c r="J176" i="18"/>
  <c r="J265" i="18"/>
  <c r="J233" i="18"/>
  <c r="J221" i="18"/>
  <c r="J201" i="18"/>
  <c r="J191" i="18"/>
  <c r="J181" i="18"/>
  <c r="J177" i="18"/>
  <c r="J217" i="18"/>
  <c r="J209" i="18"/>
  <c r="J161" i="18"/>
  <c r="J159" i="18"/>
  <c r="J127" i="18"/>
  <c r="J239" i="18"/>
  <c r="J220" i="18"/>
  <c r="J186" i="18"/>
  <c r="J237" i="18"/>
  <c r="J157" i="18"/>
  <c r="J155" i="18"/>
  <c r="J125" i="18"/>
  <c r="J243" i="18"/>
  <c r="J199" i="18"/>
  <c r="J153" i="18"/>
  <c r="J151" i="18"/>
  <c r="J266" i="18"/>
  <c r="J190" i="18"/>
  <c r="J183" i="18"/>
  <c r="J123" i="18"/>
  <c r="J115" i="18"/>
  <c r="J149" i="18"/>
  <c r="J147" i="18"/>
  <c r="J145" i="18"/>
  <c r="J143" i="18"/>
  <c r="J141" i="18"/>
  <c r="J139" i="18"/>
  <c r="J137" i="18"/>
  <c r="J251" i="18"/>
  <c r="J249" i="18"/>
  <c r="J210" i="18"/>
  <c r="J185" i="18"/>
  <c r="J135" i="18"/>
  <c r="J121" i="18"/>
  <c r="J200" i="18"/>
  <c r="J133" i="18"/>
  <c r="J227" i="18"/>
  <c r="J189" i="18"/>
  <c r="J131" i="18"/>
  <c r="J119" i="18"/>
  <c r="J165" i="18"/>
  <c r="J163" i="18"/>
  <c r="J117" i="18"/>
  <c r="J98" i="15"/>
  <c r="J148" i="15"/>
  <c r="J150" i="15"/>
  <c r="J152" i="15"/>
  <c r="R153" i="15"/>
  <c r="J156" i="15"/>
  <c r="R157" i="15"/>
  <c r="J160" i="15"/>
  <c r="J172" i="15"/>
  <c r="J180" i="15"/>
  <c r="J190" i="15"/>
  <c r="R193" i="15"/>
  <c r="R194" i="15"/>
  <c r="R209" i="15"/>
  <c r="J212" i="15"/>
  <c r="J224" i="15"/>
  <c r="R225" i="15"/>
  <c r="R226" i="15"/>
  <c r="R233" i="15"/>
  <c r="R236" i="15"/>
  <c r="J240" i="15"/>
  <c r="J246" i="15"/>
  <c r="T257" i="18"/>
  <c r="X20" i="21"/>
  <c r="Z20" i="21" s="1"/>
  <c r="R99" i="15"/>
  <c r="J102" i="15"/>
  <c r="R103" i="15"/>
  <c r="J106" i="15"/>
  <c r="R107" i="15"/>
  <c r="J110" i="15"/>
  <c r="R111" i="15"/>
  <c r="J114" i="15"/>
  <c r="R115" i="15"/>
  <c r="J118" i="15"/>
  <c r="R119" i="15"/>
  <c r="J122" i="15"/>
  <c r="R123" i="15"/>
  <c r="J126" i="15"/>
  <c r="R127" i="15"/>
  <c r="J130" i="15"/>
  <c r="R131" i="15"/>
  <c r="J134" i="15"/>
  <c r="R135" i="15"/>
  <c r="J138" i="15"/>
  <c r="R139" i="15"/>
  <c r="J142" i="15"/>
  <c r="R143" i="15"/>
  <c r="J146" i="15"/>
  <c r="J170" i="15"/>
  <c r="R191" i="15"/>
  <c r="R192" i="15"/>
  <c r="J200" i="15"/>
  <c r="J206" i="15"/>
  <c r="R207" i="15"/>
  <c r="R208" i="15"/>
  <c r="J218" i="15"/>
  <c r="R219" i="15"/>
  <c r="J222" i="15"/>
  <c r="J230" i="15"/>
  <c r="R231" i="15"/>
  <c r="R232" i="15"/>
  <c r="R238" i="15"/>
  <c r="J242" i="15"/>
  <c r="P12" i="18"/>
  <c r="Z13" i="18"/>
  <c r="Z209" i="18"/>
  <c r="Z14" i="21"/>
  <c r="Z16" i="21"/>
  <c r="Z18" i="21"/>
  <c r="Z79" i="27"/>
  <c r="P148" i="15"/>
  <c r="R152" i="15"/>
  <c r="J155" i="15"/>
  <c r="R156" i="15"/>
  <c r="J159" i="15"/>
  <c r="R160" i="15"/>
  <c r="R161" i="15"/>
  <c r="J169" i="15"/>
  <c r="R172" i="15"/>
  <c r="R173" i="15"/>
  <c r="J179" i="15"/>
  <c r="R180" i="15"/>
  <c r="R181" i="15"/>
  <c r="J199" i="15"/>
  <c r="J211" i="15"/>
  <c r="R212" i="15"/>
  <c r="R213" i="15"/>
  <c r="R224" i="15"/>
  <c r="R239" i="15"/>
  <c r="R246" i="15"/>
  <c r="Z260" i="18"/>
  <c r="X17" i="24"/>
  <c r="Z17" i="24" s="1"/>
  <c r="X21" i="15"/>
  <c r="X25" i="15"/>
  <c r="X29" i="15"/>
  <c r="Z29" i="15" s="1"/>
  <c r="X33" i="15"/>
  <c r="X37" i="15"/>
  <c r="Z37" i="15" s="1"/>
  <c r="X41" i="15"/>
  <c r="X45" i="15"/>
  <c r="Z45" i="15" s="1"/>
  <c r="X53" i="15"/>
  <c r="Z53" i="15" s="1"/>
  <c r="X57" i="15"/>
  <c r="X69" i="15"/>
  <c r="Z69" i="15" s="1"/>
  <c r="X73" i="15"/>
  <c r="Z73" i="15" s="1"/>
  <c r="X77" i="15"/>
  <c r="Z77" i="15" s="1"/>
  <c r="X85" i="15"/>
  <c r="Z85" i="15" s="1"/>
  <c r="X89" i="15"/>
  <c r="Z89" i="15" s="1"/>
  <c r="X93" i="15"/>
  <c r="R98" i="15"/>
  <c r="R150" i="15"/>
  <c r="J164" i="15"/>
  <c r="R165" i="15"/>
  <c r="J168" i="15"/>
  <c r="J178" i="15"/>
  <c r="J188" i="15"/>
  <c r="R189" i="15"/>
  <c r="R190" i="15"/>
  <c r="J198" i="15"/>
  <c r="R201" i="15"/>
  <c r="R240" i="15"/>
  <c r="L238" i="18"/>
  <c r="N238" i="18" s="1"/>
  <c r="F79" i="21"/>
  <c r="F51" i="21"/>
  <c r="F81" i="21"/>
  <c r="F80" i="21"/>
  <c r="F92" i="21"/>
  <c r="F91" i="21"/>
  <c r="F76" i="21"/>
  <c r="F75" i="21"/>
  <c r="F64" i="21"/>
  <c r="F63" i="21"/>
  <c r="F87" i="21"/>
  <c r="F77" i="21"/>
  <c r="F96" i="21"/>
  <c r="F95" i="21"/>
  <c r="F88" i="21"/>
  <c r="F84" i="21"/>
  <c r="F83" i="21"/>
  <c r="F68" i="21"/>
  <c r="F67" i="21"/>
  <c r="F78" i="21"/>
  <c r="F70" i="21"/>
  <c r="F69" i="21"/>
  <c r="F58" i="21"/>
  <c r="F57" i="21"/>
  <c r="F102" i="21"/>
  <c r="F72" i="21"/>
  <c r="F71" i="21"/>
  <c r="F60" i="21"/>
  <c r="F59" i="21"/>
  <c r="F82" i="21"/>
  <c r="F74" i="21"/>
  <c r="F50" i="21"/>
  <c r="F44" i="21"/>
  <c r="F40" i="21"/>
  <c r="F39" i="21"/>
  <c r="L12" i="21"/>
  <c r="F86" i="21"/>
  <c r="F35" i="21"/>
  <c r="F31" i="21"/>
  <c r="F30" i="21"/>
  <c r="F29" i="21"/>
  <c r="F27" i="21"/>
  <c r="F54" i="21"/>
  <c r="F45" i="21"/>
  <c r="F41" i="21"/>
  <c r="D27" i="21"/>
  <c r="F94" i="21"/>
  <c r="F65" i="21"/>
  <c r="F36" i="21"/>
  <c r="F32" i="21"/>
  <c r="F47" i="21"/>
  <c r="F46" i="21"/>
  <c r="F90" i="21"/>
  <c r="F85" i="21"/>
  <c r="F55" i="21"/>
  <c r="F42" i="21"/>
  <c r="F73" i="21"/>
  <c r="F61" i="21"/>
  <c r="F52" i="21"/>
  <c r="F48" i="21"/>
  <c r="F37" i="21"/>
  <c r="F33" i="21"/>
  <c r="F49" i="21"/>
  <c r="F24" i="21"/>
  <c r="F23" i="21"/>
  <c r="F66" i="21"/>
  <c r="F56" i="21"/>
  <c r="F43" i="21"/>
  <c r="F93" i="21"/>
  <c r="F89" i="21"/>
  <c r="F62" i="21"/>
  <c r="F25" i="21"/>
  <c r="Z29" i="21"/>
  <c r="N59" i="21"/>
  <c r="L59" i="21"/>
  <c r="F98" i="21"/>
  <c r="Z13" i="15"/>
  <c r="J101" i="15"/>
  <c r="R102" i="15"/>
  <c r="J105" i="15"/>
  <c r="R106" i="15"/>
  <c r="J109" i="15"/>
  <c r="R110" i="15"/>
  <c r="J113" i="15"/>
  <c r="R114" i="15"/>
  <c r="J117" i="15"/>
  <c r="R118" i="15"/>
  <c r="J121" i="15"/>
  <c r="R122" i="15"/>
  <c r="J125" i="15"/>
  <c r="R126" i="15"/>
  <c r="J129" i="15"/>
  <c r="R130" i="15"/>
  <c r="J133" i="15"/>
  <c r="R134" i="15"/>
  <c r="J137" i="15"/>
  <c r="R138" i="15"/>
  <c r="J141" i="15"/>
  <c r="R142" i="15"/>
  <c r="J145" i="15"/>
  <c r="R146" i="15"/>
  <c r="R151" i="15"/>
  <c r="R170" i="15"/>
  <c r="R171" i="15"/>
  <c r="J177" i="15"/>
  <c r="J187" i="15"/>
  <c r="J197" i="15"/>
  <c r="J205" i="15"/>
  <c r="R206" i="15"/>
  <c r="J217" i="15"/>
  <c r="R218" i="15"/>
  <c r="J221" i="15"/>
  <c r="R222" i="15"/>
  <c r="R223" i="15"/>
  <c r="J229" i="15"/>
  <c r="R230" i="15"/>
  <c r="R241" i="15"/>
  <c r="Z262" i="18"/>
  <c r="X262" i="18"/>
  <c r="J90" i="21"/>
  <c r="J86" i="21"/>
  <c r="J80" i="21"/>
  <c r="J74" i="21"/>
  <c r="J62" i="21"/>
  <c r="J52" i="21"/>
  <c r="J92" i="21"/>
  <c r="J76" i="21"/>
  <c r="J64" i="21"/>
  <c r="J93" i="21"/>
  <c r="J87" i="21"/>
  <c r="J65" i="21"/>
  <c r="J94" i="21"/>
  <c r="J82" i="21"/>
  <c r="J96" i="21"/>
  <c r="J88" i="21"/>
  <c r="J84" i="21"/>
  <c r="J68" i="21"/>
  <c r="J56" i="21"/>
  <c r="J69" i="21"/>
  <c r="J89" i="21"/>
  <c r="J85" i="21"/>
  <c r="J71" i="21"/>
  <c r="J59" i="21"/>
  <c r="J49" i="21"/>
  <c r="J79" i="21"/>
  <c r="J73" i="21"/>
  <c r="J61" i="21"/>
  <c r="J51" i="21"/>
  <c r="J35" i="21"/>
  <c r="J31" i="21"/>
  <c r="J29" i="21"/>
  <c r="J78" i="21"/>
  <c r="J57" i="21"/>
  <c r="H27" i="21"/>
  <c r="J72" i="21"/>
  <c r="J60" i="21"/>
  <c r="J54" i="21"/>
  <c r="J45" i="21"/>
  <c r="J41" i="21"/>
  <c r="J83" i="21"/>
  <c r="J63" i="21"/>
  <c r="J46" i="21"/>
  <c r="J36" i="21"/>
  <c r="J32" i="21"/>
  <c r="J75" i="21"/>
  <c r="J55" i="21"/>
  <c r="J47" i="21"/>
  <c r="J70" i="21"/>
  <c r="J48" i="21"/>
  <c r="J42" i="21"/>
  <c r="J81" i="21"/>
  <c r="J77" i="21"/>
  <c r="J37" i="21"/>
  <c r="J33" i="21"/>
  <c r="J23" i="21"/>
  <c r="J95" i="21"/>
  <c r="J58" i="21"/>
  <c r="J24" i="21"/>
  <c r="J98" i="21"/>
  <c r="J66" i="21"/>
  <c r="J43" i="21"/>
  <c r="J53" i="21"/>
  <c r="J38" i="21"/>
  <c r="J34" i="21"/>
  <c r="J102" i="21"/>
  <c r="J67" i="21"/>
  <c r="J44" i="21"/>
  <c r="J40" i="21"/>
  <c r="J30" i="21"/>
  <c r="N12" i="21"/>
  <c r="N15" i="21"/>
  <c r="J50" i="21"/>
  <c r="J154" i="15"/>
  <c r="R155" i="15"/>
  <c r="J158" i="15"/>
  <c r="R159" i="15"/>
  <c r="R179" i="15"/>
  <c r="J186" i="15"/>
  <c r="J196" i="15"/>
  <c r="R199" i="15"/>
  <c r="R200" i="15"/>
  <c r="J204" i="15"/>
  <c r="J210" i="15"/>
  <c r="R211" i="15"/>
  <c r="J216" i="15"/>
  <c r="J228" i="15"/>
  <c r="R242" i="15"/>
  <c r="L42" i="18"/>
  <c r="L46" i="18"/>
  <c r="N46" i="18" s="1"/>
  <c r="L50" i="18"/>
  <c r="N50" i="18" s="1"/>
  <c r="L54" i="18"/>
  <c r="N54" i="18" s="1"/>
  <c r="L58" i="18"/>
  <c r="N58" i="18" s="1"/>
  <c r="L62" i="18"/>
  <c r="N62" i="18" s="1"/>
  <c r="L66" i="18"/>
  <c r="L70" i="18"/>
  <c r="N70" i="18" s="1"/>
  <c r="L74" i="18"/>
  <c r="N74" i="18" s="1"/>
  <c r="L78" i="18"/>
  <c r="N78" i="18" s="1"/>
  <c r="L82" i="18"/>
  <c r="N82" i="18" s="1"/>
  <c r="L86" i="18"/>
  <c r="N86" i="18" s="1"/>
  <c r="L90" i="18"/>
  <c r="N90" i="18" s="1"/>
  <c r="L94" i="18"/>
  <c r="N94" i="18" s="1"/>
  <c r="L98" i="18"/>
  <c r="L102" i="18"/>
  <c r="L106" i="18"/>
  <c r="N106" i="18" s="1"/>
  <c r="L110" i="18"/>
  <c r="N110" i="18" s="1"/>
  <c r="N172" i="18"/>
  <c r="Z200" i="18"/>
  <c r="N212" i="18"/>
  <c r="N214" i="18"/>
  <c r="N216" i="18"/>
  <c r="Z238" i="18"/>
  <c r="D257" i="18"/>
  <c r="L15" i="21"/>
  <c r="L19" i="21"/>
  <c r="N19" i="21" s="1"/>
  <c r="Z39" i="21"/>
  <c r="V98" i="27"/>
  <c r="V82" i="27"/>
  <c r="V74" i="27"/>
  <c r="V50" i="27"/>
  <c r="V46" i="27"/>
  <c r="V42" i="27"/>
  <c r="V38" i="27"/>
  <c r="V93" i="27"/>
  <c r="V73" i="27"/>
  <c r="V69" i="27"/>
  <c r="V100" i="27"/>
  <c r="V92" i="27"/>
  <c r="V84" i="27"/>
  <c r="V76" i="27"/>
  <c r="V64" i="27"/>
  <c r="V60" i="27"/>
  <c r="V95" i="27"/>
  <c r="V75" i="27"/>
  <c r="V51" i="27"/>
  <c r="V47" i="27"/>
  <c r="V43" i="27"/>
  <c r="V39" i="27"/>
  <c r="V102" i="27"/>
  <c r="V94" i="27"/>
  <c r="V86" i="27"/>
  <c r="V70" i="27"/>
  <c r="V101" i="27"/>
  <c r="V85" i="27"/>
  <c r="V77" i="27"/>
  <c r="V65" i="27"/>
  <c r="V61" i="27"/>
  <c r="V104" i="27"/>
  <c r="V96" i="27"/>
  <c r="V88" i="27"/>
  <c r="V52" i="27"/>
  <c r="V48" i="27"/>
  <c r="V44" i="27"/>
  <c r="V40" i="27"/>
  <c r="V109" i="27"/>
  <c r="V103" i="27"/>
  <c r="V87" i="27"/>
  <c r="V79" i="27"/>
  <c r="V71" i="27"/>
  <c r="V107" i="27"/>
  <c r="V105" i="27"/>
  <c r="V97" i="27"/>
  <c r="V89" i="27"/>
  <c r="V81" i="27"/>
  <c r="V57" i="27"/>
  <c r="V53" i="27"/>
  <c r="V49" i="27"/>
  <c r="V45" i="27"/>
  <c r="V41" i="27"/>
  <c r="V113" i="27"/>
  <c r="V99" i="27"/>
  <c r="V91" i="27"/>
  <c r="V83" i="27"/>
  <c r="V67" i="27"/>
  <c r="V63" i="27"/>
  <c r="V59" i="27"/>
  <c r="V68" i="27"/>
  <c r="V66" i="27"/>
  <c r="V90" i="27"/>
  <c r="V78" i="27"/>
  <c r="V72" i="27"/>
  <c r="V62" i="27"/>
  <c r="V80" i="27"/>
  <c r="V58" i="27"/>
  <c r="Z12" i="27"/>
  <c r="V108" i="27"/>
  <c r="T55" i="27"/>
  <c r="L69" i="33"/>
  <c r="N69" i="33" s="1"/>
  <c r="X177" i="12"/>
  <c r="Z177" i="12" s="1"/>
  <c r="X12" i="15"/>
  <c r="X16" i="15"/>
  <c r="Z16" i="15" s="1"/>
  <c r="X20" i="15"/>
  <c r="Z20" i="15" s="1"/>
  <c r="X28" i="15"/>
  <c r="Z28" i="15" s="1"/>
  <c r="X32" i="15"/>
  <c r="Z32" i="15" s="1"/>
  <c r="X36" i="15"/>
  <c r="Z36" i="15" s="1"/>
  <c r="X40" i="15"/>
  <c r="Z40" i="15" s="1"/>
  <c r="X44" i="15"/>
  <c r="Z44" i="15" s="1"/>
  <c r="X48" i="15"/>
  <c r="Z48" i="15" s="1"/>
  <c r="X52" i="15"/>
  <c r="Z52" i="15" s="1"/>
  <c r="X56" i="15"/>
  <c r="Z56" i="15" s="1"/>
  <c r="X60" i="15"/>
  <c r="X64" i="15"/>
  <c r="X80" i="15"/>
  <c r="Z80" i="15" s="1"/>
  <c r="J163" i="15"/>
  <c r="R164" i="15"/>
  <c r="J167" i="15"/>
  <c r="R168" i="15"/>
  <c r="R169" i="15"/>
  <c r="J185" i="15"/>
  <c r="R188" i="15"/>
  <c r="J195" i="15"/>
  <c r="J203" i="15"/>
  <c r="J215" i="15"/>
  <c r="J227" i="15"/>
  <c r="J235" i="15"/>
  <c r="X240" i="15"/>
  <c r="N14" i="18"/>
  <c r="X183" i="18"/>
  <c r="Z183" i="18" s="1"/>
  <c r="J25" i="21"/>
  <c r="N30" i="21"/>
  <c r="J100" i="15"/>
  <c r="R101" i="15"/>
  <c r="J104" i="15"/>
  <c r="R105" i="15"/>
  <c r="J108" i="15"/>
  <c r="R109" i="15"/>
  <c r="J112" i="15"/>
  <c r="R113" i="15"/>
  <c r="J116" i="15"/>
  <c r="R117" i="15"/>
  <c r="J120" i="15"/>
  <c r="R121" i="15"/>
  <c r="J124" i="15"/>
  <c r="R125" i="15"/>
  <c r="J128" i="15"/>
  <c r="R129" i="15"/>
  <c r="J132" i="15"/>
  <c r="R133" i="15"/>
  <c r="J136" i="15"/>
  <c r="R137" i="15"/>
  <c r="J140" i="15"/>
  <c r="R141" i="15"/>
  <c r="J144" i="15"/>
  <c r="R145" i="15"/>
  <c r="J176" i="15"/>
  <c r="R177" i="15"/>
  <c r="R178" i="15"/>
  <c r="J184" i="15"/>
  <c r="J194" i="15"/>
  <c r="R197" i="15"/>
  <c r="R198" i="15"/>
  <c r="R205" i="15"/>
  <c r="R217" i="15"/>
  <c r="J220" i="15"/>
  <c r="R221" i="15"/>
  <c r="J226" i="15"/>
  <c r="R229" i="15"/>
  <c r="J236" i="15"/>
  <c r="Z214" i="18"/>
  <c r="N220" i="18"/>
  <c r="N261" i="18"/>
  <c r="J153" i="15"/>
  <c r="R154" i="15"/>
  <c r="J157" i="15"/>
  <c r="R158" i="15"/>
  <c r="J175" i="15"/>
  <c r="J183" i="15"/>
  <c r="R186" i="15"/>
  <c r="R187" i="15"/>
  <c r="J193" i="15"/>
  <c r="J209" i="15"/>
  <c r="R210" i="15"/>
  <c r="J225" i="15"/>
  <c r="J233" i="15"/>
  <c r="J237" i="15"/>
  <c r="Z172" i="18"/>
  <c r="X203" i="18"/>
  <c r="Z203" i="18" s="1"/>
  <c r="L209" i="18"/>
  <c r="N209" i="18" s="1"/>
  <c r="Z212" i="18"/>
  <c r="L226" i="18"/>
  <c r="N226" i="18" s="1"/>
  <c r="N254" i="18"/>
  <c r="X261" i="18"/>
  <c r="Z261" i="18" s="1"/>
  <c r="X46" i="21"/>
  <c r="Z46" i="21" s="1"/>
  <c r="F53" i="21"/>
  <c r="J99" i="15"/>
  <c r="R100" i="15"/>
  <c r="J103" i="15"/>
  <c r="R104" i="15"/>
  <c r="J107" i="15"/>
  <c r="R108" i="15"/>
  <c r="J111" i="15"/>
  <c r="R112" i="15"/>
  <c r="J115" i="15"/>
  <c r="R116" i="15"/>
  <c r="J119" i="15"/>
  <c r="R120" i="15"/>
  <c r="J123" i="15"/>
  <c r="R124" i="15"/>
  <c r="J127" i="15"/>
  <c r="R128" i="15"/>
  <c r="J131" i="15"/>
  <c r="R132" i="15"/>
  <c r="J135" i="15"/>
  <c r="R136" i="15"/>
  <c r="J139" i="15"/>
  <c r="R140" i="15"/>
  <c r="J143" i="15"/>
  <c r="R144" i="15"/>
  <c r="H148" i="15"/>
  <c r="J161" i="15"/>
  <c r="J173" i="15"/>
  <c r="R176" i="15"/>
  <c r="J181" i="15"/>
  <c r="R184" i="15"/>
  <c r="R185" i="15"/>
  <c r="J191" i="15"/>
  <c r="J207" i="15"/>
  <c r="J213" i="15"/>
  <c r="J219" i="15"/>
  <c r="R220" i="15"/>
  <c r="J231" i="15"/>
  <c r="X222" i="18"/>
  <c r="Z222" i="18" s="1"/>
  <c r="Z226" i="18"/>
  <c r="X235" i="18"/>
  <c r="Z235" i="18" s="1"/>
  <c r="N248" i="18"/>
  <c r="Z254" i="18"/>
  <c r="X257" i="18"/>
  <c r="J91" i="21"/>
  <c r="X258" i="18"/>
  <c r="N20" i="21"/>
  <c r="X57" i="21"/>
  <c r="Z57" i="21" s="1"/>
  <c r="N91" i="21"/>
  <c r="Z19" i="24"/>
  <c r="Z25" i="24"/>
  <c r="N38" i="24"/>
  <c r="X46" i="24"/>
  <c r="Z46" i="24" s="1"/>
  <c r="Z49" i="24"/>
  <c r="Z84" i="24"/>
  <c r="R58" i="27"/>
  <c r="R71" i="27"/>
  <c r="X79" i="27"/>
  <c r="Z83" i="27"/>
  <c r="R93" i="30"/>
  <c r="T12" i="24"/>
  <c r="X13" i="24"/>
  <c r="Z38" i="24"/>
  <c r="Z42" i="24"/>
  <c r="F78" i="24"/>
  <c r="R77" i="30"/>
  <c r="H257" i="18"/>
  <c r="J257" i="18" s="1"/>
  <c r="L52" i="21"/>
  <c r="N52" i="21" s="1"/>
  <c r="Z69" i="21"/>
  <c r="L71" i="21"/>
  <c r="N71" i="21" s="1"/>
  <c r="Z13" i="24"/>
  <c r="X30" i="24"/>
  <c r="Z30" i="24" s="1"/>
  <c r="Z34" i="24"/>
  <c r="L88" i="24"/>
  <c r="N88" i="24" s="1"/>
  <c r="N90" i="24"/>
  <c r="R88" i="27"/>
  <c r="L93" i="27"/>
  <c r="N95" i="27"/>
  <c r="N107" i="27"/>
  <c r="H12" i="30"/>
  <c r="N15" i="30"/>
  <c r="R41" i="30"/>
  <c r="Z93" i="21"/>
  <c r="N47" i="24"/>
  <c r="L47" i="24"/>
  <c r="D12" i="27"/>
  <c r="L13" i="27"/>
  <c r="N13" i="27" s="1"/>
  <c r="N93" i="27"/>
  <c r="L14" i="21"/>
  <c r="N14" i="21" s="1"/>
  <c r="L18" i="21"/>
  <c r="N18" i="21" s="1"/>
  <c r="N48" i="21"/>
  <c r="X93" i="21"/>
  <c r="Z26" i="24"/>
  <c r="L39" i="24"/>
  <c r="N39" i="24" s="1"/>
  <c r="N43" i="24"/>
  <c r="L43" i="24"/>
  <c r="Z92" i="24"/>
  <c r="N106" i="24"/>
  <c r="Z109" i="27"/>
  <c r="Z38" i="30"/>
  <c r="X50" i="21"/>
  <c r="Z50" i="21" s="1"/>
  <c r="N75" i="21"/>
  <c r="X18" i="24"/>
  <c r="Z22" i="24"/>
  <c r="N33" i="24"/>
  <c r="L35" i="24"/>
  <c r="N35" i="24" s="1"/>
  <c r="F97" i="24"/>
  <c r="R113" i="27"/>
  <c r="R91" i="27"/>
  <c r="R68" i="27"/>
  <c r="R67" i="27"/>
  <c r="R63" i="27"/>
  <c r="R59" i="27"/>
  <c r="P55" i="27"/>
  <c r="R99" i="27"/>
  <c r="R98" i="27"/>
  <c r="R83" i="27"/>
  <c r="R82" i="27"/>
  <c r="R50" i="27"/>
  <c r="R46" i="27"/>
  <c r="R42" i="27"/>
  <c r="R74" i="27"/>
  <c r="R73" i="27"/>
  <c r="R69" i="27"/>
  <c r="R38" i="27"/>
  <c r="R100" i="27"/>
  <c r="R93" i="27"/>
  <c r="R92" i="27"/>
  <c r="R84" i="27"/>
  <c r="R64" i="27"/>
  <c r="R60" i="27"/>
  <c r="R76" i="27"/>
  <c r="R75" i="27"/>
  <c r="R51" i="27"/>
  <c r="R47" i="27"/>
  <c r="R43" i="27"/>
  <c r="R39" i="27"/>
  <c r="R95" i="27"/>
  <c r="R94" i="27"/>
  <c r="R70" i="27"/>
  <c r="R102" i="27"/>
  <c r="R101" i="27"/>
  <c r="R86" i="27"/>
  <c r="R85" i="27"/>
  <c r="R77" i="27"/>
  <c r="R65" i="27"/>
  <c r="R61" i="27"/>
  <c r="R96" i="27"/>
  <c r="R52" i="27"/>
  <c r="R48" i="27"/>
  <c r="R44" i="27"/>
  <c r="R40" i="27"/>
  <c r="R109" i="27"/>
  <c r="R79" i="27"/>
  <c r="R78" i="27"/>
  <c r="R66" i="27"/>
  <c r="R62" i="27"/>
  <c r="R81" i="27"/>
  <c r="R80" i="27"/>
  <c r="R72" i="27"/>
  <c r="R57" i="27"/>
  <c r="R55" i="27"/>
  <c r="X12" i="27"/>
  <c r="R45" i="27"/>
  <c r="X57" i="27"/>
  <c r="Z57" i="27" s="1"/>
  <c r="Z21" i="30"/>
  <c r="X21" i="30"/>
  <c r="Z23" i="30"/>
  <c r="X23" i="30"/>
  <c r="R70" i="30"/>
  <c r="Z18" i="24"/>
  <c r="N31" i="24"/>
  <c r="L31" i="24"/>
  <c r="Z19" i="27"/>
  <c r="Z23" i="27"/>
  <c r="Z27" i="27"/>
  <c r="Z31" i="27"/>
  <c r="Z35" i="27"/>
  <c r="R87" i="27"/>
  <c r="R104" i="27"/>
  <c r="P12" i="24"/>
  <c r="Z14" i="24"/>
  <c r="L27" i="24"/>
  <c r="N27" i="24" s="1"/>
  <c r="Z35" i="24"/>
  <c r="Z45" i="24"/>
  <c r="Z74" i="24"/>
  <c r="F99" i="24"/>
  <c r="X15" i="27"/>
  <c r="Z15" i="27" s="1"/>
  <c r="T12" i="33"/>
  <c r="N13" i="21"/>
  <c r="X63" i="21"/>
  <c r="Z63" i="21" s="1"/>
  <c r="N65" i="21"/>
  <c r="L80" i="21"/>
  <c r="N21" i="24"/>
  <c r="N23" i="24"/>
  <c r="L23" i="24"/>
  <c r="Z31" i="24"/>
  <c r="Z37" i="24"/>
  <c r="Z41" i="24"/>
  <c r="N84" i="24"/>
  <c r="X112" i="24"/>
  <c r="L26" i="27"/>
  <c r="N26" i="27" s="1"/>
  <c r="L30" i="27"/>
  <c r="N30" i="27" s="1"/>
  <c r="L34" i="27"/>
  <c r="N34" i="27" s="1"/>
  <c r="R89" i="27"/>
  <c r="P107" i="27"/>
  <c r="X107" i="27" s="1"/>
  <c r="Z107" i="27" s="1"/>
  <c r="Z35" i="30"/>
  <c r="X35" i="30"/>
  <c r="F110" i="24"/>
  <c r="F109" i="24"/>
  <c r="F102" i="24"/>
  <c r="F101" i="24"/>
  <c r="F70" i="24"/>
  <c r="F66" i="24"/>
  <c r="F62" i="24"/>
  <c r="F58" i="24"/>
  <c r="F54" i="24"/>
  <c r="F50" i="24"/>
  <c r="F49" i="24"/>
  <c r="F93" i="24"/>
  <c r="F92" i="24"/>
  <c r="F85" i="24"/>
  <c r="F84" i="24"/>
  <c r="F80" i="24"/>
  <c r="F76" i="24"/>
  <c r="F75" i="24"/>
  <c r="F112" i="24"/>
  <c r="F103" i="24"/>
  <c r="F74" i="24"/>
  <c r="F72" i="24"/>
  <c r="F67" i="24"/>
  <c r="F63" i="24"/>
  <c r="F59" i="24"/>
  <c r="F55" i="24"/>
  <c r="F51" i="24"/>
  <c r="F116" i="24"/>
  <c r="F94" i="24"/>
  <c r="F86" i="24"/>
  <c r="D72" i="24"/>
  <c r="F105" i="24"/>
  <c r="F104" i="24"/>
  <c r="F81" i="24"/>
  <c r="F77" i="24"/>
  <c r="F96" i="24"/>
  <c r="F95" i="24"/>
  <c r="F68" i="24"/>
  <c r="F64" i="24"/>
  <c r="F60" i="24"/>
  <c r="F56" i="24"/>
  <c r="F52" i="24"/>
  <c r="F107" i="24"/>
  <c r="F106" i="24"/>
  <c r="F87" i="24"/>
  <c r="F89" i="24"/>
  <c r="F88" i="24"/>
  <c r="F69" i="24"/>
  <c r="F65" i="24"/>
  <c r="F61" i="24"/>
  <c r="F57" i="24"/>
  <c r="F53" i="24"/>
  <c r="F91" i="24"/>
  <c r="F90" i="24"/>
  <c r="F83" i="24"/>
  <c r="F79" i="24"/>
  <c r="N17" i="24"/>
  <c r="N19" i="24"/>
  <c r="L19" i="24"/>
  <c r="H12" i="27"/>
  <c r="L14" i="27"/>
  <c r="N14" i="27" s="1"/>
  <c r="R53" i="27"/>
  <c r="R108" i="27"/>
  <c r="Z65" i="21"/>
  <c r="N15" i="24"/>
  <c r="L15" i="24"/>
  <c r="R41" i="27"/>
  <c r="R103" i="27"/>
  <c r="R67" i="30"/>
  <c r="R62" i="30"/>
  <c r="R58" i="30"/>
  <c r="R54" i="30"/>
  <c r="R50" i="30"/>
  <c r="R46" i="30"/>
  <c r="R42" i="30"/>
  <c r="R120" i="30"/>
  <c r="R72" i="30"/>
  <c r="R68" i="30"/>
  <c r="P64" i="30"/>
  <c r="R128" i="30"/>
  <c r="R127" i="30"/>
  <c r="R107" i="30"/>
  <c r="R96" i="30"/>
  <c r="R95" i="30"/>
  <c r="R84" i="30"/>
  <c r="R83" i="30"/>
  <c r="R59" i="30"/>
  <c r="R55" i="30"/>
  <c r="R51" i="30"/>
  <c r="R47" i="30"/>
  <c r="R43" i="30"/>
  <c r="R114" i="30"/>
  <c r="R78" i="30"/>
  <c r="R130" i="30"/>
  <c r="R129" i="30"/>
  <c r="R121" i="30"/>
  <c r="R98" i="30"/>
  <c r="R97" i="30"/>
  <c r="R86" i="30"/>
  <c r="R85" i="30"/>
  <c r="R73" i="30"/>
  <c r="R69" i="30"/>
  <c r="R109" i="30"/>
  <c r="R108" i="30"/>
  <c r="R60" i="30"/>
  <c r="R56" i="30"/>
  <c r="R52" i="30"/>
  <c r="R48" i="30"/>
  <c r="R44" i="30"/>
  <c r="R134" i="30"/>
  <c r="R131" i="30"/>
  <c r="R116" i="30"/>
  <c r="R115" i="30"/>
  <c r="R100" i="30"/>
  <c r="R99" i="30"/>
  <c r="R88" i="30"/>
  <c r="R87" i="30"/>
  <c r="R79" i="30"/>
  <c r="R118" i="30"/>
  <c r="R117" i="30"/>
  <c r="R102" i="30"/>
  <c r="R101" i="30"/>
  <c r="R90" i="30"/>
  <c r="R89" i="30"/>
  <c r="R61" i="30"/>
  <c r="R57" i="30"/>
  <c r="R53" i="30"/>
  <c r="R49" i="30"/>
  <c r="R45" i="30"/>
  <c r="R124" i="30"/>
  <c r="R123" i="30"/>
  <c r="R119" i="30"/>
  <c r="R112" i="30"/>
  <c r="R111" i="30"/>
  <c r="R104" i="30"/>
  <c r="R103" i="30"/>
  <c r="R92" i="30"/>
  <c r="R91" i="30"/>
  <c r="R76" i="30"/>
  <c r="R75" i="30"/>
  <c r="R71" i="30"/>
  <c r="R125" i="30"/>
  <c r="R106" i="30"/>
  <c r="R94" i="30"/>
  <c r="R74" i="30"/>
  <c r="X12" i="30"/>
  <c r="R82" i="30"/>
  <c r="R80" i="30"/>
  <c r="R110" i="30"/>
  <c r="R126" i="30"/>
  <c r="R122" i="30"/>
  <c r="R138" i="30"/>
  <c r="R81" i="30"/>
  <c r="R66" i="30"/>
  <c r="H12" i="24"/>
  <c r="N74" i="24"/>
  <c r="N15" i="27"/>
  <c r="N19" i="27"/>
  <c r="N23" i="27"/>
  <c r="N27" i="27"/>
  <c r="N31" i="27"/>
  <c r="N35" i="27"/>
  <c r="X38" i="30"/>
  <c r="N130" i="30"/>
  <c r="N14" i="33"/>
  <c r="L14" i="33"/>
  <c r="X20" i="33"/>
  <c r="Z20" i="33" s="1"/>
  <c r="X24" i="33"/>
  <c r="X28" i="33"/>
  <c r="N54" i="33"/>
  <c r="N108" i="36"/>
  <c r="Z27" i="39"/>
  <c r="Z16" i="30"/>
  <c r="N25" i="30"/>
  <c r="Z28" i="30"/>
  <c r="N128" i="30"/>
  <c r="Z14" i="33"/>
  <c r="N39" i="33"/>
  <c r="L67" i="33"/>
  <c r="N67" i="33" s="1"/>
  <c r="Z23" i="39"/>
  <c r="L20" i="42"/>
  <c r="D12" i="42"/>
  <c r="X108" i="27"/>
  <c r="Z108" i="27" s="1"/>
  <c r="Z18" i="30"/>
  <c r="Z30" i="30"/>
  <c r="Z66" i="30"/>
  <c r="L84" i="30"/>
  <c r="N86" i="30"/>
  <c r="N19" i="33"/>
  <c r="Z82" i="33"/>
  <c r="Z19" i="39"/>
  <c r="N26" i="39"/>
  <c r="Z25" i="30"/>
  <c r="N84" i="30"/>
  <c r="N88" i="30"/>
  <c r="L96" i="30"/>
  <c r="N96" i="30" s="1"/>
  <c r="N98" i="30"/>
  <c r="N15" i="33"/>
  <c r="X79" i="33"/>
  <c r="P78" i="33"/>
  <c r="Z15" i="36"/>
  <c r="X17" i="36"/>
  <c r="Z17" i="36" s="1"/>
  <c r="N63" i="36"/>
  <c r="H115" i="36"/>
  <c r="Z79" i="33"/>
  <c r="T78" i="33"/>
  <c r="L14" i="24"/>
  <c r="L18" i="24"/>
  <c r="N18" i="24" s="1"/>
  <c r="L22" i="24"/>
  <c r="N22" i="24" s="1"/>
  <c r="L26" i="24"/>
  <c r="N26" i="24" s="1"/>
  <c r="L30" i="24"/>
  <c r="N30" i="24" s="1"/>
  <c r="L34" i="24"/>
  <c r="L38" i="24"/>
  <c r="L42" i="24"/>
  <c r="N42" i="24" s="1"/>
  <c r="L46" i="24"/>
  <c r="N46" i="24" s="1"/>
  <c r="Z14" i="27"/>
  <c r="Z15" i="30"/>
  <c r="X15" i="30"/>
  <c r="X20" i="30"/>
  <c r="Z20" i="30" s="1"/>
  <c r="Z27" i="30"/>
  <c r="X27" i="30"/>
  <c r="X32" i="30"/>
  <c r="Z32" i="30" s="1"/>
  <c r="H12" i="33"/>
  <c r="V96" i="39"/>
  <c r="V92" i="39"/>
  <c r="V115" i="39"/>
  <c r="V107" i="39"/>
  <c r="V103" i="39"/>
  <c r="V91" i="39"/>
  <c r="V75" i="39"/>
  <c r="V98" i="39"/>
  <c r="V86" i="39"/>
  <c r="V97" i="39"/>
  <c r="V93" i="39"/>
  <c r="V123" i="39"/>
  <c r="V117" i="39"/>
  <c r="V109" i="39"/>
  <c r="V105" i="39"/>
  <c r="V101" i="39"/>
  <c r="V89" i="39"/>
  <c r="V81" i="39"/>
  <c r="V121" i="39"/>
  <c r="V119" i="39"/>
  <c r="V111" i="39"/>
  <c r="V95" i="39"/>
  <c r="V83" i="39"/>
  <c r="V71" i="39"/>
  <c r="V113" i="39"/>
  <c r="V118" i="39"/>
  <c r="V99" i="39"/>
  <c r="V84" i="39"/>
  <c r="V62" i="39"/>
  <c r="V124" i="39"/>
  <c r="V78" i="39"/>
  <c r="V70" i="39"/>
  <c r="V61" i="39"/>
  <c r="V53" i="39"/>
  <c r="V49" i="39"/>
  <c r="V87" i="39"/>
  <c r="V85" i="39"/>
  <c r="V69" i="39"/>
  <c r="V44" i="39"/>
  <c r="V40" i="39"/>
  <c r="V116" i="39"/>
  <c r="V114" i="39"/>
  <c r="V82" i="39"/>
  <c r="V79" i="39"/>
  <c r="V63" i="39"/>
  <c r="V31" i="39"/>
  <c r="V128" i="39"/>
  <c r="V112" i="39"/>
  <c r="V54" i="39"/>
  <c r="V50" i="39"/>
  <c r="V122" i="39"/>
  <c r="V45" i="39"/>
  <c r="V41" i="39"/>
  <c r="V90" i="39"/>
  <c r="V72" i="39"/>
  <c r="V64" i="39"/>
  <c r="V56" i="39"/>
  <c r="V32" i="39"/>
  <c r="V110" i="39"/>
  <c r="V104" i="39"/>
  <c r="V102" i="39"/>
  <c r="V100" i="39"/>
  <c r="V76" i="39"/>
  <c r="V55" i="39"/>
  <c r="V51" i="39"/>
  <c r="V108" i="39"/>
  <c r="V88" i="39"/>
  <c r="V65" i="39"/>
  <c r="V57" i="39"/>
  <c r="V37" i="39"/>
  <c r="V33" i="39"/>
  <c r="V94" i="39"/>
  <c r="V67" i="39"/>
  <c r="V59" i="39"/>
  <c r="V47" i="39"/>
  <c r="V43" i="39"/>
  <c r="V39" i="39"/>
  <c r="V58" i="39"/>
  <c r="V80" i="39"/>
  <c r="V77" i="39"/>
  <c r="V73" i="39"/>
  <c r="V60" i="39"/>
  <c r="V66" i="39"/>
  <c r="V38" i="39"/>
  <c r="V106" i="39"/>
  <c r="T35" i="39"/>
  <c r="V68" i="39"/>
  <c r="V48" i="39"/>
  <c r="V46" i="39"/>
  <c r="V74" i="39"/>
  <c r="V42" i="39"/>
  <c r="X49" i="24"/>
  <c r="L95" i="24"/>
  <c r="X101" i="24"/>
  <c r="Z101" i="24" s="1"/>
  <c r="X109" i="24"/>
  <c r="Z109" i="24" s="1"/>
  <c r="L68" i="27"/>
  <c r="N68" i="27" s="1"/>
  <c r="X86" i="27"/>
  <c r="Z86" i="27" s="1"/>
  <c r="X102" i="27"/>
  <c r="Z102" i="27" s="1"/>
  <c r="D12" i="30"/>
  <c r="Z22" i="30"/>
  <c r="Z34" i="30"/>
  <c r="X118" i="30"/>
  <c r="X124" i="30"/>
  <c r="Z124" i="30" s="1"/>
  <c r="X134" i="30"/>
  <c r="Z134" i="30" s="1"/>
  <c r="P133" i="30"/>
  <c r="X133" i="30" s="1"/>
  <c r="Z133" i="30" s="1"/>
  <c r="X17" i="33"/>
  <c r="Z17" i="33" s="1"/>
  <c r="L83" i="33"/>
  <c r="T12" i="30"/>
  <c r="Z17" i="30"/>
  <c r="Z29" i="30"/>
  <c r="X90" i="30"/>
  <c r="Z112" i="30"/>
  <c r="Z118" i="30"/>
  <c r="X13" i="33"/>
  <c r="Z13" i="33"/>
  <c r="L26" i="33"/>
  <c r="N26" i="33" s="1"/>
  <c r="H78" i="33"/>
  <c r="Z112" i="36"/>
  <c r="V52" i="39"/>
  <c r="N38" i="30"/>
  <c r="Z90" i="30"/>
  <c r="N22" i="33"/>
  <c r="L22" i="33"/>
  <c r="X14" i="30"/>
  <c r="Z14" i="30" s="1"/>
  <c r="X19" i="30"/>
  <c r="Z19" i="30" s="1"/>
  <c r="X24" i="30"/>
  <c r="Z24" i="30" s="1"/>
  <c r="X26" i="30"/>
  <c r="Z26" i="30" s="1"/>
  <c r="X31" i="30"/>
  <c r="Z31" i="30" s="1"/>
  <c r="X36" i="30"/>
  <c r="Z36" i="30" s="1"/>
  <c r="Z76" i="30"/>
  <c r="X92" i="30"/>
  <c r="Z92" i="30" s="1"/>
  <c r="Z102" i="30"/>
  <c r="Z104" i="30"/>
  <c r="N18" i="33"/>
  <c r="L18" i="33"/>
  <c r="D85" i="33"/>
  <c r="X63" i="33"/>
  <c r="Z63" i="33" s="1"/>
  <c r="N75" i="33"/>
  <c r="P12" i="33"/>
  <c r="Z21" i="33"/>
  <c r="Z25" i="33"/>
  <c r="F42" i="33"/>
  <c r="F46" i="33"/>
  <c r="F69" i="33"/>
  <c r="F70" i="33"/>
  <c r="F74" i="33"/>
  <c r="L80" i="33"/>
  <c r="N80" i="33" s="1"/>
  <c r="F83" i="33"/>
  <c r="T12" i="36"/>
  <c r="Z13" i="36"/>
  <c r="X15" i="36"/>
  <c r="D12" i="39"/>
  <c r="L13" i="39"/>
  <c r="N13" i="39" s="1"/>
  <c r="Z37" i="39"/>
  <c r="N72" i="42"/>
  <c r="F32" i="33"/>
  <c r="F37" i="33"/>
  <c r="F39" i="33"/>
  <c r="F67" i="33"/>
  <c r="F68" i="33"/>
  <c r="L82" i="33"/>
  <c r="N82" i="33" s="1"/>
  <c r="N19" i="36"/>
  <c r="N26" i="36"/>
  <c r="N95" i="36"/>
  <c r="X112" i="36"/>
  <c r="L116" i="36"/>
  <c r="N116" i="36" s="1"/>
  <c r="R114" i="39"/>
  <c r="R113" i="39"/>
  <c r="R96" i="39"/>
  <c r="R85" i="39"/>
  <c r="R84" i="39"/>
  <c r="R115" i="39"/>
  <c r="R107" i="39"/>
  <c r="R103" i="39"/>
  <c r="R92" i="39"/>
  <c r="R91" i="39"/>
  <c r="R86" i="39"/>
  <c r="R116" i="39"/>
  <c r="R108" i="39"/>
  <c r="R104" i="39"/>
  <c r="R94" i="39"/>
  <c r="R79" i="39"/>
  <c r="R78" i="39"/>
  <c r="R123" i="39"/>
  <c r="R101" i="39"/>
  <c r="R100" i="39"/>
  <c r="R89" i="39"/>
  <c r="R88" i="39"/>
  <c r="R81" i="39"/>
  <c r="R80" i="39"/>
  <c r="R128" i="39"/>
  <c r="R121" i="39"/>
  <c r="R106" i="39"/>
  <c r="R102" i="39"/>
  <c r="R74" i="39"/>
  <c r="R68" i="39"/>
  <c r="R67" i="39"/>
  <c r="R60" i="39"/>
  <c r="R59" i="39"/>
  <c r="R48" i="39"/>
  <c r="R47" i="39"/>
  <c r="R43" i="39"/>
  <c r="R39" i="39"/>
  <c r="P35" i="39"/>
  <c r="R111" i="39"/>
  <c r="R99" i="39"/>
  <c r="R118" i="39"/>
  <c r="R62" i="39"/>
  <c r="R61" i="39"/>
  <c r="R53" i="39"/>
  <c r="R49" i="39"/>
  <c r="R124" i="39"/>
  <c r="R105" i="39"/>
  <c r="R87" i="39"/>
  <c r="R75" i="39"/>
  <c r="R70" i="39"/>
  <c r="R69" i="39"/>
  <c r="R44" i="39"/>
  <c r="R40" i="39"/>
  <c r="R97" i="39"/>
  <c r="R82" i="39"/>
  <c r="R63" i="39"/>
  <c r="R109" i="39"/>
  <c r="R95" i="39"/>
  <c r="R54" i="39"/>
  <c r="R50" i="39"/>
  <c r="R31" i="39"/>
  <c r="R119" i="39"/>
  <c r="R112" i="39"/>
  <c r="R93" i="39"/>
  <c r="R71" i="39"/>
  <c r="R45" i="39"/>
  <c r="R41" i="39"/>
  <c r="R122" i="39"/>
  <c r="R98" i="39"/>
  <c r="R90" i="39"/>
  <c r="R83" i="39"/>
  <c r="R64" i="39"/>
  <c r="R32" i="39"/>
  <c r="R110" i="39"/>
  <c r="R46" i="39"/>
  <c r="R42" i="39"/>
  <c r="R73" i="39"/>
  <c r="R52" i="39"/>
  <c r="R37" i="39"/>
  <c r="X12" i="39"/>
  <c r="Z12" i="39" s="1"/>
  <c r="R117" i="39"/>
  <c r="F49" i="33"/>
  <c r="F50" i="33"/>
  <c r="F65" i="33"/>
  <c r="F66" i="33"/>
  <c r="D12" i="36"/>
  <c r="N14" i="36"/>
  <c r="X23" i="36"/>
  <c r="Z23" i="36" s="1"/>
  <c r="N70" i="36"/>
  <c r="L74" i="36"/>
  <c r="N106" i="36"/>
  <c r="P115" i="36"/>
  <c r="N38" i="39"/>
  <c r="N66" i="39"/>
  <c r="F30" i="33"/>
  <c r="F31" i="33"/>
  <c r="F35" i="33"/>
  <c r="F54" i="33"/>
  <c r="F55" i="33"/>
  <c r="X21" i="36"/>
  <c r="Z21" i="36" s="1"/>
  <c r="N43" i="36"/>
  <c r="N76" i="36"/>
  <c r="N84" i="36"/>
  <c r="Z116" i="36"/>
  <c r="T115" i="36"/>
  <c r="L22" i="39"/>
  <c r="N22" i="39" s="1"/>
  <c r="L26" i="39"/>
  <c r="N31" i="39"/>
  <c r="R33" i="39"/>
  <c r="R72" i="39"/>
  <c r="L79" i="39"/>
  <c r="N79" i="39" s="1"/>
  <c r="F63" i="33"/>
  <c r="F64" i="33"/>
  <c r="F72" i="33"/>
  <c r="N78" i="36"/>
  <c r="N80" i="36"/>
  <c r="Z104" i="36"/>
  <c r="Z106" i="36"/>
  <c r="H12" i="39"/>
  <c r="L14" i="39"/>
  <c r="N14" i="39" s="1"/>
  <c r="L13" i="33"/>
  <c r="L17" i="33"/>
  <c r="N17" i="33" s="1"/>
  <c r="L21" i="33"/>
  <c r="N21" i="33" s="1"/>
  <c r="L25" i="33"/>
  <c r="F53" i="33"/>
  <c r="F78" i="33"/>
  <c r="N18" i="36"/>
  <c r="Z70" i="36"/>
  <c r="Z72" i="36"/>
  <c r="L78" i="36"/>
  <c r="L80" i="36"/>
  <c r="X104" i="36"/>
  <c r="X106" i="36"/>
  <c r="Z118" i="36"/>
  <c r="N18" i="39"/>
  <c r="N24" i="39"/>
  <c r="N58" i="39"/>
  <c r="R77" i="39"/>
  <c r="Z79" i="39"/>
  <c r="Z81" i="39"/>
  <c r="L67" i="30"/>
  <c r="N67" i="30" s="1"/>
  <c r="X109" i="30"/>
  <c r="Z109" i="30" s="1"/>
  <c r="N13" i="33"/>
  <c r="L30" i="33"/>
  <c r="N30" i="33" s="1"/>
  <c r="F34" i="33"/>
  <c r="L54" i="33"/>
  <c r="X60" i="33"/>
  <c r="Z60" i="33" s="1"/>
  <c r="F62" i="33"/>
  <c r="F79" i="33"/>
  <c r="X82" i="33"/>
  <c r="R51" i="39"/>
  <c r="F43" i="33"/>
  <c r="F47" i="33"/>
  <c r="F71" i="33"/>
  <c r="F80" i="33"/>
  <c r="H12" i="36"/>
  <c r="N55" i="36"/>
  <c r="Z80" i="36"/>
  <c r="R58" i="39"/>
  <c r="F33" i="33"/>
  <c r="F60" i="33"/>
  <c r="F61" i="33"/>
  <c r="F82" i="33"/>
  <c r="P12" i="36"/>
  <c r="N15" i="36"/>
  <c r="L17" i="36"/>
  <c r="N17" i="36" s="1"/>
  <c r="Z32" i="36"/>
  <c r="L83" i="39"/>
  <c r="N83" i="39" s="1"/>
  <c r="Z123" i="39"/>
  <c r="R38" i="42"/>
  <c r="Z77" i="39"/>
  <c r="R116" i="42"/>
  <c r="R94" i="42"/>
  <c r="R90" i="42"/>
  <c r="R59" i="42"/>
  <c r="R58" i="42"/>
  <c r="R51" i="42"/>
  <c r="R50" i="42"/>
  <c r="R31" i="42"/>
  <c r="R26" i="42"/>
  <c r="R102" i="42"/>
  <c r="R101" i="42"/>
  <c r="R78" i="42"/>
  <c r="R77" i="42"/>
  <c r="R70" i="42"/>
  <c r="R69" i="42"/>
  <c r="R45" i="42"/>
  <c r="R30" i="42"/>
  <c r="R28" i="42"/>
  <c r="R84" i="42"/>
  <c r="R61" i="42"/>
  <c r="R60" i="42"/>
  <c r="R53" i="42"/>
  <c r="R52" i="42"/>
  <c r="R41" i="42"/>
  <c r="R40" i="42"/>
  <c r="R36" i="42"/>
  <c r="R32" i="42"/>
  <c r="P28" i="42"/>
  <c r="R103" i="42"/>
  <c r="R95" i="42"/>
  <c r="R91" i="42"/>
  <c r="R79" i="42"/>
  <c r="R72" i="42"/>
  <c r="R71" i="42"/>
  <c r="R85" i="42"/>
  <c r="R74" i="42"/>
  <c r="R73" i="42"/>
  <c r="R37" i="42"/>
  <c r="R33" i="42"/>
  <c r="R104" i="42"/>
  <c r="R96" i="42"/>
  <c r="R92" i="42"/>
  <c r="R81" i="42"/>
  <c r="R80" i="42"/>
  <c r="R64" i="42"/>
  <c r="R56" i="42"/>
  <c r="R75" i="42"/>
  <c r="R47" i="42"/>
  <c r="R43" i="42"/>
  <c r="R24" i="42"/>
  <c r="R112" i="42"/>
  <c r="R106" i="42"/>
  <c r="R105" i="42"/>
  <c r="R98" i="42"/>
  <c r="R97" i="42"/>
  <c r="R93" i="42"/>
  <c r="R66" i="42"/>
  <c r="R65" i="42"/>
  <c r="R57" i="42"/>
  <c r="R25" i="42"/>
  <c r="R110" i="42"/>
  <c r="R107" i="42"/>
  <c r="R100" i="42"/>
  <c r="R99" i="42"/>
  <c r="R83" i="42"/>
  <c r="R68" i="42"/>
  <c r="R67" i="42"/>
  <c r="R39" i="42"/>
  <c r="R35" i="42"/>
  <c r="N20" i="42"/>
  <c r="L72" i="42"/>
  <c r="N74" i="42"/>
  <c r="J81" i="42"/>
  <c r="Z106" i="42"/>
  <c r="Z110" i="42"/>
  <c r="T109" i="42"/>
  <c r="P109" i="42"/>
  <c r="X112" i="42"/>
  <c r="Z112" i="42" s="1"/>
  <c r="Z17" i="45"/>
  <c r="T12" i="45"/>
  <c r="X21" i="55"/>
  <c r="Z21" i="55" s="1"/>
  <c r="D115" i="36"/>
  <c r="L115" i="36" s="1"/>
  <c r="N85" i="39"/>
  <c r="Z18" i="42"/>
  <c r="Z20" i="42"/>
  <c r="R34" i="42"/>
  <c r="N68" i="42"/>
  <c r="X74" i="42"/>
  <c r="Z74" i="42" s="1"/>
  <c r="Z36" i="51"/>
  <c r="X36" i="51"/>
  <c r="Z83" i="39"/>
  <c r="R88" i="42"/>
  <c r="T12" i="51"/>
  <c r="X21" i="51"/>
  <c r="Z21" i="51" s="1"/>
  <c r="J105" i="42"/>
  <c r="J97" i="42"/>
  <c r="J93" i="42"/>
  <c r="J87" i="42"/>
  <c r="J65" i="42"/>
  <c r="J57" i="42"/>
  <c r="J25" i="42"/>
  <c r="J112" i="42"/>
  <c r="J106" i="42"/>
  <c r="J98" i="42"/>
  <c r="J88" i="42"/>
  <c r="J76" i="42"/>
  <c r="J66" i="42"/>
  <c r="J48" i="42"/>
  <c r="J44" i="42"/>
  <c r="J111" i="42"/>
  <c r="J107" i="42"/>
  <c r="J99" i="42"/>
  <c r="J89" i="42"/>
  <c r="J83" i="42"/>
  <c r="J67" i="42"/>
  <c r="J49" i="42"/>
  <c r="J39" i="42"/>
  <c r="J35" i="42"/>
  <c r="J116" i="42"/>
  <c r="J110" i="42"/>
  <c r="J100" i="42"/>
  <c r="J94" i="42"/>
  <c r="J90" i="42"/>
  <c r="J68" i="42"/>
  <c r="J58" i="42"/>
  <c r="J50" i="42"/>
  <c r="J26" i="42"/>
  <c r="J101" i="42"/>
  <c r="J77" i="42"/>
  <c r="J102" i="42"/>
  <c r="J84" i="42"/>
  <c r="J78" i="42"/>
  <c r="J70" i="42"/>
  <c r="J60" i="42"/>
  <c r="J52" i="42"/>
  <c r="J40" i="42"/>
  <c r="J36" i="42"/>
  <c r="J32" i="42"/>
  <c r="J30" i="42"/>
  <c r="J103" i="42"/>
  <c r="J95" i="42"/>
  <c r="J91" i="42"/>
  <c r="J79" i="42"/>
  <c r="J71" i="42"/>
  <c r="J61" i="42"/>
  <c r="J53" i="42"/>
  <c r="J41" i="42"/>
  <c r="H28" i="42"/>
  <c r="J72" i="42"/>
  <c r="J62" i="42"/>
  <c r="J54" i="42"/>
  <c r="J46" i="42"/>
  <c r="J42" i="42"/>
  <c r="J104" i="42"/>
  <c r="J96" i="42"/>
  <c r="J92" i="42"/>
  <c r="J80" i="42"/>
  <c r="J74" i="42"/>
  <c r="J64" i="42"/>
  <c r="J56" i="42"/>
  <c r="J86" i="42"/>
  <c r="J82" i="42"/>
  <c r="J38" i="42"/>
  <c r="J34" i="42"/>
  <c r="J24" i="42"/>
  <c r="Z30" i="42"/>
  <c r="R49" i="42"/>
  <c r="R62" i="42"/>
  <c r="X66" i="42"/>
  <c r="Z68" i="42"/>
  <c r="N111" i="42"/>
  <c r="X59" i="45"/>
  <c r="Z59" i="45" s="1"/>
  <c r="N59" i="42"/>
  <c r="Z66" i="42"/>
  <c r="L16" i="39"/>
  <c r="N16" i="39" s="1"/>
  <c r="L20" i="39"/>
  <c r="N20" i="39" s="1"/>
  <c r="L24" i="39"/>
  <c r="L28" i="39"/>
  <c r="N28" i="39" s="1"/>
  <c r="N121" i="39"/>
  <c r="J59" i="42"/>
  <c r="R82" i="42"/>
  <c r="Z98" i="42"/>
  <c r="X100" i="42"/>
  <c r="Z100" i="42" s="1"/>
  <c r="R111" i="42"/>
  <c r="X13" i="39"/>
  <c r="L72" i="39"/>
  <c r="N72" i="39" s="1"/>
  <c r="T121" i="39"/>
  <c r="X121" i="39" s="1"/>
  <c r="J33" i="42"/>
  <c r="J69" i="42"/>
  <c r="J85" i="42"/>
  <c r="N89" i="42"/>
  <c r="Z13" i="39"/>
  <c r="X74" i="39"/>
  <c r="Z74" i="39" s="1"/>
  <c r="N77" i="39"/>
  <c r="Z15" i="42"/>
  <c r="X15" i="42"/>
  <c r="T12" i="42"/>
  <c r="J55" i="42"/>
  <c r="R87" i="42"/>
  <c r="Z101" i="39"/>
  <c r="Z19" i="42"/>
  <c r="X19" i="42"/>
  <c r="Z24" i="42"/>
  <c r="J31" i="42"/>
  <c r="R46" i="42"/>
  <c r="R48" i="42"/>
  <c r="R89" i="42"/>
  <c r="Z13" i="45"/>
  <c r="X17" i="45"/>
  <c r="Z45" i="45"/>
  <c r="J52" i="48"/>
  <c r="J42" i="48"/>
  <c r="J28" i="48"/>
  <c r="J24" i="48"/>
  <c r="J44" i="48"/>
  <c r="J34" i="48"/>
  <c r="J30" i="48"/>
  <c r="J20" i="48"/>
  <c r="J46" i="48"/>
  <c r="H17" i="48"/>
  <c r="J47" i="48"/>
  <c r="J35" i="48"/>
  <c r="J31" i="48"/>
  <c r="J56" i="48"/>
  <c r="J53" i="48"/>
  <c r="J63" i="48"/>
  <c r="J43" i="48"/>
  <c r="J40" i="48"/>
  <c r="J23" i="48"/>
  <c r="J51" i="48"/>
  <c r="J29" i="48"/>
  <c r="J26" i="48"/>
  <c r="J54" i="48"/>
  <c r="J48" i="48"/>
  <c r="J37" i="48"/>
  <c r="J32" i="48"/>
  <c r="J21" i="48"/>
  <c r="J59" i="48"/>
  <c r="J15" i="48"/>
  <c r="J41" i="48"/>
  <c r="N12" i="48"/>
  <c r="J49" i="48"/>
  <c r="J27" i="48"/>
  <c r="D12" i="45"/>
  <c r="L14" i="45"/>
  <c r="N14" i="45" s="1"/>
  <c r="Z57" i="45"/>
  <c r="N70" i="45"/>
  <c r="Z82" i="45"/>
  <c r="X29" i="48"/>
  <c r="Z29" i="48" s="1"/>
  <c r="N38" i="48"/>
  <c r="L38" i="48"/>
  <c r="R85" i="51"/>
  <c r="X122" i="39"/>
  <c r="Z122" i="39" s="1"/>
  <c r="D109" i="42"/>
  <c r="N18" i="45"/>
  <c r="Z70" i="45"/>
  <c r="J25" i="48"/>
  <c r="R60" i="51"/>
  <c r="R65" i="51"/>
  <c r="L48" i="48"/>
  <c r="F48" i="48"/>
  <c r="L58" i="48"/>
  <c r="L13" i="42"/>
  <c r="N13" i="42" s="1"/>
  <c r="H109" i="42"/>
  <c r="J109" i="42" s="1"/>
  <c r="N26" i="45"/>
  <c r="X27" i="45"/>
  <c r="Z27" i="45" s="1"/>
  <c r="P12" i="48"/>
  <c r="X13" i="48"/>
  <c r="Z13" i="48" s="1"/>
  <c r="J33" i="48"/>
  <c r="Z52" i="51"/>
  <c r="L55" i="48"/>
  <c r="N55" i="48" s="1"/>
  <c r="N88" i="51"/>
  <c r="H87" i="51"/>
  <c r="L88" i="51"/>
  <c r="N67" i="56"/>
  <c r="L67" i="56"/>
  <c r="L114" i="39"/>
  <c r="N114" i="39" s="1"/>
  <c r="L31" i="42"/>
  <c r="N31" i="42" s="1"/>
  <c r="L51" i="42"/>
  <c r="N51" i="42" s="1"/>
  <c r="L59" i="42"/>
  <c r="X81" i="42"/>
  <c r="Z81" i="42" s="1"/>
  <c r="L53" i="45"/>
  <c r="N53" i="45" s="1"/>
  <c r="J55" i="48"/>
  <c r="Z20" i="51"/>
  <c r="N51" i="45"/>
  <c r="Z46" i="48"/>
  <c r="V46" i="48"/>
  <c r="Z16" i="51"/>
  <c r="X32" i="51"/>
  <c r="R46" i="51"/>
  <c r="H12" i="45"/>
  <c r="L82" i="45"/>
  <c r="N82" i="45" s="1"/>
  <c r="Z19" i="48"/>
  <c r="X19" i="48"/>
  <c r="V19" i="48"/>
  <c r="X50" i="48"/>
  <c r="Z50" i="48" s="1"/>
  <c r="R52" i="51"/>
  <c r="R47" i="51"/>
  <c r="R43" i="51"/>
  <c r="R39" i="51"/>
  <c r="R62" i="51"/>
  <c r="R61" i="51"/>
  <c r="R57" i="51"/>
  <c r="R53" i="51"/>
  <c r="P49" i="51"/>
  <c r="R63" i="51"/>
  <c r="R36" i="51"/>
  <c r="R82" i="51"/>
  <c r="R71" i="51"/>
  <c r="R70" i="51"/>
  <c r="R58" i="51"/>
  <c r="R54" i="51"/>
  <c r="R94" i="51"/>
  <c r="R77" i="51"/>
  <c r="R78" i="51"/>
  <c r="R72" i="51"/>
  <c r="R69" i="51"/>
  <c r="R42" i="51"/>
  <c r="R37" i="51"/>
  <c r="R84" i="51"/>
  <c r="R79" i="51"/>
  <c r="R73" i="51"/>
  <c r="R66" i="51"/>
  <c r="R64" i="51"/>
  <c r="R59" i="51"/>
  <c r="R76" i="51"/>
  <c r="R55" i="51"/>
  <c r="R45" i="51"/>
  <c r="R40" i="51"/>
  <c r="R88" i="51"/>
  <c r="R67" i="51"/>
  <c r="R49" i="51"/>
  <c r="R89" i="51"/>
  <c r="R80" i="51"/>
  <c r="R38" i="51"/>
  <c r="R74" i="51"/>
  <c r="R90" i="51"/>
  <c r="R83" i="51"/>
  <c r="R44" i="51"/>
  <c r="Z32" i="51"/>
  <c r="R41" i="51"/>
  <c r="R51" i="51"/>
  <c r="R56" i="51"/>
  <c r="T87" i="51"/>
  <c r="X15" i="45"/>
  <c r="Z15" i="45" s="1"/>
  <c r="P12" i="45"/>
  <c r="N17" i="45"/>
  <c r="X47" i="45"/>
  <c r="Z47" i="45" s="1"/>
  <c r="J45" i="48"/>
  <c r="R75" i="51"/>
  <c r="N45" i="45"/>
  <c r="Z51" i="45"/>
  <c r="Z63" i="45"/>
  <c r="F63" i="48"/>
  <c r="F58" i="48"/>
  <c r="F41" i="48"/>
  <c r="F40" i="48"/>
  <c r="F33" i="48"/>
  <c r="F43" i="48"/>
  <c r="F42" i="48"/>
  <c r="F53" i="48"/>
  <c r="F45" i="48"/>
  <c r="F44" i="48"/>
  <c r="F25" i="48"/>
  <c r="F21" i="48"/>
  <c r="F20" i="48"/>
  <c r="F19" i="48"/>
  <c r="F15" i="48"/>
  <c r="D17" i="48"/>
  <c r="F22" i="48"/>
  <c r="V31" i="48"/>
  <c r="F35" i="48"/>
  <c r="F38" i="48"/>
  <c r="V53" i="48"/>
  <c r="F55" i="48"/>
  <c r="L26" i="51"/>
  <c r="Z33" i="51"/>
  <c r="N71" i="51"/>
  <c r="X75" i="51"/>
  <c r="Z75" i="51" s="1"/>
  <c r="T31" i="54"/>
  <c r="L18" i="55"/>
  <c r="N18" i="55" s="1"/>
  <c r="X14" i="56"/>
  <c r="P16" i="56"/>
  <c r="Z55" i="56"/>
  <c r="X55" i="56"/>
  <c r="Z63" i="56"/>
  <c r="X63" i="56"/>
  <c r="Z26" i="51"/>
  <c r="N62" i="51"/>
  <c r="X89" i="51"/>
  <c r="L44" i="64"/>
  <c r="N44" i="64" s="1"/>
  <c r="T17" i="48"/>
  <c r="F29" i="48"/>
  <c r="F32" i="48"/>
  <c r="F37" i="48"/>
  <c r="Z42" i="48"/>
  <c r="N44" i="48"/>
  <c r="F54" i="48"/>
  <c r="H58" i="48"/>
  <c r="J58" i="48" s="1"/>
  <c r="N14" i="51"/>
  <c r="N17" i="51"/>
  <c r="X29" i="51"/>
  <c r="Z29" i="51" s="1"/>
  <c r="L84" i="51"/>
  <c r="N84" i="51" s="1"/>
  <c r="P87" i="51"/>
  <c r="Z16" i="68"/>
  <c r="T52" i="68"/>
  <c r="V48" i="48"/>
  <c r="V36" i="48"/>
  <c r="V54" i="48"/>
  <c r="V50" i="48"/>
  <c r="V38" i="48"/>
  <c r="V26" i="48"/>
  <c r="V22" i="48"/>
  <c r="V58" i="48"/>
  <c r="V56" i="48"/>
  <c r="V40" i="48"/>
  <c r="V32" i="48"/>
  <c r="V51" i="48"/>
  <c r="V39" i="48"/>
  <c r="V27" i="48"/>
  <c r="V23" i="48"/>
  <c r="V17" i="48"/>
  <c r="F26" i="48"/>
  <c r="V30" i="48"/>
  <c r="F34" i="48"/>
  <c r="V42" i="48"/>
  <c r="F51" i="48"/>
  <c r="V52" i="48"/>
  <c r="L59" i="48"/>
  <c r="N59" i="48" s="1"/>
  <c r="N41" i="56"/>
  <c r="P67" i="58"/>
  <c r="X16" i="58"/>
  <c r="F23" i="48"/>
  <c r="V24" i="48"/>
  <c r="Z14" i="51"/>
  <c r="N22" i="51"/>
  <c r="N25" i="51"/>
  <c r="N69" i="51"/>
  <c r="Z88" i="51"/>
  <c r="N29" i="54"/>
  <c r="Z50" i="56"/>
  <c r="X50" i="56"/>
  <c r="T51" i="60"/>
  <c r="L13" i="48"/>
  <c r="N13" i="48" s="1"/>
  <c r="F28" i="48"/>
  <c r="L36" i="48"/>
  <c r="V37" i="48"/>
  <c r="X38" i="48"/>
  <c r="Z38" i="48" s="1"/>
  <c r="V41" i="48"/>
  <c r="F47" i="48"/>
  <c r="V55" i="48"/>
  <c r="L30" i="51"/>
  <c r="X84" i="51"/>
  <c r="N13" i="45"/>
  <c r="F50" i="48"/>
  <c r="H12" i="51"/>
  <c r="L13" i="51"/>
  <c r="N13" i="51" s="1"/>
  <c r="Z22" i="51"/>
  <c r="D87" i="51"/>
  <c r="L87" i="51" s="1"/>
  <c r="L90" i="51"/>
  <c r="N90" i="51" s="1"/>
  <c r="D16" i="54"/>
  <c r="L14" i="54"/>
  <c r="P31" i="54"/>
  <c r="X31" i="54" s="1"/>
  <c r="X26" i="54"/>
  <c r="L16" i="55"/>
  <c r="D30" i="55"/>
  <c r="Z36" i="58"/>
  <c r="X36" i="58"/>
  <c r="L58" i="58"/>
  <c r="N58" i="58" s="1"/>
  <c r="V15" i="48"/>
  <c r="L20" i="48"/>
  <c r="N20" i="48" s="1"/>
  <c r="N36" i="48"/>
  <c r="V59" i="48"/>
  <c r="N52" i="51"/>
  <c r="Z84" i="51"/>
  <c r="Z33" i="56"/>
  <c r="Z35" i="56"/>
  <c r="L35" i="57"/>
  <c r="N35" i="57" s="1"/>
  <c r="N81" i="51"/>
  <c r="H30" i="55"/>
  <c r="N16" i="55"/>
  <c r="Z18" i="56"/>
  <c r="F27" i="48"/>
  <c r="V28" i="48"/>
  <c r="V29" i="48"/>
  <c r="V43" i="48"/>
  <c r="F49" i="48"/>
  <c r="V63" i="48"/>
  <c r="D12" i="51"/>
  <c r="N18" i="51"/>
  <c r="N21" i="51"/>
  <c r="X90" i="51"/>
  <c r="Z90" i="51" s="1"/>
  <c r="X22" i="54"/>
  <c r="F23" i="55"/>
  <c r="N18" i="56"/>
  <c r="N33" i="56"/>
  <c r="L41" i="56"/>
  <c r="J38" i="57"/>
  <c r="J30" i="57"/>
  <c r="J49" i="57"/>
  <c r="J39" i="57"/>
  <c r="J25" i="57"/>
  <c r="J21" i="57"/>
  <c r="J50" i="57"/>
  <c r="J40" i="57"/>
  <c r="J51" i="57"/>
  <c r="J41" i="57"/>
  <c r="J31" i="57"/>
  <c r="J52" i="57"/>
  <c r="J42" i="57"/>
  <c r="J26" i="57"/>
  <c r="J22" i="57"/>
  <c r="J53" i="57"/>
  <c r="J43" i="57"/>
  <c r="J44" i="57"/>
  <c r="J32" i="57"/>
  <c r="N12" i="57"/>
  <c r="J57" i="57"/>
  <c r="J55" i="57"/>
  <c r="J45" i="57"/>
  <c r="J33" i="57"/>
  <c r="J27" i="57"/>
  <c r="J23" i="57"/>
  <c r="J59" i="57"/>
  <c r="J47" i="57"/>
  <c r="J35" i="57"/>
  <c r="J29" i="57"/>
  <c r="J19" i="57"/>
  <c r="J64" i="57"/>
  <c r="J61" i="57"/>
  <c r="J37" i="57"/>
  <c r="H16" i="57"/>
  <c r="X39" i="57"/>
  <c r="Z39" i="57" s="1"/>
  <c r="X18" i="58"/>
  <c r="Z18" i="58" s="1"/>
  <c r="X37" i="59"/>
  <c r="Z37" i="59" s="1"/>
  <c r="F14" i="55"/>
  <c r="N45" i="56"/>
  <c r="J20" i="57"/>
  <c r="J24" i="57"/>
  <c r="Z40" i="59"/>
  <c r="Z51" i="59"/>
  <c r="Z39" i="56"/>
  <c r="V62" i="56"/>
  <c r="J14" i="57"/>
  <c r="N28" i="57"/>
  <c r="Z50" i="57"/>
  <c r="Z56" i="59"/>
  <c r="F31" i="54"/>
  <c r="F29" i="54"/>
  <c r="F28" i="54"/>
  <c r="F26" i="54"/>
  <c r="F18" i="54"/>
  <c r="Z23" i="55"/>
  <c r="F64" i="56"/>
  <c r="F63" i="56"/>
  <c r="F56" i="56"/>
  <c r="F55" i="56"/>
  <c r="F48" i="56"/>
  <c r="F47" i="56"/>
  <c r="F36" i="56"/>
  <c r="F35" i="56"/>
  <c r="F28" i="56"/>
  <c r="F24" i="56"/>
  <c r="F20" i="56"/>
  <c r="F19" i="56"/>
  <c r="F18" i="56"/>
  <c r="F16" i="56"/>
  <c r="F14" i="56"/>
  <c r="F38" i="56"/>
  <c r="F37" i="56"/>
  <c r="F30" i="56"/>
  <c r="F29" i="56"/>
  <c r="D16" i="56"/>
  <c r="F65" i="56"/>
  <c r="F57" i="56"/>
  <c r="F49" i="56"/>
  <c r="F25" i="56"/>
  <c r="F21" i="56"/>
  <c r="F40" i="56"/>
  <c r="F39" i="56"/>
  <c r="F69" i="56"/>
  <c r="F67" i="56"/>
  <c r="F58" i="56"/>
  <c r="F42" i="56"/>
  <c r="F41" i="56"/>
  <c r="F26" i="56"/>
  <c r="F22" i="56"/>
  <c r="F71" i="56"/>
  <c r="F27" i="56"/>
  <c r="F23" i="56"/>
  <c r="V34" i="56"/>
  <c r="V39" i="56"/>
  <c r="V49" i="56"/>
  <c r="F51" i="56"/>
  <c r="V67" i="56"/>
  <c r="F76" i="56"/>
  <c r="J28" i="57"/>
  <c r="N29" i="58"/>
  <c r="N19" i="59"/>
  <c r="L19" i="59"/>
  <c r="Z42" i="59"/>
  <c r="J22" i="54"/>
  <c r="J20" i="54"/>
  <c r="J18" i="54"/>
  <c r="J16" i="54"/>
  <c r="J14" i="54"/>
  <c r="H16" i="54"/>
  <c r="J31" i="54"/>
  <c r="J29" i="54"/>
  <c r="J28" i="54"/>
  <c r="J26" i="54"/>
  <c r="F22" i="55"/>
  <c r="F21" i="55"/>
  <c r="F24" i="55"/>
  <c r="F26" i="55"/>
  <c r="F25" i="55"/>
  <c r="F30" i="55"/>
  <c r="F28" i="55"/>
  <c r="Z16" i="58"/>
  <c r="T67" i="58"/>
  <c r="L12" i="54"/>
  <c r="P37" i="55"/>
  <c r="F18" i="55"/>
  <c r="F34" i="55"/>
  <c r="Z47" i="56"/>
  <c r="N59" i="56"/>
  <c r="N19" i="57"/>
  <c r="Z28" i="57"/>
  <c r="L45" i="57"/>
  <c r="N45" i="57" s="1"/>
  <c r="N47" i="57"/>
  <c r="R67" i="58"/>
  <c r="R65" i="58"/>
  <c r="R30" i="58"/>
  <c r="R38" i="58"/>
  <c r="R37" i="58"/>
  <c r="R25" i="58"/>
  <c r="R21" i="58"/>
  <c r="R56" i="58"/>
  <c r="R49" i="58"/>
  <c r="R48" i="58"/>
  <c r="R69" i="58"/>
  <c r="R40" i="58"/>
  <c r="R39" i="58"/>
  <c r="R31" i="58"/>
  <c r="R74" i="58"/>
  <c r="R71" i="58"/>
  <c r="R50" i="58"/>
  <c r="R26" i="58"/>
  <c r="R22" i="58"/>
  <c r="R58" i="58"/>
  <c r="R57" i="58"/>
  <c r="R42" i="58"/>
  <c r="R41" i="58"/>
  <c r="R32" i="58"/>
  <c r="X12" i="58"/>
  <c r="R60" i="58"/>
  <c r="R59" i="58"/>
  <c r="R52" i="58"/>
  <c r="R51" i="58"/>
  <c r="R44" i="58"/>
  <c r="R43" i="58"/>
  <c r="R27" i="58"/>
  <c r="R23" i="58"/>
  <c r="R62" i="58"/>
  <c r="R61" i="58"/>
  <c r="R54" i="58"/>
  <c r="R53" i="58"/>
  <c r="R46" i="58"/>
  <c r="R45" i="58"/>
  <c r="R34" i="58"/>
  <c r="R33" i="58"/>
  <c r="R18" i="58"/>
  <c r="R16" i="58"/>
  <c r="R14" i="58"/>
  <c r="R63" i="58"/>
  <c r="R55" i="58"/>
  <c r="R47" i="58"/>
  <c r="R36" i="58"/>
  <c r="R35" i="58"/>
  <c r="R29" i="58"/>
  <c r="N42" i="58"/>
  <c r="L42" i="58"/>
  <c r="R31" i="54"/>
  <c r="R29" i="54"/>
  <c r="R28" i="54"/>
  <c r="R26" i="54"/>
  <c r="R18" i="54"/>
  <c r="V59" i="56"/>
  <c r="V51" i="56"/>
  <c r="V43" i="56"/>
  <c r="V31" i="56"/>
  <c r="V58" i="56"/>
  <c r="V42" i="56"/>
  <c r="V26" i="56"/>
  <c r="V22" i="56"/>
  <c r="V76" i="56"/>
  <c r="V73" i="56"/>
  <c r="V71" i="56"/>
  <c r="V61" i="56"/>
  <c r="V53" i="56"/>
  <c r="V45" i="56"/>
  <c r="V33" i="56"/>
  <c r="V60" i="56"/>
  <c r="V52" i="56"/>
  <c r="V44" i="56"/>
  <c r="V32" i="56"/>
  <c r="Z12" i="56"/>
  <c r="V63" i="56"/>
  <c r="V55" i="56"/>
  <c r="V47" i="56"/>
  <c r="V35" i="56"/>
  <c r="V27" i="56"/>
  <c r="V23" i="56"/>
  <c r="V19" i="56"/>
  <c r="V37" i="56"/>
  <c r="V29" i="56"/>
  <c r="T16" i="56"/>
  <c r="V64" i="56"/>
  <c r="V56" i="56"/>
  <c r="V48" i="56"/>
  <c r="V36" i="56"/>
  <c r="V28" i="56"/>
  <c r="V24" i="56"/>
  <c r="V20" i="56"/>
  <c r="V50" i="56"/>
  <c r="V38" i="56"/>
  <c r="V30" i="56"/>
  <c r="V40" i="56"/>
  <c r="X19" i="56"/>
  <c r="Z19" i="56" s="1"/>
  <c r="N61" i="56"/>
  <c r="N33" i="57"/>
  <c r="N39" i="57"/>
  <c r="Z19" i="61"/>
  <c r="J48" i="56"/>
  <c r="R49" i="56"/>
  <c r="R50" i="56"/>
  <c r="J56" i="56"/>
  <c r="R57" i="56"/>
  <c r="J64" i="56"/>
  <c r="R65" i="56"/>
  <c r="F24" i="57"/>
  <c r="F35" i="57"/>
  <c r="F36" i="57"/>
  <c r="R40" i="57"/>
  <c r="R41" i="57"/>
  <c r="V43" i="57"/>
  <c r="F47" i="57"/>
  <c r="F48" i="57"/>
  <c r="V51" i="57"/>
  <c r="F42" i="58"/>
  <c r="F43" i="58"/>
  <c r="J44" i="58"/>
  <c r="F51" i="58"/>
  <c r="J52" i="58"/>
  <c r="F58" i="58"/>
  <c r="F59" i="58"/>
  <c r="J60" i="58"/>
  <c r="H16" i="59"/>
  <c r="F19" i="59"/>
  <c r="F20" i="59"/>
  <c r="F24" i="59"/>
  <c r="F28" i="59"/>
  <c r="J29" i="59"/>
  <c r="R36" i="59"/>
  <c r="R37" i="59"/>
  <c r="J43" i="59"/>
  <c r="R52" i="59"/>
  <c r="D16" i="60"/>
  <c r="J21" i="60"/>
  <c r="R22" i="60"/>
  <c r="J25" i="60"/>
  <c r="R26" i="60"/>
  <c r="L30" i="60"/>
  <c r="F31" i="60"/>
  <c r="J32" i="60"/>
  <c r="J37" i="60"/>
  <c r="R38" i="60"/>
  <c r="L45" i="60"/>
  <c r="R47" i="60"/>
  <c r="R19" i="61"/>
  <c r="N28" i="61"/>
  <c r="L28" i="61"/>
  <c r="D91" i="64"/>
  <c r="Z41" i="64"/>
  <c r="N79" i="64"/>
  <c r="L84" i="64"/>
  <c r="N84" i="64" s="1"/>
  <c r="X16" i="68"/>
  <c r="P52" i="68"/>
  <c r="X37" i="68"/>
  <c r="Z37" i="68" s="1"/>
  <c r="V14" i="54"/>
  <c r="V16" i="54"/>
  <c r="V18" i="54"/>
  <c r="V20" i="54"/>
  <c r="V22" i="54"/>
  <c r="J16" i="55"/>
  <c r="J18" i="55"/>
  <c r="J20" i="55"/>
  <c r="V24" i="55"/>
  <c r="J34" i="55"/>
  <c r="J37" i="55"/>
  <c r="J34" i="56"/>
  <c r="J46" i="56"/>
  <c r="J54" i="56"/>
  <c r="J62" i="56"/>
  <c r="R30" i="57"/>
  <c r="F33" i="57"/>
  <c r="F34" i="57"/>
  <c r="R38" i="57"/>
  <c r="R39" i="57"/>
  <c r="V41" i="57"/>
  <c r="F45" i="57"/>
  <c r="F46" i="57"/>
  <c r="V49" i="57"/>
  <c r="F55" i="57"/>
  <c r="F57" i="57"/>
  <c r="N12" i="58"/>
  <c r="J32" i="58"/>
  <c r="F40" i="58"/>
  <c r="F41" i="58"/>
  <c r="J42" i="58"/>
  <c r="F57" i="58"/>
  <c r="J58" i="58"/>
  <c r="X65" i="58"/>
  <c r="R30" i="59"/>
  <c r="J33" i="59"/>
  <c r="R34" i="59"/>
  <c r="R35" i="59"/>
  <c r="J41" i="59"/>
  <c r="J49" i="59"/>
  <c r="R50" i="59"/>
  <c r="R51" i="59"/>
  <c r="J57" i="59"/>
  <c r="R58" i="59"/>
  <c r="H16" i="60"/>
  <c r="R33" i="60"/>
  <c r="R42" i="60"/>
  <c r="J45" i="60"/>
  <c r="V47" i="60"/>
  <c r="R51" i="60"/>
  <c r="F49" i="61"/>
  <c r="F47" i="61"/>
  <c r="F38" i="61"/>
  <c r="F37" i="61"/>
  <c r="F51" i="61"/>
  <c r="F40" i="61"/>
  <c r="F39" i="61"/>
  <c r="F32" i="61"/>
  <c r="F27" i="61"/>
  <c r="F23" i="61"/>
  <c r="F56" i="61"/>
  <c r="F53" i="61"/>
  <c r="F24" i="61"/>
  <c r="F20" i="61"/>
  <c r="F19" i="61"/>
  <c r="F34" i="61"/>
  <c r="F30" i="61"/>
  <c r="F45" i="61"/>
  <c r="F44" i="61"/>
  <c r="F25" i="61"/>
  <c r="F21" i="61"/>
  <c r="F36" i="61"/>
  <c r="F35" i="61"/>
  <c r="F42" i="61"/>
  <c r="N32" i="69"/>
  <c r="J41" i="58"/>
  <c r="V45" i="58"/>
  <c r="F49" i="58"/>
  <c r="F50" i="58"/>
  <c r="V53" i="58"/>
  <c r="J57" i="58"/>
  <c r="V61" i="58"/>
  <c r="J71" i="58"/>
  <c r="J74" i="58"/>
  <c r="F23" i="59"/>
  <c r="F27" i="59"/>
  <c r="F39" i="59"/>
  <c r="J40" i="59"/>
  <c r="R43" i="59"/>
  <c r="R44" i="59"/>
  <c r="F47" i="59"/>
  <c r="J48" i="59"/>
  <c r="V50" i="59"/>
  <c r="F54" i="59"/>
  <c r="F55" i="59"/>
  <c r="J56" i="59"/>
  <c r="V58" i="59"/>
  <c r="V60" i="59"/>
  <c r="V62" i="59"/>
  <c r="F66" i="59"/>
  <c r="F69" i="59"/>
  <c r="R25" i="60"/>
  <c r="N42" i="61"/>
  <c r="P12" i="69"/>
  <c r="N15" i="69"/>
  <c r="Z17" i="69"/>
  <c r="Z62" i="69"/>
  <c r="Z12" i="54"/>
  <c r="V22" i="55"/>
  <c r="J32" i="55"/>
  <c r="N12" i="56"/>
  <c r="R14" i="56"/>
  <c r="R16" i="56"/>
  <c r="R18" i="56"/>
  <c r="J32" i="56"/>
  <c r="J44" i="56"/>
  <c r="J52" i="56"/>
  <c r="J60" i="56"/>
  <c r="L12" i="57"/>
  <c r="P16" i="57"/>
  <c r="R20" i="57"/>
  <c r="R24" i="57"/>
  <c r="F32" i="57"/>
  <c r="R36" i="57"/>
  <c r="R37" i="57"/>
  <c r="V39" i="57"/>
  <c r="F43" i="57"/>
  <c r="F44" i="57"/>
  <c r="R48" i="57"/>
  <c r="R61" i="57"/>
  <c r="R64" i="57"/>
  <c r="V14" i="58"/>
  <c r="V16" i="58"/>
  <c r="V18" i="58"/>
  <c r="J22" i="58"/>
  <c r="J26" i="58"/>
  <c r="F31" i="58"/>
  <c r="V34" i="58"/>
  <c r="F38" i="58"/>
  <c r="F39" i="58"/>
  <c r="J40" i="58"/>
  <c r="V46" i="58"/>
  <c r="J50" i="58"/>
  <c r="V54" i="58"/>
  <c r="V62" i="58"/>
  <c r="F69" i="58"/>
  <c r="L12" i="59"/>
  <c r="P16" i="59"/>
  <c r="R20" i="59"/>
  <c r="J23" i="59"/>
  <c r="R24" i="59"/>
  <c r="J27" i="59"/>
  <c r="R28" i="59"/>
  <c r="R29" i="59"/>
  <c r="F32" i="59"/>
  <c r="V35" i="59"/>
  <c r="J39" i="59"/>
  <c r="V43" i="59"/>
  <c r="J47" i="59"/>
  <c r="V51" i="59"/>
  <c r="J55" i="59"/>
  <c r="F47" i="60"/>
  <c r="F45" i="60"/>
  <c r="F38" i="60"/>
  <c r="F37" i="60"/>
  <c r="F43" i="60"/>
  <c r="J19" i="60"/>
  <c r="V21" i="60"/>
  <c r="V25" i="60"/>
  <c r="R31" i="60"/>
  <c r="R32" i="60"/>
  <c r="F40" i="60"/>
  <c r="R41" i="60"/>
  <c r="V42" i="60"/>
  <c r="R45" i="60"/>
  <c r="F49" i="60"/>
  <c r="L12" i="61"/>
  <c r="D16" i="61"/>
  <c r="X18" i="61"/>
  <c r="F22" i="61"/>
  <c r="X47" i="61"/>
  <c r="N18" i="64"/>
  <c r="L19" i="68"/>
  <c r="N19" i="68" s="1"/>
  <c r="N23" i="70"/>
  <c r="V23" i="55"/>
  <c r="R19" i="56"/>
  <c r="R34" i="56"/>
  <c r="R35" i="56"/>
  <c r="J43" i="56"/>
  <c r="R46" i="56"/>
  <c r="R47" i="56"/>
  <c r="R54" i="56"/>
  <c r="R55" i="56"/>
  <c r="J59" i="56"/>
  <c r="R62" i="56"/>
  <c r="R63" i="56"/>
  <c r="J71" i="56"/>
  <c r="R14" i="57"/>
  <c r="R16" i="57"/>
  <c r="R18" i="57"/>
  <c r="V20" i="57"/>
  <c r="V24" i="57"/>
  <c r="R29" i="57"/>
  <c r="V36" i="57"/>
  <c r="V48" i="57"/>
  <c r="F52" i="57"/>
  <c r="F53" i="57"/>
  <c r="R59" i="57"/>
  <c r="V23" i="58"/>
  <c r="V27" i="58"/>
  <c r="J31" i="58"/>
  <c r="J39" i="58"/>
  <c r="V43" i="58"/>
  <c r="F48" i="58"/>
  <c r="J49" i="58"/>
  <c r="V51" i="58"/>
  <c r="F56" i="58"/>
  <c r="V59" i="58"/>
  <c r="F65" i="58"/>
  <c r="F67" i="58"/>
  <c r="J69" i="58"/>
  <c r="N12" i="59"/>
  <c r="R14" i="59"/>
  <c r="R16" i="59"/>
  <c r="R18" i="59"/>
  <c r="V28" i="59"/>
  <c r="J32" i="59"/>
  <c r="R33" i="59"/>
  <c r="R41" i="59"/>
  <c r="R42" i="59"/>
  <c r="V44" i="59"/>
  <c r="R49" i="59"/>
  <c r="F53" i="59"/>
  <c r="J54" i="59"/>
  <c r="R57" i="59"/>
  <c r="J66" i="59"/>
  <c r="J69" i="59"/>
  <c r="J49" i="60"/>
  <c r="J54" i="60"/>
  <c r="J51" i="60"/>
  <c r="J39" i="60"/>
  <c r="J43" i="60"/>
  <c r="J35" i="60"/>
  <c r="J28" i="60"/>
  <c r="V31" i="60"/>
  <c r="V37" i="60"/>
  <c r="J40" i="60"/>
  <c r="F54" i="60"/>
  <c r="F16" i="61"/>
  <c r="Z18" i="61"/>
  <c r="Z15" i="69"/>
  <c r="T16" i="57"/>
  <c r="R19" i="57"/>
  <c r="R34" i="57"/>
  <c r="R35" i="57"/>
  <c r="R46" i="57"/>
  <c r="R47" i="57"/>
  <c r="J38" i="58"/>
  <c r="J48" i="58"/>
  <c r="J56" i="58"/>
  <c r="V60" i="58"/>
  <c r="T16" i="59"/>
  <c r="R19" i="59"/>
  <c r="F22" i="59"/>
  <c r="F26" i="59"/>
  <c r="F37" i="59"/>
  <c r="F38" i="59"/>
  <c r="F46" i="59"/>
  <c r="V49" i="59"/>
  <c r="J53" i="59"/>
  <c r="V57" i="59"/>
  <c r="F64" i="59"/>
  <c r="P16" i="60"/>
  <c r="R20" i="60"/>
  <c r="R24" i="60"/>
  <c r="R30" i="60"/>
  <c r="V32" i="60"/>
  <c r="V36" i="60"/>
  <c r="V45" i="60"/>
  <c r="R42" i="61"/>
  <c r="R41" i="61"/>
  <c r="R33" i="61"/>
  <c r="R29" i="61"/>
  <c r="R18" i="61"/>
  <c r="R16" i="61"/>
  <c r="R14" i="61"/>
  <c r="R24" i="61"/>
  <c r="R20" i="61"/>
  <c r="R44" i="61"/>
  <c r="R43" i="61"/>
  <c r="R35" i="61"/>
  <c r="R34" i="61"/>
  <c r="R30" i="61"/>
  <c r="R49" i="61"/>
  <c r="R47" i="61"/>
  <c r="R37" i="61"/>
  <c r="R36" i="61"/>
  <c r="R39" i="61"/>
  <c r="R38" i="61"/>
  <c r="R51" i="61"/>
  <c r="R56" i="61"/>
  <c r="R53" i="61"/>
  <c r="R40" i="61"/>
  <c r="R32" i="61"/>
  <c r="X12" i="61"/>
  <c r="R27" i="61"/>
  <c r="F33" i="61"/>
  <c r="F41" i="61"/>
  <c r="Z42" i="61"/>
  <c r="N35" i="69"/>
  <c r="T16" i="55"/>
  <c r="R19" i="55"/>
  <c r="V21" i="55"/>
  <c r="R32" i="55"/>
  <c r="X12" i="56"/>
  <c r="J31" i="56"/>
  <c r="R32" i="56"/>
  <c r="R33" i="56"/>
  <c r="J41" i="56"/>
  <c r="R44" i="56"/>
  <c r="R45" i="56"/>
  <c r="J51" i="56"/>
  <c r="R52" i="56"/>
  <c r="R53" i="56"/>
  <c r="R60" i="56"/>
  <c r="R61" i="56"/>
  <c r="J67" i="56"/>
  <c r="J69" i="56"/>
  <c r="R73" i="56"/>
  <c r="R76" i="56"/>
  <c r="V14" i="57"/>
  <c r="V16" i="57"/>
  <c r="V18" i="57"/>
  <c r="R23" i="57"/>
  <c r="R27" i="57"/>
  <c r="R28" i="57"/>
  <c r="F31" i="57"/>
  <c r="V34" i="57"/>
  <c r="V46" i="57"/>
  <c r="F50" i="57"/>
  <c r="F51" i="57"/>
  <c r="D16" i="58"/>
  <c r="J21" i="58"/>
  <c r="J25" i="58"/>
  <c r="F29" i="58"/>
  <c r="F30" i="58"/>
  <c r="J37" i="58"/>
  <c r="V41" i="58"/>
  <c r="V57" i="58"/>
  <c r="J65" i="58"/>
  <c r="J67" i="58"/>
  <c r="V14" i="59"/>
  <c r="V16" i="59"/>
  <c r="V18" i="59"/>
  <c r="J22" i="59"/>
  <c r="R23" i="59"/>
  <c r="J26" i="59"/>
  <c r="R27" i="59"/>
  <c r="F31" i="59"/>
  <c r="J38" i="59"/>
  <c r="R39" i="59"/>
  <c r="R40" i="59"/>
  <c r="V42" i="59"/>
  <c r="J46" i="59"/>
  <c r="R47" i="59"/>
  <c r="R48" i="59"/>
  <c r="R55" i="59"/>
  <c r="R56" i="59"/>
  <c r="F60" i="59"/>
  <c r="F62" i="59"/>
  <c r="J64" i="59"/>
  <c r="N12" i="60"/>
  <c r="R14" i="60"/>
  <c r="R16" i="60"/>
  <c r="R18" i="60"/>
  <c r="V20" i="60"/>
  <c r="V24" i="60"/>
  <c r="X32" i="60"/>
  <c r="Z32" i="60" s="1"/>
  <c r="F34" i="60"/>
  <c r="F35" i="60"/>
  <c r="V42" i="61"/>
  <c r="V41" i="61"/>
  <c r="V44" i="61"/>
  <c r="V24" i="61"/>
  <c r="V20" i="61"/>
  <c r="V43" i="61"/>
  <c r="V35" i="61"/>
  <c r="V34" i="61"/>
  <c r="V30" i="61"/>
  <c r="V49" i="61"/>
  <c r="V47" i="61"/>
  <c r="V45" i="61"/>
  <c r="V37" i="61"/>
  <c r="V39" i="61"/>
  <c r="V31" i="61"/>
  <c r="V56" i="61"/>
  <c r="V53" i="61"/>
  <c r="V51" i="61"/>
  <c r="V40" i="61"/>
  <c r="V32" i="61"/>
  <c r="V28" i="61"/>
  <c r="Z12" i="61"/>
  <c r="V27" i="61"/>
  <c r="V23" i="61"/>
  <c r="V19" i="61"/>
  <c r="R22" i="61"/>
  <c r="F26" i="61"/>
  <c r="F29" i="61"/>
  <c r="F31" i="61"/>
  <c r="F75" i="74"/>
  <c r="F67" i="74"/>
  <c r="F66" i="74"/>
  <c r="F47" i="74"/>
  <c r="F43" i="74"/>
  <c r="F39" i="74"/>
  <c r="F77" i="74"/>
  <c r="F76" i="74"/>
  <c r="F69" i="74"/>
  <c r="F68" i="74"/>
  <c r="F61" i="74"/>
  <c r="F57" i="74"/>
  <c r="F48" i="74"/>
  <c r="F44" i="74"/>
  <c r="F40" i="74"/>
  <c r="F36" i="74"/>
  <c r="F35" i="74"/>
  <c r="F63" i="74"/>
  <c r="F62" i="74"/>
  <c r="F79" i="74"/>
  <c r="F70" i="74"/>
  <c r="F58" i="74"/>
  <c r="F83" i="74"/>
  <c r="F49" i="74"/>
  <c r="F45" i="74"/>
  <c r="F41" i="74"/>
  <c r="F37" i="74"/>
  <c r="F72" i="74"/>
  <c r="F71" i="74"/>
  <c r="F64" i="74"/>
  <c r="L12" i="74"/>
  <c r="F74" i="74"/>
  <c r="F73" i="74"/>
  <c r="F65" i="74"/>
  <c r="D51" i="74"/>
  <c r="F60" i="74"/>
  <c r="F56" i="74"/>
  <c r="F55" i="74"/>
  <c r="F53" i="74"/>
  <c r="F38" i="74"/>
  <c r="F42" i="74"/>
  <c r="F46" i="74"/>
  <c r="F51" i="74"/>
  <c r="F59" i="74"/>
  <c r="F54" i="74"/>
  <c r="J76" i="74"/>
  <c r="J68" i="74"/>
  <c r="J77" i="74"/>
  <c r="J69" i="74"/>
  <c r="J61" i="74"/>
  <c r="J57" i="74"/>
  <c r="J35" i="74"/>
  <c r="J62" i="74"/>
  <c r="J48" i="74"/>
  <c r="J44" i="74"/>
  <c r="J40" i="74"/>
  <c r="J79" i="74"/>
  <c r="J63" i="74"/>
  <c r="J70" i="74"/>
  <c r="J58" i="74"/>
  <c r="J83" i="74"/>
  <c r="J71" i="74"/>
  <c r="J72" i="74"/>
  <c r="J64" i="74"/>
  <c r="J54" i="74"/>
  <c r="N12" i="74"/>
  <c r="J73" i="74"/>
  <c r="J59" i="74"/>
  <c r="J55" i="74"/>
  <c r="J53" i="74"/>
  <c r="J65" i="74"/>
  <c r="J66" i="74"/>
  <c r="J60" i="74"/>
  <c r="J56" i="74"/>
  <c r="J75" i="74"/>
  <c r="J67" i="74"/>
  <c r="J47" i="74"/>
  <c r="J43" i="74"/>
  <c r="J39" i="74"/>
  <c r="J38" i="74"/>
  <c r="J42" i="74"/>
  <c r="J36" i="74"/>
  <c r="J46" i="74"/>
  <c r="H51" i="74"/>
  <c r="J74" i="74"/>
  <c r="J41" i="74"/>
  <c r="J45" i="74"/>
  <c r="J37" i="74"/>
  <c r="J49" i="74"/>
  <c r="V14" i="55"/>
  <c r="V16" i="55"/>
  <c r="V18" i="55"/>
  <c r="J26" i="55"/>
  <c r="V32" i="55"/>
  <c r="V34" i="55"/>
  <c r="J40" i="56"/>
  <c r="J50" i="56"/>
  <c r="R71" i="56"/>
  <c r="X12" i="57"/>
  <c r="X14" i="57"/>
  <c r="X18" i="57"/>
  <c r="Z18" i="57" s="1"/>
  <c r="V27" i="57"/>
  <c r="R32" i="57"/>
  <c r="R33" i="57"/>
  <c r="V35" i="57"/>
  <c r="F39" i="57"/>
  <c r="F40" i="57"/>
  <c r="R44" i="57"/>
  <c r="R45" i="57"/>
  <c r="V47" i="57"/>
  <c r="L52" i="57"/>
  <c r="N52" i="57" s="1"/>
  <c r="R55" i="57"/>
  <c r="R57" i="57"/>
  <c r="J30" i="58"/>
  <c r="F34" i="58"/>
  <c r="F35" i="58"/>
  <c r="J36" i="58"/>
  <c r="V42" i="58"/>
  <c r="F46" i="58"/>
  <c r="F47" i="58"/>
  <c r="V50" i="58"/>
  <c r="F54" i="58"/>
  <c r="F55" i="58"/>
  <c r="V58" i="58"/>
  <c r="F62" i="58"/>
  <c r="F63" i="58"/>
  <c r="L65" i="58"/>
  <c r="X12" i="59"/>
  <c r="X14" i="59"/>
  <c r="X18" i="59"/>
  <c r="Z18" i="59" s="1"/>
  <c r="J31" i="59"/>
  <c r="R32" i="59"/>
  <c r="F35" i="59"/>
  <c r="F36" i="59"/>
  <c r="J37" i="59"/>
  <c r="X42" i="59"/>
  <c r="V47" i="59"/>
  <c r="F51" i="59"/>
  <c r="F52" i="59"/>
  <c r="V55" i="59"/>
  <c r="R40" i="60"/>
  <c r="R37" i="60"/>
  <c r="R36" i="60"/>
  <c r="R49" i="60"/>
  <c r="R19" i="60"/>
  <c r="V29" i="60"/>
  <c r="V30" i="60"/>
  <c r="F42" i="60"/>
  <c r="P16" i="61"/>
  <c r="L19" i="61"/>
  <c r="N19" i="61" s="1"/>
  <c r="F43" i="61"/>
  <c r="J21" i="56"/>
  <c r="R22" i="56"/>
  <c r="J25" i="56"/>
  <c r="R26" i="56"/>
  <c r="J39" i="56"/>
  <c r="R42" i="56"/>
  <c r="R43" i="56"/>
  <c r="J49" i="56"/>
  <c r="J57" i="56"/>
  <c r="R58" i="56"/>
  <c r="R59" i="56"/>
  <c r="J65" i="56"/>
  <c r="V44" i="57"/>
  <c r="F49" i="57"/>
  <c r="R53" i="57"/>
  <c r="H16" i="58"/>
  <c r="F19" i="58"/>
  <c r="F20" i="58"/>
  <c r="F24" i="58"/>
  <c r="F28" i="58"/>
  <c r="J29" i="58"/>
  <c r="V31" i="58"/>
  <c r="J35" i="58"/>
  <c r="V39" i="58"/>
  <c r="J47" i="58"/>
  <c r="J55" i="58"/>
  <c r="J63" i="58"/>
  <c r="V69" i="58"/>
  <c r="V71" i="58"/>
  <c r="V74" i="58"/>
  <c r="F21" i="59"/>
  <c r="F25" i="59"/>
  <c r="V32" i="59"/>
  <c r="J36" i="59"/>
  <c r="V40" i="59"/>
  <c r="F44" i="59"/>
  <c r="F45" i="59"/>
  <c r="V48" i="59"/>
  <c r="J52" i="59"/>
  <c r="R53" i="59"/>
  <c r="R54" i="59"/>
  <c r="V56" i="59"/>
  <c r="J60" i="59"/>
  <c r="J62" i="59"/>
  <c r="R66" i="59"/>
  <c r="R69" i="59"/>
  <c r="V41" i="60"/>
  <c r="V33" i="60"/>
  <c r="V54" i="60"/>
  <c r="V51" i="60"/>
  <c r="V49" i="60"/>
  <c r="V39" i="60"/>
  <c r="V14" i="60"/>
  <c r="V16" i="60"/>
  <c r="V18" i="60"/>
  <c r="J22" i="60"/>
  <c r="R23" i="60"/>
  <c r="J26" i="60"/>
  <c r="R27" i="60"/>
  <c r="R28" i="60"/>
  <c r="J34" i="60"/>
  <c r="J38" i="60"/>
  <c r="R43" i="60"/>
  <c r="R54" i="60"/>
  <c r="F14" i="61"/>
  <c r="T16" i="61"/>
  <c r="Z28" i="64"/>
  <c r="N39" i="64"/>
  <c r="N47" i="64"/>
  <c r="Z57" i="64"/>
  <c r="Z69" i="64"/>
  <c r="L87" i="64"/>
  <c r="Z47" i="68"/>
  <c r="N14" i="69"/>
  <c r="Z33" i="69"/>
  <c r="N38" i="69"/>
  <c r="V24" i="54"/>
  <c r="V26" i="54"/>
  <c r="V28" i="54"/>
  <c r="V29" i="54"/>
  <c r="R28" i="55"/>
  <c r="J30" i="56"/>
  <c r="R31" i="56"/>
  <c r="J38" i="56"/>
  <c r="R51" i="56"/>
  <c r="D16" i="57"/>
  <c r="R22" i="57"/>
  <c r="R26" i="57"/>
  <c r="F30" i="57"/>
  <c r="V33" i="57"/>
  <c r="F37" i="57"/>
  <c r="F38" i="57"/>
  <c r="R42" i="57"/>
  <c r="R43" i="57"/>
  <c r="V45" i="57"/>
  <c r="V53" i="57"/>
  <c r="V55" i="57"/>
  <c r="V57" i="57"/>
  <c r="F61" i="57"/>
  <c r="F64" i="57"/>
  <c r="J14" i="58"/>
  <c r="J16" i="58"/>
  <c r="J18" i="58"/>
  <c r="J20" i="58"/>
  <c r="J24" i="58"/>
  <c r="J28" i="58"/>
  <c r="F33" i="58"/>
  <c r="J34" i="58"/>
  <c r="V40" i="58"/>
  <c r="F44" i="58"/>
  <c r="F45" i="58"/>
  <c r="J46" i="58"/>
  <c r="V48" i="58"/>
  <c r="F52" i="58"/>
  <c r="F53" i="58"/>
  <c r="J54" i="58"/>
  <c r="V56" i="58"/>
  <c r="F60" i="58"/>
  <c r="J62" i="58"/>
  <c r="D16" i="59"/>
  <c r="J21" i="59"/>
  <c r="R22" i="59"/>
  <c r="J25" i="59"/>
  <c r="R26" i="59"/>
  <c r="F29" i="59"/>
  <c r="F30" i="59"/>
  <c r="F34" i="59"/>
  <c r="J35" i="59"/>
  <c r="R38" i="59"/>
  <c r="J45" i="59"/>
  <c r="R46" i="59"/>
  <c r="F50" i="59"/>
  <c r="J51" i="59"/>
  <c r="V53" i="59"/>
  <c r="F58" i="59"/>
  <c r="R64" i="59"/>
  <c r="X12" i="60"/>
  <c r="V19" i="60"/>
  <c r="V23" i="60"/>
  <c r="V27" i="60"/>
  <c r="F32" i="60"/>
  <c r="F33" i="60"/>
  <c r="R35" i="60"/>
  <c r="J42" i="60"/>
  <c r="V43" i="60"/>
  <c r="J47" i="60"/>
  <c r="F51" i="60"/>
  <c r="R26" i="61"/>
  <c r="R31" i="61"/>
  <c r="V33" i="61"/>
  <c r="Z37" i="61"/>
  <c r="T91" i="64"/>
  <c r="Z16" i="64"/>
  <c r="H16" i="56"/>
  <c r="J29" i="56"/>
  <c r="R40" i="56"/>
  <c r="R41" i="56"/>
  <c r="R67" i="56"/>
  <c r="F14" i="57"/>
  <c r="F16" i="57"/>
  <c r="V22" i="57"/>
  <c r="V26" i="57"/>
  <c r="R31" i="57"/>
  <c r="R51" i="57"/>
  <c r="J19" i="58"/>
  <c r="J33" i="58"/>
  <c r="V37" i="58"/>
  <c r="J45" i="58"/>
  <c r="J53" i="58"/>
  <c r="F14" i="59"/>
  <c r="F16" i="59"/>
  <c r="F18" i="59"/>
  <c r="J30" i="59"/>
  <c r="J34" i="59"/>
  <c r="F42" i="59"/>
  <c r="J44" i="59"/>
  <c r="V46" i="59"/>
  <c r="J50" i="59"/>
  <c r="V54" i="59"/>
  <c r="V64" i="59"/>
  <c r="V66" i="59"/>
  <c r="R39" i="60"/>
  <c r="X19" i="61"/>
  <c r="F28" i="61"/>
  <c r="Z39" i="61"/>
  <c r="R45" i="61"/>
  <c r="Z87" i="64"/>
  <c r="Z39" i="68"/>
  <c r="Z45" i="68"/>
  <c r="X45" i="68"/>
  <c r="J31" i="61"/>
  <c r="J37" i="61"/>
  <c r="J47" i="61"/>
  <c r="J49" i="61"/>
  <c r="V14" i="64"/>
  <c r="V16" i="64"/>
  <c r="V18" i="64"/>
  <c r="J22" i="64"/>
  <c r="R23" i="64"/>
  <c r="J26" i="64"/>
  <c r="R27" i="64"/>
  <c r="R28" i="64"/>
  <c r="J38" i="64"/>
  <c r="V42" i="64"/>
  <c r="J46" i="64"/>
  <c r="V50" i="64"/>
  <c r="J58" i="64"/>
  <c r="V62" i="64"/>
  <c r="J66" i="64"/>
  <c r="R67" i="64"/>
  <c r="V74" i="64"/>
  <c r="J78" i="64"/>
  <c r="V82" i="64"/>
  <c r="H87" i="64"/>
  <c r="F88" i="64"/>
  <c r="F93" i="64"/>
  <c r="D16" i="68"/>
  <c r="J21" i="68"/>
  <c r="R22" i="68"/>
  <c r="J25" i="68"/>
  <c r="R26" i="68"/>
  <c r="F29" i="68"/>
  <c r="F30" i="68"/>
  <c r="F34" i="68"/>
  <c r="J35" i="68"/>
  <c r="R38" i="68"/>
  <c r="R39" i="68"/>
  <c r="V41" i="68"/>
  <c r="R46" i="68"/>
  <c r="R47" i="68"/>
  <c r="D12" i="69"/>
  <c r="L19" i="69"/>
  <c r="N19" i="69" s="1"/>
  <c r="N30" i="69"/>
  <c r="Z31" i="69"/>
  <c r="N33" i="69"/>
  <c r="L36" i="69"/>
  <c r="N36" i="69" s="1"/>
  <c r="Z37" i="69"/>
  <c r="T60" i="69"/>
  <c r="V80" i="69"/>
  <c r="V88" i="69"/>
  <c r="X14" i="70"/>
  <c r="Z14" i="70" s="1"/>
  <c r="N29" i="77"/>
  <c r="L29" i="77"/>
  <c r="J36" i="61"/>
  <c r="X12" i="64"/>
  <c r="V19" i="64"/>
  <c r="V23" i="64"/>
  <c r="V27" i="64"/>
  <c r="J31" i="64"/>
  <c r="R32" i="64"/>
  <c r="F35" i="64"/>
  <c r="F36" i="64"/>
  <c r="J37" i="64"/>
  <c r="R40" i="64"/>
  <c r="R41" i="64"/>
  <c r="R48" i="64"/>
  <c r="R49" i="64"/>
  <c r="V51" i="64"/>
  <c r="F55" i="64"/>
  <c r="F56" i="64"/>
  <c r="J57" i="64"/>
  <c r="R60" i="64"/>
  <c r="R61" i="64"/>
  <c r="F64" i="64"/>
  <c r="J65" i="64"/>
  <c r="V67" i="64"/>
  <c r="F71" i="64"/>
  <c r="F72" i="64"/>
  <c r="F76" i="64"/>
  <c r="J77" i="64"/>
  <c r="R80" i="64"/>
  <c r="R81" i="64"/>
  <c r="J87" i="64"/>
  <c r="F89" i="64"/>
  <c r="F91" i="64"/>
  <c r="J93" i="64"/>
  <c r="J30" i="68"/>
  <c r="R31" i="68"/>
  <c r="J34" i="68"/>
  <c r="F43" i="68"/>
  <c r="V46" i="68"/>
  <c r="J56" i="68"/>
  <c r="J59" i="68"/>
  <c r="H12" i="69"/>
  <c r="L29" i="69"/>
  <c r="N29" i="69" s="1"/>
  <c r="V41" i="69"/>
  <c r="V49" i="69"/>
  <c r="T12" i="70"/>
  <c r="Z82" i="71"/>
  <c r="J33" i="73"/>
  <c r="J36" i="64"/>
  <c r="V48" i="64"/>
  <c r="J56" i="64"/>
  <c r="V60" i="64"/>
  <c r="J64" i="64"/>
  <c r="J72" i="64"/>
  <c r="R73" i="64"/>
  <c r="J76" i="64"/>
  <c r="V80" i="64"/>
  <c r="F84" i="64"/>
  <c r="F85" i="64"/>
  <c r="J88" i="64"/>
  <c r="H16" i="68"/>
  <c r="J29" i="68"/>
  <c r="R36" i="68"/>
  <c r="R37" i="68"/>
  <c r="J43" i="68"/>
  <c r="R44" i="68"/>
  <c r="R45" i="68"/>
  <c r="L15" i="69"/>
  <c r="L35" i="69"/>
  <c r="V51" i="69"/>
  <c r="V64" i="69"/>
  <c r="V68" i="69"/>
  <c r="X72" i="69"/>
  <c r="Z72" i="69" s="1"/>
  <c r="F63" i="70"/>
  <c r="F62" i="70"/>
  <c r="F51" i="70"/>
  <c r="F50" i="70"/>
  <c r="F39" i="70"/>
  <c r="F38" i="70"/>
  <c r="F22" i="70"/>
  <c r="F20" i="70"/>
  <c r="F58" i="70"/>
  <c r="F34" i="70"/>
  <c r="F41" i="70"/>
  <c r="F40" i="70"/>
  <c r="F29" i="70"/>
  <c r="F25" i="70"/>
  <c r="F65" i="70"/>
  <c r="F52" i="70"/>
  <c r="F69" i="70"/>
  <c r="F59" i="70"/>
  <c r="F43" i="70"/>
  <c r="F42" i="70"/>
  <c r="F35" i="70"/>
  <c r="F54" i="70"/>
  <c r="F53" i="70"/>
  <c r="F30" i="70"/>
  <c r="F26" i="70"/>
  <c r="F45" i="70"/>
  <c r="F44" i="70"/>
  <c r="F17" i="70"/>
  <c r="F16" i="70"/>
  <c r="F60" i="70"/>
  <c r="F56" i="70"/>
  <c r="F55" i="70"/>
  <c r="F36" i="70"/>
  <c r="F47" i="70"/>
  <c r="F46" i="70"/>
  <c r="F31" i="70"/>
  <c r="F27" i="70"/>
  <c r="F18" i="70"/>
  <c r="F28" i="70"/>
  <c r="F24" i="70"/>
  <c r="F23" i="70"/>
  <c r="L23" i="70"/>
  <c r="N35" i="71"/>
  <c r="N78" i="71"/>
  <c r="H16" i="61"/>
  <c r="J43" i="61"/>
  <c r="F14" i="64"/>
  <c r="F16" i="64"/>
  <c r="F18" i="64"/>
  <c r="V22" i="64"/>
  <c r="V26" i="64"/>
  <c r="J30" i="64"/>
  <c r="R31" i="64"/>
  <c r="J34" i="64"/>
  <c r="V38" i="64"/>
  <c r="F43" i="64"/>
  <c r="J44" i="64"/>
  <c r="V46" i="64"/>
  <c r="J54" i="64"/>
  <c r="V58" i="64"/>
  <c r="F63" i="64"/>
  <c r="V66" i="64"/>
  <c r="J70" i="64"/>
  <c r="F75" i="64"/>
  <c r="V78" i="64"/>
  <c r="F83" i="64"/>
  <c r="J84" i="64"/>
  <c r="P87" i="64"/>
  <c r="X87" i="64" s="1"/>
  <c r="R93" i="64"/>
  <c r="J19" i="68"/>
  <c r="V25" i="68"/>
  <c r="R30" i="68"/>
  <c r="J33" i="68"/>
  <c r="R34" i="68"/>
  <c r="R35" i="68"/>
  <c r="V37" i="68"/>
  <c r="F41" i="68"/>
  <c r="F42" i="68"/>
  <c r="V45" i="68"/>
  <c r="V43" i="69"/>
  <c r="N62" i="69"/>
  <c r="X76" i="69"/>
  <c r="N78" i="69"/>
  <c r="N94" i="69"/>
  <c r="X53" i="70"/>
  <c r="Z55" i="70"/>
  <c r="T12" i="71"/>
  <c r="Z15" i="71"/>
  <c r="Z17" i="71"/>
  <c r="X19" i="71"/>
  <c r="Z35" i="71"/>
  <c r="X13" i="73"/>
  <c r="Z13" i="73" s="1"/>
  <c r="H16" i="64"/>
  <c r="R36" i="64"/>
  <c r="R37" i="64"/>
  <c r="J43" i="64"/>
  <c r="V47" i="64"/>
  <c r="J53" i="64"/>
  <c r="R56" i="64"/>
  <c r="R57" i="64"/>
  <c r="V59" i="64"/>
  <c r="J63" i="64"/>
  <c r="R64" i="64"/>
  <c r="R65" i="64"/>
  <c r="F68" i="64"/>
  <c r="J69" i="64"/>
  <c r="R72" i="64"/>
  <c r="J75" i="64"/>
  <c r="R76" i="64"/>
  <c r="R77" i="64"/>
  <c r="V79" i="64"/>
  <c r="J83" i="64"/>
  <c r="R87" i="64"/>
  <c r="V93" i="64"/>
  <c r="V95" i="64"/>
  <c r="V98" i="64"/>
  <c r="J42" i="68"/>
  <c r="J50" i="68"/>
  <c r="J52" i="68"/>
  <c r="R56" i="68"/>
  <c r="R59" i="68"/>
  <c r="V89" i="69"/>
  <c r="V77" i="69"/>
  <c r="V101" i="69"/>
  <c r="V90" i="69"/>
  <c r="V62" i="69"/>
  <c r="V60" i="69"/>
  <c r="V58" i="69"/>
  <c r="V54" i="69"/>
  <c r="V50" i="69"/>
  <c r="V46" i="69"/>
  <c r="V42" i="69"/>
  <c r="V92" i="69"/>
  <c r="V94" i="69"/>
  <c r="V82" i="69"/>
  <c r="V74" i="69"/>
  <c r="V93" i="69"/>
  <c r="V85" i="69"/>
  <c r="V69" i="69"/>
  <c r="V65" i="69"/>
  <c r="V84" i="69"/>
  <c r="V76" i="69"/>
  <c r="V56" i="69"/>
  <c r="V52" i="69"/>
  <c r="V48" i="69"/>
  <c r="V44" i="69"/>
  <c r="V86" i="69"/>
  <c r="V78" i="69"/>
  <c r="V70" i="69"/>
  <c r="V66" i="69"/>
  <c r="V81" i="69"/>
  <c r="D67" i="70"/>
  <c r="Z53" i="70"/>
  <c r="F61" i="70"/>
  <c r="Z19" i="71"/>
  <c r="T12" i="73"/>
  <c r="J20" i="64"/>
  <c r="R21" i="64"/>
  <c r="J24" i="64"/>
  <c r="R25" i="64"/>
  <c r="R45" i="64"/>
  <c r="J52" i="64"/>
  <c r="V56" i="64"/>
  <c r="V64" i="64"/>
  <c r="J68" i="64"/>
  <c r="V72" i="64"/>
  <c r="V76" i="64"/>
  <c r="R85" i="64"/>
  <c r="R88" i="64"/>
  <c r="L12" i="68"/>
  <c r="J23" i="68"/>
  <c r="R24" i="68"/>
  <c r="J27" i="68"/>
  <c r="R28" i="68"/>
  <c r="R29" i="68"/>
  <c r="J41" i="68"/>
  <c r="F47" i="68"/>
  <c r="F48" i="68"/>
  <c r="R54" i="68"/>
  <c r="L28" i="69"/>
  <c r="N28" i="69" s="1"/>
  <c r="X29" i="69"/>
  <c r="Z29" i="69" s="1"/>
  <c r="V53" i="69"/>
  <c r="Z87" i="69"/>
  <c r="Z92" i="69"/>
  <c r="F49" i="70"/>
  <c r="Z23" i="71"/>
  <c r="Z27" i="71"/>
  <c r="Z31" i="71"/>
  <c r="J28" i="61"/>
  <c r="J19" i="64"/>
  <c r="V21" i="64"/>
  <c r="V25" i="64"/>
  <c r="J29" i="64"/>
  <c r="R30" i="64"/>
  <c r="J33" i="64"/>
  <c r="R34" i="64"/>
  <c r="R35" i="64"/>
  <c r="V37" i="64"/>
  <c r="F41" i="64"/>
  <c r="F42" i="64"/>
  <c r="V45" i="64"/>
  <c r="F49" i="64"/>
  <c r="F50" i="64"/>
  <c r="J51" i="64"/>
  <c r="R54" i="64"/>
  <c r="R55" i="64"/>
  <c r="V57" i="64"/>
  <c r="F61" i="64"/>
  <c r="F62" i="64"/>
  <c r="V65" i="64"/>
  <c r="R70" i="64"/>
  <c r="R71" i="64"/>
  <c r="F74" i="64"/>
  <c r="V77" i="64"/>
  <c r="F81" i="64"/>
  <c r="F82" i="64"/>
  <c r="V85" i="64"/>
  <c r="V87" i="64"/>
  <c r="R89" i="64"/>
  <c r="R91" i="64"/>
  <c r="N12" i="68"/>
  <c r="R14" i="68"/>
  <c r="R16" i="68"/>
  <c r="R18" i="68"/>
  <c r="J32" i="68"/>
  <c r="R33" i="68"/>
  <c r="J40" i="68"/>
  <c r="J48" i="68"/>
  <c r="V54" i="68"/>
  <c r="V56" i="68"/>
  <c r="V59" i="68"/>
  <c r="V55" i="69"/>
  <c r="V63" i="69"/>
  <c r="V67" i="69"/>
  <c r="V71" i="69"/>
  <c r="V75" i="69"/>
  <c r="V87" i="69"/>
  <c r="X92" i="69"/>
  <c r="N16" i="71"/>
  <c r="J53" i="61"/>
  <c r="J56" i="61"/>
  <c r="L19" i="64"/>
  <c r="N19" i="64" s="1"/>
  <c r="J28" i="64"/>
  <c r="X37" i="64"/>
  <c r="Z37" i="64" s="1"/>
  <c r="J42" i="64"/>
  <c r="R43" i="64"/>
  <c r="R44" i="64"/>
  <c r="J50" i="64"/>
  <c r="L51" i="64"/>
  <c r="V54" i="64"/>
  <c r="X57" i="64"/>
  <c r="J62" i="64"/>
  <c r="R63" i="64"/>
  <c r="X65" i="64"/>
  <c r="Z65" i="64" s="1"/>
  <c r="F67" i="64"/>
  <c r="V70" i="64"/>
  <c r="J74" i="64"/>
  <c r="R75" i="64"/>
  <c r="X77" i="64"/>
  <c r="Z77" i="64" s="1"/>
  <c r="J82" i="64"/>
  <c r="R83" i="64"/>
  <c r="R84" i="64"/>
  <c r="V88" i="64"/>
  <c r="R19" i="68"/>
  <c r="V33" i="68"/>
  <c r="F37" i="68"/>
  <c r="F38" i="68"/>
  <c r="J39" i="68"/>
  <c r="R42" i="68"/>
  <c r="F45" i="68"/>
  <c r="F46" i="68"/>
  <c r="J47" i="68"/>
  <c r="L41" i="69"/>
  <c r="N41" i="69" s="1"/>
  <c r="V45" i="69"/>
  <c r="V83" i="69"/>
  <c r="N20" i="71"/>
  <c r="X106" i="71"/>
  <c r="N14" i="73"/>
  <c r="Z26" i="73"/>
  <c r="J32" i="61"/>
  <c r="L12" i="64"/>
  <c r="P16" i="64"/>
  <c r="R20" i="64"/>
  <c r="J23" i="64"/>
  <c r="R24" i="64"/>
  <c r="J27" i="64"/>
  <c r="F32" i="64"/>
  <c r="V35" i="64"/>
  <c r="F39" i="64"/>
  <c r="F40" i="64"/>
  <c r="J41" i="64"/>
  <c r="V43" i="64"/>
  <c r="F47" i="64"/>
  <c r="F48" i="64"/>
  <c r="J49" i="64"/>
  <c r="R52" i="64"/>
  <c r="R53" i="64"/>
  <c r="V55" i="64"/>
  <c r="F59" i="64"/>
  <c r="F60" i="64"/>
  <c r="J61" i="64"/>
  <c r="V63" i="64"/>
  <c r="J67" i="64"/>
  <c r="R68" i="64"/>
  <c r="R69" i="64"/>
  <c r="V71" i="64"/>
  <c r="V75" i="64"/>
  <c r="F79" i="64"/>
  <c r="F80" i="64"/>
  <c r="J81" i="64"/>
  <c r="V83" i="64"/>
  <c r="V89" i="64"/>
  <c r="V91" i="64"/>
  <c r="F95" i="64"/>
  <c r="F98" i="64"/>
  <c r="V14" i="68"/>
  <c r="V16" i="68"/>
  <c r="V18" i="68"/>
  <c r="J22" i="68"/>
  <c r="R23" i="68"/>
  <c r="J26" i="68"/>
  <c r="R27" i="68"/>
  <c r="F31" i="68"/>
  <c r="J38" i="68"/>
  <c r="V42" i="68"/>
  <c r="J46" i="68"/>
  <c r="R50" i="68"/>
  <c r="R52" i="68"/>
  <c r="L13" i="69"/>
  <c r="V47" i="69"/>
  <c r="V73" i="69"/>
  <c r="Z78" i="69"/>
  <c r="V91" i="69"/>
  <c r="V97" i="69"/>
  <c r="F33" i="70"/>
  <c r="Z16" i="71"/>
  <c r="N24" i="71"/>
  <c r="N26" i="71"/>
  <c r="N28" i="71"/>
  <c r="N30" i="71"/>
  <c r="N32" i="71"/>
  <c r="R69" i="73"/>
  <c r="R61" i="73"/>
  <c r="R54" i="73"/>
  <c r="R53" i="73"/>
  <c r="R73" i="73"/>
  <c r="R56" i="73"/>
  <c r="R55" i="73"/>
  <c r="R44" i="73"/>
  <c r="R43" i="73"/>
  <c r="R64" i="73"/>
  <c r="R63" i="73"/>
  <c r="R59" i="73"/>
  <c r="R48" i="73"/>
  <c r="R47" i="73"/>
  <c r="R39" i="73"/>
  <c r="R20" i="73"/>
  <c r="R60" i="73"/>
  <c r="R67" i="73"/>
  <c r="R52" i="73"/>
  <c r="R51" i="73"/>
  <c r="R36" i="73"/>
  <c r="R35" i="73"/>
  <c r="R31" i="73"/>
  <c r="R66" i="73"/>
  <c r="R57" i="73"/>
  <c r="R38" i="73"/>
  <c r="R22" i="73"/>
  <c r="R62" i="73"/>
  <c r="R58" i="73"/>
  <c r="R29" i="73"/>
  <c r="R50" i="73"/>
  <c r="R41" i="73"/>
  <c r="R32" i="73"/>
  <c r="P24" i="73"/>
  <c r="R42" i="73"/>
  <c r="R30" i="73"/>
  <c r="R26" i="73"/>
  <c r="X12" i="73"/>
  <c r="R33" i="73"/>
  <c r="R27" i="73"/>
  <c r="R65" i="73"/>
  <c r="R45" i="73"/>
  <c r="R37" i="73"/>
  <c r="R49" i="73"/>
  <c r="R40" i="73"/>
  <c r="R34" i="73"/>
  <c r="R46" i="73"/>
  <c r="R29" i="64"/>
  <c r="J32" i="64"/>
  <c r="R33" i="64"/>
  <c r="J40" i="64"/>
  <c r="J48" i="64"/>
  <c r="V52" i="64"/>
  <c r="J60" i="64"/>
  <c r="V68" i="64"/>
  <c r="F73" i="64"/>
  <c r="J80" i="64"/>
  <c r="V84" i="64"/>
  <c r="J31" i="68"/>
  <c r="J37" i="68"/>
  <c r="R40" i="68"/>
  <c r="R41" i="68"/>
  <c r="J45" i="68"/>
  <c r="F48" i="70"/>
  <c r="P110" i="71"/>
  <c r="R110" i="71" s="1"/>
  <c r="J65" i="73"/>
  <c r="J49" i="73"/>
  <c r="J66" i="73"/>
  <c r="J60" i="73"/>
  <c r="J50" i="73"/>
  <c r="J52" i="73"/>
  <c r="J73" i="73"/>
  <c r="J55" i="73"/>
  <c r="J43" i="73"/>
  <c r="J62" i="73"/>
  <c r="J56" i="73"/>
  <c r="J44" i="73"/>
  <c r="J38" i="73"/>
  <c r="J63" i="73"/>
  <c r="J59" i="73"/>
  <c r="J64" i="73"/>
  <c r="J48" i="73"/>
  <c r="J34" i="73"/>
  <c r="J30" i="73"/>
  <c r="J20" i="73"/>
  <c r="J69" i="73"/>
  <c r="J46" i="73"/>
  <c r="J40" i="73"/>
  <c r="J31" i="73"/>
  <c r="J28" i="73"/>
  <c r="J21" i="73"/>
  <c r="J57" i="73"/>
  <c r="J22" i="73"/>
  <c r="J58" i="73"/>
  <c r="J47" i="73"/>
  <c r="J29" i="73"/>
  <c r="J41" i="73"/>
  <c r="J35" i="73"/>
  <c r="J32" i="73"/>
  <c r="J53" i="73"/>
  <c r="J67" i="73"/>
  <c r="J39" i="73"/>
  <c r="J36" i="73"/>
  <c r="J42" i="73"/>
  <c r="H24" i="73"/>
  <c r="J61" i="73"/>
  <c r="J54" i="73"/>
  <c r="J51" i="73"/>
  <c r="J45" i="73"/>
  <c r="J37" i="73"/>
  <c r="J27" i="73"/>
  <c r="R19" i="64"/>
  <c r="V29" i="64"/>
  <c r="V33" i="64"/>
  <c r="F37" i="64"/>
  <c r="F38" i="64"/>
  <c r="J39" i="64"/>
  <c r="R42" i="64"/>
  <c r="F46" i="64"/>
  <c r="J47" i="64"/>
  <c r="R50" i="64"/>
  <c r="R51" i="64"/>
  <c r="V53" i="64"/>
  <c r="F57" i="64"/>
  <c r="F58" i="64"/>
  <c r="J59" i="64"/>
  <c r="R62" i="64"/>
  <c r="F65" i="64"/>
  <c r="F66" i="64"/>
  <c r="J73" i="64"/>
  <c r="R74" i="64"/>
  <c r="F77" i="64"/>
  <c r="F78" i="64"/>
  <c r="J79" i="64"/>
  <c r="J95" i="64"/>
  <c r="J36" i="68"/>
  <c r="V48" i="68"/>
  <c r="V50" i="68"/>
  <c r="F56" i="68"/>
  <c r="V57" i="69"/>
  <c r="Z80" i="69"/>
  <c r="V95" i="69"/>
  <c r="F57" i="70"/>
  <c r="Z24" i="71"/>
  <c r="Z28" i="71"/>
  <c r="Z32" i="71"/>
  <c r="Z98" i="71"/>
  <c r="N106" i="71"/>
  <c r="R52" i="70"/>
  <c r="R53" i="70"/>
  <c r="R41" i="71"/>
  <c r="R45" i="71"/>
  <c r="R49" i="71"/>
  <c r="N56" i="71"/>
  <c r="F61" i="71"/>
  <c r="F65" i="71"/>
  <c r="F77" i="71"/>
  <c r="N80" i="71"/>
  <c r="R81" i="71"/>
  <c r="R82" i="71"/>
  <c r="R97" i="71"/>
  <c r="R98" i="71"/>
  <c r="L107" i="71"/>
  <c r="N107" i="71" s="1"/>
  <c r="D12" i="73"/>
  <c r="L30" i="74"/>
  <c r="N30" i="74" s="1"/>
  <c r="L32" i="74"/>
  <c r="N32" i="74" s="1"/>
  <c r="N73" i="74"/>
  <c r="V53" i="75"/>
  <c r="L60" i="75"/>
  <c r="N60" i="75" s="1"/>
  <c r="Z85" i="75"/>
  <c r="Z23" i="76"/>
  <c r="X23" i="76"/>
  <c r="F50" i="76"/>
  <c r="R54" i="76"/>
  <c r="R34" i="70"/>
  <c r="R58" i="70"/>
  <c r="R65" i="70"/>
  <c r="F39" i="71"/>
  <c r="F43" i="71"/>
  <c r="F47" i="71"/>
  <c r="F51" i="71"/>
  <c r="R54" i="71"/>
  <c r="R56" i="71"/>
  <c r="R71" i="71"/>
  <c r="R79" i="71"/>
  <c r="R80" i="71"/>
  <c r="F94" i="71"/>
  <c r="F95" i="71"/>
  <c r="R106" i="71"/>
  <c r="L15" i="73"/>
  <c r="N15" i="73" s="1"/>
  <c r="Z15" i="74"/>
  <c r="L19" i="74"/>
  <c r="N19" i="74" s="1"/>
  <c r="N35" i="74"/>
  <c r="R83" i="75"/>
  <c r="R82" i="75"/>
  <c r="R58" i="75"/>
  <c r="R54" i="75"/>
  <c r="R90" i="75"/>
  <c r="R89" i="75"/>
  <c r="R74" i="75"/>
  <c r="R73" i="75"/>
  <c r="R45" i="75"/>
  <c r="R41" i="75"/>
  <c r="R37" i="75"/>
  <c r="R33" i="75"/>
  <c r="R85" i="75"/>
  <c r="R84" i="75"/>
  <c r="R64" i="75"/>
  <c r="X12" i="75"/>
  <c r="R92" i="75"/>
  <c r="R91" i="75"/>
  <c r="R76" i="75"/>
  <c r="R75" i="75"/>
  <c r="R60" i="75"/>
  <c r="R59" i="75"/>
  <c r="R55" i="75"/>
  <c r="R86" i="75"/>
  <c r="R51" i="75"/>
  <c r="R46" i="75"/>
  <c r="R42" i="75"/>
  <c r="R38" i="75"/>
  <c r="R34" i="75"/>
  <c r="R94" i="75"/>
  <c r="R93" i="75"/>
  <c r="R78" i="75"/>
  <c r="R77" i="75"/>
  <c r="R66" i="75"/>
  <c r="R65" i="75"/>
  <c r="R61" i="75"/>
  <c r="R50" i="75"/>
  <c r="R56" i="75"/>
  <c r="R52" i="75"/>
  <c r="P48" i="75"/>
  <c r="R98" i="75"/>
  <c r="R95" i="75"/>
  <c r="R87" i="75"/>
  <c r="R80" i="75"/>
  <c r="R79" i="75"/>
  <c r="R68" i="75"/>
  <c r="R67" i="75"/>
  <c r="R43" i="75"/>
  <c r="R39" i="75"/>
  <c r="R35" i="75"/>
  <c r="R81" i="75"/>
  <c r="R70" i="75"/>
  <c r="R69" i="75"/>
  <c r="R57" i="75"/>
  <c r="R53" i="75"/>
  <c r="R102" i="75"/>
  <c r="R88" i="75"/>
  <c r="R44" i="75"/>
  <c r="R40" i="75"/>
  <c r="R36" i="75"/>
  <c r="R72" i="75"/>
  <c r="R71" i="75"/>
  <c r="R63" i="75"/>
  <c r="R32" i="75"/>
  <c r="V81" i="75"/>
  <c r="N31" i="76"/>
  <c r="L25" i="77"/>
  <c r="N25" i="77" s="1"/>
  <c r="L33" i="77"/>
  <c r="H12" i="70"/>
  <c r="R39" i="70"/>
  <c r="R40" i="70"/>
  <c r="R51" i="70"/>
  <c r="R63" i="70"/>
  <c r="R40" i="71"/>
  <c r="R44" i="71"/>
  <c r="R48" i="71"/>
  <c r="R52" i="71"/>
  <c r="R57" i="71"/>
  <c r="F60" i="71"/>
  <c r="F64" i="71"/>
  <c r="F75" i="71"/>
  <c r="F76" i="71"/>
  <c r="F84" i="71"/>
  <c r="R88" i="71"/>
  <c r="R89" i="71"/>
  <c r="R96" i="71"/>
  <c r="F100" i="71"/>
  <c r="R104" i="71"/>
  <c r="T106" i="71"/>
  <c r="R107" i="71"/>
  <c r="L44" i="73"/>
  <c r="N44" i="73" s="1"/>
  <c r="P12" i="74"/>
  <c r="X35" i="74"/>
  <c r="Z35" i="74" s="1"/>
  <c r="D12" i="75"/>
  <c r="Z14" i="75"/>
  <c r="P20" i="70"/>
  <c r="R24" i="70"/>
  <c r="R28" i="70"/>
  <c r="R61" i="71"/>
  <c r="R65" i="71"/>
  <c r="F69" i="71"/>
  <c r="R77" i="71"/>
  <c r="R78" i="71"/>
  <c r="F92" i="71"/>
  <c r="F93" i="71"/>
  <c r="R108" i="71"/>
  <c r="N18" i="73"/>
  <c r="X56" i="73"/>
  <c r="Z56" i="73" s="1"/>
  <c r="V70" i="74"/>
  <c r="V58" i="74"/>
  <c r="V54" i="74"/>
  <c r="V83" i="74"/>
  <c r="V73" i="74"/>
  <c r="V53" i="74"/>
  <c r="V49" i="74"/>
  <c r="V45" i="74"/>
  <c r="V41" i="74"/>
  <c r="V37" i="74"/>
  <c r="V72" i="74"/>
  <c r="V64" i="74"/>
  <c r="T51" i="74"/>
  <c r="V51" i="74" s="1"/>
  <c r="V59" i="74"/>
  <c r="V55" i="74"/>
  <c r="V74" i="74"/>
  <c r="V66" i="74"/>
  <c r="V46" i="74"/>
  <c r="V42" i="74"/>
  <c r="V38" i="74"/>
  <c r="V65" i="74"/>
  <c r="V76" i="74"/>
  <c r="V68" i="74"/>
  <c r="V60" i="74"/>
  <c r="V56" i="74"/>
  <c r="V75" i="74"/>
  <c r="V67" i="74"/>
  <c r="V47" i="74"/>
  <c r="V43" i="74"/>
  <c r="V39" i="74"/>
  <c r="V35" i="74"/>
  <c r="V79" i="74"/>
  <c r="V77" i="74"/>
  <c r="V69" i="74"/>
  <c r="V48" i="74"/>
  <c r="V44" i="74"/>
  <c r="V40" i="74"/>
  <c r="V36" i="74"/>
  <c r="V71" i="74"/>
  <c r="V63" i="74"/>
  <c r="N14" i="74"/>
  <c r="L14" i="74"/>
  <c r="L16" i="74"/>
  <c r="Z19" i="74"/>
  <c r="L23" i="74"/>
  <c r="N23" i="74" s="1"/>
  <c r="X70" i="75"/>
  <c r="Z70" i="75" s="1"/>
  <c r="L21" i="77"/>
  <c r="N21" i="77" s="1"/>
  <c r="Z25" i="77"/>
  <c r="X36" i="77"/>
  <c r="R33" i="70"/>
  <c r="R37" i="70"/>
  <c r="R38" i="70"/>
  <c r="R49" i="70"/>
  <c r="R50" i="70"/>
  <c r="R57" i="70"/>
  <c r="R61" i="70"/>
  <c r="R62" i="70"/>
  <c r="F37" i="71"/>
  <c r="F38" i="71"/>
  <c r="F42" i="71"/>
  <c r="F46" i="71"/>
  <c r="F50" i="71"/>
  <c r="R70" i="71"/>
  <c r="F73" i="71"/>
  <c r="F74" i="71"/>
  <c r="R86" i="71"/>
  <c r="R87" i="71"/>
  <c r="R102" i="71"/>
  <c r="R103" i="71"/>
  <c r="N16" i="74"/>
  <c r="D66" i="76"/>
  <c r="Z36" i="77"/>
  <c r="R18" i="70"/>
  <c r="R23" i="70"/>
  <c r="H12" i="71"/>
  <c r="R39" i="71"/>
  <c r="R43" i="71"/>
  <c r="R47" i="71"/>
  <c r="R51" i="71"/>
  <c r="F59" i="71"/>
  <c r="F63" i="71"/>
  <c r="F82" i="71"/>
  <c r="F83" i="71"/>
  <c r="F91" i="71"/>
  <c r="R95" i="71"/>
  <c r="F98" i="71"/>
  <c r="F99" i="71"/>
  <c r="N50" i="73"/>
  <c r="Z23" i="74"/>
  <c r="L27" i="74"/>
  <c r="N27" i="74" s="1"/>
  <c r="N62" i="74"/>
  <c r="J97" i="75"/>
  <c r="J81" i="75"/>
  <c r="J69" i="75"/>
  <c r="J57" i="75"/>
  <c r="J53" i="75"/>
  <c r="J102" i="75"/>
  <c r="J88" i="75"/>
  <c r="J70" i="75"/>
  <c r="J44" i="75"/>
  <c r="J40" i="75"/>
  <c r="J36" i="75"/>
  <c r="J71" i="75"/>
  <c r="J63" i="75"/>
  <c r="J82" i="75"/>
  <c r="J72" i="75"/>
  <c r="J58" i="75"/>
  <c r="J54" i="75"/>
  <c r="J32" i="75"/>
  <c r="J89" i="75"/>
  <c r="J83" i="75"/>
  <c r="J73" i="75"/>
  <c r="J45" i="75"/>
  <c r="J41" i="75"/>
  <c r="J37" i="75"/>
  <c r="J33" i="75"/>
  <c r="J90" i="75"/>
  <c r="J84" i="75"/>
  <c r="J74" i="75"/>
  <c r="J64" i="75"/>
  <c r="J91" i="75"/>
  <c r="J85" i="75"/>
  <c r="J75" i="75"/>
  <c r="J59" i="75"/>
  <c r="J55" i="75"/>
  <c r="J92" i="75"/>
  <c r="J86" i="75"/>
  <c r="J76" i="75"/>
  <c r="J60" i="75"/>
  <c r="J46" i="75"/>
  <c r="J42" i="75"/>
  <c r="J38" i="75"/>
  <c r="J34" i="75"/>
  <c r="J94" i="75"/>
  <c r="J78" i="75"/>
  <c r="J66" i="75"/>
  <c r="J56" i="75"/>
  <c r="J52" i="75"/>
  <c r="J50" i="75"/>
  <c r="J95" i="75"/>
  <c r="J87" i="75"/>
  <c r="J79" i="75"/>
  <c r="J67" i="75"/>
  <c r="H48" i="75"/>
  <c r="J48" i="75" s="1"/>
  <c r="J43" i="75"/>
  <c r="J39" i="75"/>
  <c r="J35" i="75"/>
  <c r="J98" i="75"/>
  <c r="J80" i="75"/>
  <c r="J68" i="75"/>
  <c r="J62" i="75"/>
  <c r="N92" i="75"/>
  <c r="F49" i="76"/>
  <c r="L17" i="77"/>
  <c r="N17" i="77" s="1"/>
  <c r="Z21" i="77"/>
  <c r="R31" i="70"/>
  <c r="R32" i="70"/>
  <c r="R47" i="70"/>
  <c r="R48" i="70"/>
  <c r="L12" i="71"/>
  <c r="D54" i="71"/>
  <c r="R60" i="71"/>
  <c r="R64" i="71"/>
  <c r="F67" i="71"/>
  <c r="F68" i="71"/>
  <c r="F72" i="71"/>
  <c r="R76" i="71"/>
  <c r="X78" i="71"/>
  <c r="Z78" i="71" s="1"/>
  <c r="R84" i="71"/>
  <c r="R85" i="71"/>
  <c r="L92" i="71"/>
  <c r="N92" i="71" s="1"/>
  <c r="R100" i="71"/>
  <c r="R101" i="71"/>
  <c r="X108" i="71"/>
  <c r="Z108" i="71" s="1"/>
  <c r="Z36" i="73"/>
  <c r="X50" i="73"/>
  <c r="Z50" i="73" s="1"/>
  <c r="L18" i="74"/>
  <c r="N18" i="74" s="1"/>
  <c r="N20" i="74"/>
  <c r="F54" i="76"/>
  <c r="F53" i="76"/>
  <c r="F38" i="76"/>
  <c r="F34" i="76"/>
  <c r="F61" i="76"/>
  <c r="F60" i="76"/>
  <c r="F56" i="76"/>
  <c r="F55" i="76"/>
  <c r="F44" i="76"/>
  <c r="L12" i="76"/>
  <c r="N12" i="76" s="1"/>
  <c r="F66" i="76"/>
  <c r="F64" i="76"/>
  <c r="F39" i="76"/>
  <c r="F35" i="76"/>
  <c r="F68" i="76"/>
  <c r="F63" i="76"/>
  <c r="F46" i="76"/>
  <c r="F45" i="76"/>
  <c r="F57" i="76"/>
  <c r="F41" i="76"/>
  <c r="F40" i="76"/>
  <c r="F48" i="76"/>
  <c r="F47" i="76"/>
  <c r="F36" i="76"/>
  <c r="F32" i="76"/>
  <c r="F31" i="76"/>
  <c r="F30" i="76"/>
  <c r="F28" i="76"/>
  <c r="F26" i="76"/>
  <c r="F37" i="76"/>
  <c r="F33" i="76"/>
  <c r="F52" i="76"/>
  <c r="F51" i="76"/>
  <c r="F59" i="76"/>
  <c r="F43" i="76"/>
  <c r="F72" i="77"/>
  <c r="F71" i="77"/>
  <c r="F64" i="77"/>
  <c r="F83" i="77"/>
  <c r="F74" i="77"/>
  <c r="F73" i="77"/>
  <c r="F90" i="77"/>
  <c r="F85" i="77"/>
  <c r="F84" i="77"/>
  <c r="F88" i="77"/>
  <c r="F87" i="77"/>
  <c r="F78" i="77"/>
  <c r="F77" i="77"/>
  <c r="F80" i="77"/>
  <c r="F79" i="77"/>
  <c r="F68" i="77"/>
  <c r="F67" i="77"/>
  <c r="F63" i="77"/>
  <c r="F62" i="77"/>
  <c r="F82" i="77"/>
  <c r="F81" i="77"/>
  <c r="F70" i="77"/>
  <c r="F69" i="77"/>
  <c r="F75" i="77"/>
  <c r="F60" i="77"/>
  <c r="F44" i="77"/>
  <c r="F40" i="77"/>
  <c r="F58" i="77"/>
  <c r="F53" i="77"/>
  <c r="F52" i="77"/>
  <c r="F51" i="77"/>
  <c r="D49" i="77"/>
  <c r="F56" i="77"/>
  <c r="F45" i="77"/>
  <c r="F41" i="77"/>
  <c r="F37" i="77"/>
  <c r="F36" i="77"/>
  <c r="L12" i="77"/>
  <c r="F94" i="77"/>
  <c r="F76" i="77"/>
  <c r="F65" i="77"/>
  <c r="F61" i="77"/>
  <c r="F59" i="77"/>
  <c r="F54" i="77"/>
  <c r="F46" i="77"/>
  <c r="F42" i="77"/>
  <c r="F38" i="77"/>
  <c r="F89" i="77"/>
  <c r="F57" i="77"/>
  <c r="F55" i="77"/>
  <c r="F47" i="77"/>
  <c r="F43" i="77"/>
  <c r="F39" i="77"/>
  <c r="F66" i="77"/>
  <c r="X12" i="70"/>
  <c r="R36" i="70"/>
  <c r="R56" i="70"/>
  <c r="R60" i="70"/>
  <c r="F41" i="71"/>
  <c r="F45" i="71"/>
  <c r="F49" i="71"/>
  <c r="F56" i="71"/>
  <c r="R69" i="71"/>
  <c r="F80" i="71"/>
  <c r="F81" i="71"/>
  <c r="R93" i="71"/>
  <c r="R94" i="71"/>
  <c r="F97" i="71"/>
  <c r="F106" i="71"/>
  <c r="Z44" i="73"/>
  <c r="N52" i="73"/>
  <c r="L66" i="73"/>
  <c r="L24" i="74"/>
  <c r="Z27" i="74"/>
  <c r="N31" i="74"/>
  <c r="L31" i="74"/>
  <c r="L53" i="74"/>
  <c r="N53" i="74" s="1"/>
  <c r="V57" i="74"/>
  <c r="Z62" i="74"/>
  <c r="L76" i="75"/>
  <c r="N76" i="75" s="1"/>
  <c r="Z92" i="75"/>
  <c r="X98" i="75"/>
  <c r="Z98" i="75" s="1"/>
  <c r="P97" i="75"/>
  <c r="X97" i="75" s="1"/>
  <c r="Z97" i="75" s="1"/>
  <c r="N45" i="76"/>
  <c r="X64" i="76"/>
  <c r="H12" i="77"/>
  <c r="L13" i="77"/>
  <c r="N13" i="77" s="1"/>
  <c r="Z17" i="77"/>
  <c r="N28" i="77"/>
  <c r="R45" i="70"/>
  <c r="R46" i="70"/>
  <c r="R38" i="71"/>
  <c r="R42" i="71"/>
  <c r="R46" i="71"/>
  <c r="R50" i="71"/>
  <c r="F57" i="71"/>
  <c r="F58" i="71"/>
  <c r="F62" i="71"/>
  <c r="F66" i="71"/>
  <c r="R74" i="71"/>
  <c r="R75" i="71"/>
  <c r="F89" i="71"/>
  <c r="F90" i="71"/>
  <c r="F107" i="71"/>
  <c r="F112" i="71"/>
  <c r="L22" i="74"/>
  <c r="N22" i="74" s="1"/>
  <c r="N24" i="74"/>
  <c r="V89" i="75"/>
  <c r="V85" i="75"/>
  <c r="V73" i="75"/>
  <c r="V45" i="75"/>
  <c r="V41" i="75"/>
  <c r="V37" i="75"/>
  <c r="V33" i="75"/>
  <c r="V92" i="75"/>
  <c r="V84" i="75"/>
  <c r="V76" i="75"/>
  <c r="V64" i="75"/>
  <c r="V60" i="75"/>
  <c r="Z12" i="75"/>
  <c r="V91" i="75"/>
  <c r="V75" i="75"/>
  <c r="V59" i="75"/>
  <c r="V55" i="75"/>
  <c r="V51" i="75"/>
  <c r="V94" i="75"/>
  <c r="V86" i="75"/>
  <c r="V78" i="75"/>
  <c r="V66" i="75"/>
  <c r="V50" i="75"/>
  <c r="V46" i="75"/>
  <c r="V42" i="75"/>
  <c r="V38" i="75"/>
  <c r="V34" i="75"/>
  <c r="V93" i="75"/>
  <c r="V77" i="75"/>
  <c r="V65" i="75"/>
  <c r="V61" i="75"/>
  <c r="T48" i="75"/>
  <c r="V48" i="75" s="1"/>
  <c r="V98" i="75"/>
  <c r="V80" i="75"/>
  <c r="V68" i="75"/>
  <c r="V56" i="75"/>
  <c r="V52" i="75"/>
  <c r="V97" i="75"/>
  <c r="V95" i="75"/>
  <c r="V87" i="75"/>
  <c r="V79" i="75"/>
  <c r="V67" i="75"/>
  <c r="V43" i="75"/>
  <c r="V39" i="75"/>
  <c r="V35" i="75"/>
  <c r="V70" i="75"/>
  <c r="V62" i="75"/>
  <c r="V102" i="75"/>
  <c r="V88" i="75"/>
  <c r="V72" i="75"/>
  <c r="V44" i="75"/>
  <c r="V40" i="75"/>
  <c r="V36" i="75"/>
  <c r="V32" i="75"/>
  <c r="V83" i="75"/>
  <c r="V71" i="75"/>
  <c r="V63" i="75"/>
  <c r="V90" i="75"/>
  <c r="V82" i="75"/>
  <c r="V74" i="75"/>
  <c r="V58" i="75"/>
  <c r="V54" i="75"/>
  <c r="Z64" i="76"/>
  <c r="T63" i="76"/>
  <c r="P12" i="77"/>
  <c r="R26" i="70"/>
  <c r="R30" i="70"/>
  <c r="R54" i="70"/>
  <c r="R55" i="70"/>
  <c r="L27" i="71"/>
  <c r="N27" i="71" s="1"/>
  <c r="L31" i="71"/>
  <c r="L35" i="71"/>
  <c r="R59" i="71"/>
  <c r="R63" i="71"/>
  <c r="F71" i="71"/>
  <c r="F78" i="71"/>
  <c r="F79" i="71"/>
  <c r="R83" i="71"/>
  <c r="R91" i="71"/>
  <c r="R92" i="71"/>
  <c r="R99" i="71"/>
  <c r="F108" i="71"/>
  <c r="Z58" i="73"/>
  <c r="J93" i="75"/>
  <c r="R68" i="76"/>
  <c r="R47" i="76"/>
  <c r="R46" i="76"/>
  <c r="R31" i="76"/>
  <c r="R57" i="76"/>
  <c r="R41" i="76"/>
  <c r="R30" i="76"/>
  <c r="R26" i="76"/>
  <c r="R49" i="76"/>
  <c r="R48" i="76"/>
  <c r="R36" i="76"/>
  <c r="R32" i="76"/>
  <c r="P28" i="76"/>
  <c r="R28" i="76" s="1"/>
  <c r="R58" i="76"/>
  <c r="R51" i="76"/>
  <c r="R50" i="76"/>
  <c r="R42" i="76"/>
  <c r="R37" i="76"/>
  <c r="R33" i="76"/>
  <c r="R53" i="76"/>
  <c r="R52" i="76"/>
  <c r="R60" i="76"/>
  <c r="R59" i="76"/>
  <c r="R43" i="76"/>
  <c r="R64" i="76"/>
  <c r="R61" i="76"/>
  <c r="R63" i="76"/>
  <c r="R56" i="76"/>
  <c r="R45" i="76"/>
  <c r="R44" i="76"/>
  <c r="X12" i="76"/>
  <c r="R40" i="76"/>
  <c r="R39" i="76"/>
  <c r="R35" i="76"/>
  <c r="V94" i="77"/>
  <c r="V76" i="77"/>
  <c r="V60" i="77"/>
  <c r="V56" i="77"/>
  <c r="V79" i="77"/>
  <c r="V67" i="77"/>
  <c r="V51" i="77"/>
  <c r="V47" i="77"/>
  <c r="V78" i="77"/>
  <c r="V66" i="77"/>
  <c r="V62" i="77"/>
  <c r="V81" i="77"/>
  <c r="V69" i="77"/>
  <c r="V61" i="77"/>
  <c r="V57" i="77"/>
  <c r="V80" i="77"/>
  <c r="V82" i="77"/>
  <c r="V70" i="77"/>
  <c r="V73" i="77"/>
  <c r="V90" i="77"/>
  <c r="V84" i="77"/>
  <c r="V89" i="77"/>
  <c r="V83" i="77"/>
  <c r="V75" i="77"/>
  <c r="V59" i="77"/>
  <c r="V55" i="77"/>
  <c r="V88" i="77"/>
  <c r="V74" i="77"/>
  <c r="V87" i="77"/>
  <c r="V85" i="77"/>
  <c r="V77" i="77"/>
  <c r="V63" i="77"/>
  <c r="V54" i="77"/>
  <c r="V46" i="77"/>
  <c r="V42" i="77"/>
  <c r="V38" i="77"/>
  <c r="V65" i="77"/>
  <c r="V72" i="77"/>
  <c r="V43" i="77"/>
  <c r="V39" i="77"/>
  <c r="V52" i="77"/>
  <c r="T49" i="77"/>
  <c r="V68" i="77"/>
  <c r="V44" i="77"/>
  <c r="V40" i="77"/>
  <c r="V36" i="77"/>
  <c r="V64" i="77"/>
  <c r="V53" i="77"/>
  <c r="V58" i="77"/>
  <c r="V45" i="77"/>
  <c r="V41" i="77"/>
  <c r="V37" i="77"/>
  <c r="R16" i="70"/>
  <c r="R35" i="70"/>
  <c r="R43" i="70"/>
  <c r="R44" i="70"/>
  <c r="R59" i="70"/>
  <c r="X12" i="71"/>
  <c r="R37" i="71"/>
  <c r="F40" i="71"/>
  <c r="F44" i="71"/>
  <c r="F48" i="71"/>
  <c r="F52" i="71"/>
  <c r="R68" i="71"/>
  <c r="R72" i="71"/>
  <c r="F87" i="71"/>
  <c r="F88" i="71"/>
  <c r="F96" i="71"/>
  <c r="F103" i="71"/>
  <c r="L46" i="73"/>
  <c r="N46" i="73" s="1"/>
  <c r="Z52" i="73"/>
  <c r="X58" i="73"/>
  <c r="N69" i="73"/>
  <c r="N15" i="74"/>
  <c r="N26" i="74"/>
  <c r="N28" i="74"/>
  <c r="J65" i="75"/>
  <c r="V69" i="75"/>
  <c r="X15" i="76"/>
  <c r="Z15" i="76" s="1"/>
  <c r="Z19" i="76"/>
  <c r="X19" i="76"/>
  <c r="R38" i="76"/>
  <c r="Z51" i="76"/>
  <c r="Z53" i="74"/>
  <c r="Z73" i="74"/>
  <c r="Z60" i="75"/>
  <c r="N70" i="75"/>
  <c r="Z76" i="75"/>
  <c r="T12" i="76"/>
  <c r="J34" i="76"/>
  <c r="J38" i="76"/>
  <c r="J54" i="76"/>
  <c r="J60" i="76"/>
  <c r="P63" i="76"/>
  <c r="X63" i="76" s="1"/>
  <c r="Z16" i="77"/>
  <c r="Z20" i="77"/>
  <c r="Z24" i="77"/>
  <c r="Z28" i="77"/>
  <c r="Z32" i="77"/>
  <c r="J43" i="76"/>
  <c r="J53" i="76"/>
  <c r="J59" i="76"/>
  <c r="X73" i="77"/>
  <c r="Z73" i="77" s="1"/>
  <c r="X87" i="77"/>
  <c r="Z87" i="77" s="1"/>
  <c r="Z14" i="79"/>
  <c r="N12" i="81"/>
  <c r="L13" i="75"/>
  <c r="N13" i="75" s="1"/>
  <c r="J52" i="76"/>
  <c r="Z69" i="77"/>
  <c r="X69" i="77"/>
  <c r="Z71" i="77"/>
  <c r="Z50" i="79"/>
  <c r="X62" i="74"/>
  <c r="J42" i="76"/>
  <c r="J50" i="76"/>
  <c r="J58" i="76"/>
  <c r="F61" i="79"/>
  <c r="F56" i="79"/>
  <c r="F51" i="79"/>
  <c r="F50" i="79"/>
  <c r="F43" i="79"/>
  <c r="F42" i="79"/>
  <c r="F35" i="79"/>
  <c r="F31" i="79"/>
  <c r="F55" i="79"/>
  <c r="F22" i="79"/>
  <c r="F54" i="79"/>
  <c r="F37" i="79"/>
  <c r="F36" i="79"/>
  <c r="F53" i="79"/>
  <c r="F44" i="79"/>
  <c r="F32" i="79"/>
  <c r="F23" i="79"/>
  <c r="F19" i="79"/>
  <c r="F18" i="79"/>
  <c r="F46" i="79"/>
  <c r="F45" i="79"/>
  <c r="F38" i="79"/>
  <c r="F33" i="79"/>
  <c r="F29" i="79"/>
  <c r="F28" i="79"/>
  <c r="F48" i="79"/>
  <c r="F47" i="79"/>
  <c r="F27" i="79"/>
  <c r="F25" i="79"/>
  <c r="F20" i="79"/>
  <c r="F39" i="79"/>
  <c r="D25" i="79"/>
  <c r="F34" i="79"/>
  <c r="F30" i="79"/>
  <c r="F49" i="79"/>
  <c r="F41" i="79"/>
  <c r="F40" i="79"/>
  <c r="F21" i="79"/>
  <c r="F57" i="79"/>
  <c r="L12" i="79"/>
  <c r="N12" i="79" s="1"/>
  <c r="N18" i="79"/>
  <c r="H28" i="76"/>
  <c r="L28" i="76" s="1"/>
  <c r="J49" i="76"/>
  <c r="J54" i="79"/>
  <c r="J36" i="79"/>
  <c r="J22" i="79"/>
  <c r="J53" i="79"/>
  <c r="J37" i="79"/>
  <c r="J44" i="79"/>
  <c r="J32" i="79"/>
  <c r="J18" i="79"/>
  <c r="J45" i="79"/>
  <c r="J23" i="79"/>
  <c r="J19" i="79"/>
  <c r="J46" i="79"/>
  <c r="J38" i="79"/>
  <c r="J28" i="79"/>
  <c r="J47" i="79"/>
  <c r="J33" i="79"/>
  <c r="J29" i="79"/>
  <c r="J27" i="79"/>
  <c r="J25" i="79"/>
  <c r="J48" i="79"/>
  <c r="H25" i="79"/>
  <c r="J20" i="79"/>
  <c r="J39" i="79"/>
  <c r="J40" i="79"/>
  <c r="J34" i="79"/>
  <c r="J30" i="79"/>
  <c r="J57" i="79"/>
  <c r="J49" i="79"/>
  <c r="J41" i="79"/>
  <c r="J21" i="79"/>
  <c r="J56" i="79"/>
  <c r="J50" i="79"/>
  <c r="J42" i="79"/>
  <c r="J61" i="79"/>
  <c r="J55" i="79"/>
  <c r="J51" i="79"/>
  <c r="J43" i="79"/>
  <c r="J35" i="79"/>
  <c r="J31" i="79"/>
  <c r="J48" i="76"/>
  <c r="F61" i="80"/>
  <c r="F60" i="80"/>
  <c r="F48" i="80"/>
  <c r="F47" i="80"/>
  <c r="F36" i="80"/>
  <c r="F32" i="80"/>
  <c r="F31" i="80"/>
  <c r="L12" i="80"/>
  <c r="F55" i="80"/>
  <c r="F27" i="80"/>
  <c r="F50" i="80"/>
  <c r="F49" i="80"/>
  <c r="F38" i="80"/>
  <c r="F37" i="80"/>
  <c r="F18" i="80"/>
  <c r="F33" i="80"/>
  <c r="F63" i="80"/>
  <c r="F56" i="80"/>
  <c r="F40" i="80"/>
  <c r="F39" i="80"/>
  <c r="F28" i="80"/>
  <c r="F24" i="80"/>
  <c r="F23" i="80"/>
  <c r="F51" i="80"/>
  <c r="F22" i="80"/>
  <c r="F20" i="80"/>
  <c r="F42" i="80"/>
  <c r="F41" i="80"/>
  <c r="F34" i="80"/>
  <c r="D20" i="80"/>
  <c r="F67" i="80"/>
  <c r="F57" i="80"/>
  <c r="F53" i="80"/>
  <c r="F52" i="80"/>
  <c r="F29" i="80"/>
  <c r="F25" i="80"/>
  <c r="F44" i="80"/>
  <c r="F43" i="80"/>
  <c r="F59" i="80"/>
  <c r="F58" i="80"/>
  <c r="F35" i="80"/>
  <c r="F54" i="80"/>
  <c r="F46" i="80"/>
  <c r="F45" i="80"/>
  <c r="F30" i="80"/>
  <c r="F26" i="80"/>
  <c r="F17" i="80"/>
  <c r="F16" i="80"/>
  <c r="F73" i="81"/>
  <c r="F31" i="81"/>
  <c r="F27" i="81"/>
  <c r="F62" i="81"/>
  <c r="F58" i="81"/>
  <c r="F57" i="81"/>
  <c r="F50" i="81"/>
  <c r="F49" i="81"/>
  <c r="F38" i="81"/>
  <c r="F37" i="81"/>
  <c r="F33" i="81"/>
  <c r="F32" i="81"/>
  <c r="F52" i="81"/>
  <c r="F51" i="81"/>
  <c r="F40" i="81"/>
  <c r="F39" i="81"/>
  <c r="F28" i="81"/>
  <c r="F24" i="81"/>
  <c r="F23" i="81"/>
  <c r="F63" i="81"/>
  <c r="F59" i="81"/>
  <c r="F54" i="81"/>
  <c r="F53" i="81"/>
  <c r="F42" i="81"/>
  <c r="F41" i="81"/>
  <c r="F34" i="81"/>
  <c r="F65" i="81"/>
  <c r="F64" i="81"/>
  <c r="F29" i="81"/>
  <c r="F25" i="81"/>
  <c r="F60" i="81"/>
  <c r="F44" i="81"/>
  <c r="F43" i="81"/>
  <c r="F67" i="81"/>
  <c r="F66" i="81"/>
  <c r="F55" i="81"/>
  <c r="F35" i="81"/>
  <c r="F61" i="81"/>
  <c r="F69" i="81"/>
  <c r="F56" i="81"/>
  <c r="F48" i="81"/>
  <c r="F47" i="81"/>
  <c r="F36" i="81"/>
  <c r="L12" i="81"/>
  <c r="F26" i="81"/>
  <c r="F16" i="81"/>
  <c r="F20" i="81"/>
  <c r="D20" i="81"/>
  <c r="F46" i="81"/>
  <c r="F17" i="81"/>
  <c r="F30" i="81"/>
  <c r="F22" i="81"/>
  <c r="F18" i="81"/>
  <c r="F45" i="81"/>
  <c r="Z13" i="75"/>
  <c r="X14" i="76"/>
  <c r="Z14" i="76" s="1"/>
  <c r="X18" i="76"/>
  <c r="Z18" i="76" s="1"/>
  <c r="X22" i="76"/>
  <c r="J31" i="76"/>
  <c r="J41" i="76"/>
  <c r="J47" i="76"/>
  <c r="J57" i="76"/>
  <c r="L16" i="77"/>
  <c r="L20" i="77"/>
  <c r="N20" i="77" s="1"/>
  <c r="L24" i="77"/>
  <c r="N24" i="77" s="1"/>
  <c r="L28" i="77"/>
  <c r="L32" i="77"/>
  <c r="N32" i="77" s="1"/>
  <c r="J55" i="80"/>
  <c r="J49" i="80"/>
  <c r="J37" i="80"/>
  <c r="J27" i="80"/>
  <c r="J50" i="80"/>
  <c r="J38" i="80"/>
  <c r="J18" i="80"/>
  <c r="J63" i="80"/>
  <c r="J39" i="80"/>
  <c r="J33" i="80"/>
  <c r="J23" i="80"/>
  <c r="J56" i="80"/>
  <c r="J40" i="80"/>
  <c r="J28" i="80"/>
  <c r="J24" i="80"/>
  <c r="J22" i="80"/>
  <c r="J20" i="80"/>
  <c r="J51" i="80"/>
  <c r="J41" i="80"/>
  <c r="H20" i="80"/>
  <c r="J52" i="80"/>
  <c r="J42" i="80"/>
  <c r="J34" i="80"/>
  <c r="J67" i="80"/>
  <c r="J57" i="80"/>
  <c r="J53" i="80"/>
  <c r="J43" i="80"/>
  <c r="J29" i="80"/>
  <c r="J25" i="80"/>
  <c r="J58" i="80"/>
  <c r="J44" i="80"/>
  <c r="J59" i="80"/>
  <c r="J45" i="80"/>
  <c r="J35" i="80"/>
  <c r="J54" i="80"/>
  <c r="J46" i="80"/>
  <c r="J30" i="80"/>
  <c r="J26" i="80"/>
  <c r="J16" i="80"/>
  <c r="J60" i="80"/>
  <c r="J47" i="80"/>
  <c r="J31" i="80"/>
  <c r="J17" i="80"/>
  <c r="J61" i="80"/>
  <c r="J48" i="80"/>
  <c r="J36" i="80"/>
  <c r="J32" i="80"/>
  <c r="N12" i="80"/>
  <c r="Z31" i="80"/>
  <c r="Z47" i="80"/>
  <c r="X66" i="74"/>
  <c r="Z66" i="74" s="1"/>
  <c r="J40" i="76"/>
  <c r="J46" i="76"/>
  <c r="J68" i="76"/>
  <c r="X13" i="77"/>
  <c r="J35" i="76"/>
  <c r="J39" i="76"/>
  <c r="J45" i="76"/>
  <c r="J63" i="76"/>
  <c r="Z13" i="77"/>
  <c r="J44" i="76"/>
  <c r="J56" i="76"/>
  <c r="J64" i="76"/>
  <c r="L88" i="77"/>
  <c r="N53" i="79"/>
  <c r="Z16" i="80"/>
  <c r="N22" i="80"/>
  <c r="N39" i="80"/>
  <c r="J55" i="76"/>
  <c r="N88" i="77"/>
  <c r="H87" i="77"/>
  <c r="L90" i="77"/>
  <c r="N90" i="77" s="1"/>
  <c r="D87" i="77"/>
  <c r="R22" i="80"/>
  <c r="R33" i="80"/>
  <c r="N47" i="81"/>
  <c r="V68" i="84"/>
  <c r="V64" i="84"/>
  <c r="V56" i="84"/>
  <c r="V36" i="84"/>
  <c r="V32" i="84"/>
  <c r="V47" i="84"/>
  <c r="V31" i="84"/>
  <c r="V27" i="84"/>
  <c r="V23" i="84"/>
  <c r="V70" i="84"/>
  <c r="V58" i="84"/>
  <c r="V46" i="84"/>
  <c r="V38" i="84"/>
  <c r="V22" i="84"/>
  <c r="V18" i="84"/>
  <c r="V69" i="84"/>
  <c r="V65" i="84"/>
  <c r="V49" i="84"/>
  <c r="V37" i="84"/>
  <c r="V33" i="84"/>
  <c r="T20" i="84"/>
  <c r="V72" i="84"/>
  <c r="V48" i="84"/>
  <c r="V40" i="84"/>
  <c r="V28" i="84"/>
  <c r="V24" i="84"/>
  <c r="V71" i="84"/>
  <c r="V59" i="84"/>
  <c r="V51" i="84"/>
  <c r="V39" i="84"/>
  <c r="V66" i="84"/>
  <c r="V50" i="84"/>
  <c r="V42" i="84"/>
  <c r="V34" i="84"/>
  <c r="V75" i="84"/>
  <c r="V73" i="84"/>
  <c r="V61" i="84"/>
  <c r="V53" i="84"/>
  <c r="V41" i="84"/>
  <c r="V29" i="84"/>
  <c r="V25" i="84"/>
  <c r="V60" i="84"/>
  <c r="V52" i="84"/>
  <c r="V44" i="84"/>
  <c r="V16" i="84"/>
  <c r="V67" i="84"/>
  <c r="V63" i="84"/>
  <c r="V55" i="84"/>
  <c r="V43" i="84"/>
  <c r="V35" i="84"/>
  <c r="V62" i="84"/>
  <c r="V54" i="84"/>
  <c r="V30" i="84"/>
  <c r="V26" i="84"/>
  <c r="V79" i="84"/>
  <c r="V57" i="84"/>
  <c r="V45" i="84"/>
  <c r="V17" i="84"/>
  <c r="X13" i="79"/>
  <c r="Z13" i="79" s="1"/>
  <c r="R18" i="80"/>
  <c r="R23" i="80"/>
  <c r="R38" i="80"/>
  <c r="R39" i="80"/>
  <c r="R50" i="80"/>
  <c r="R63" i="80"/>
  <c r="R64" i="81"/>
  <c r="R63" i="81"/>
  <c r="R59" i="81"/>
  <c r="R54" i="81"/>
  <c r="R43" i="81"/>
  <c r="R42" i="81"/>
  <c r="R34" i="81"/>
  <c r="R66" i="81"/>
  <c r="R65" i="81"/>
  <c r="R29" i="81"/>
  <c r="R25" i="81"/>
  <c r="R60" i="81"/>
  <c r="R45" i="81"/>
  <c r="R44" i="81"/>
  <c r="R67" i="81"/>
  <c r="R55" i="81"/>
  <c r="R69" i="81"/>
  <c r="R47" i="81"/>
  <c r="R46" i="81"/>
  <c r="R30" i="81"/>
  <c r="R26" i="81"/>
  <c r="R61" i="81"/>
  <c r="R17" i="81"/>
  <c r="R57" i="81"/>
  <c r="R56" i="81"/>
  <c r="R49" i="81"/>
  <c r="R48" i="81"/>
  <c r="R37" i="81"/>
  <c r="R36" i="81"/>
  <c r="R73" i="81"/>
  <c r="R32" i="81"/>
  <c r="R31" i="81"/>
  <c r="R27" i="81"/>
  <c r="R62" i="81"/>
  <c r="R58" i="81"/>
  <c r="R51" i="81"/>
  <c r="R50" i="81"/>
  <c r="R33" i="81"/>
  <c r="R53" i="81"/>
  <c r="R52" i="81"/>
  <c r="R41" i="81"/>
  <c r="R40" i="81"/>
  <c r="R28" i="81"/>
  <c r="R24" i="81"/>
  <c r="R16" i="81"/>
  <c r="N41" i="81"/>
  <c r="Z53" i="84"/>
  <c r="X88" i="77"/>
  <c r="Z88" i="77" s="1"/>
  <c r="P12" i="79"/>
  <c r="T12" i="80"/>
  <c r="R27" i="80"/>
  <c r="R55" i="80"/>
  <c r="V66" i="81"/>
  <c r="V54" i="81"/>
  <c r="V42" i="81"/>
  <c r="V34" i="81"/>
  <c r="V65" i="81"/>
  <c r="V45" i="81"/>
  <c r="V29" i="81"/>
  <c r="V25" i="81"/>
  <c r="V60" i="81"/>
  <c r="V44" i="81"/>
  <c r="V16" i="81"/>
  <c r="V69" i="81"/>
  <c r="V67" i="81"/>
  <c r="V55" i="81"/>
  <c r="V47" i="81"/>
  <c r="V35" i="81"/>
  <c r="V46" i="81"/>
  <c r="V61" i="81"/>
  <c r="V57" i="81"/>
  <c r="V49" i="81"/>
  <c r="V37" i="81"/>
  <c r="V56" i="81"/>
  <c r="V48" i="81"/>
  <c r="V36" i="81"/>
  <c r="V32" i="81"/>
  <c r="Z12" i="81"/>
  <c r="V73" i="81"/>
  <c r="V51" i="81"/>
  <c r="V39" i="81"/>
  <c r="V31" i="81"/>
  <c r="V27" i="81"/>
  <c r="V23" i="81"/>
  <c r="V62" i="81"/>
  <c r="V58" i="81"/>
  <c r="V50" i="81"/>
  <c r="V38" i="81"/>
  <c r="V22" i="81"/>
  <c r="V18" i="81"/>
  <c r="V53" i="81"/>
  <c r="V64" i="81"/>
  <c r="V52" i="81"/>
  <c r="V40" i="81"/>
  <c r="V63" i="81"/>
  <c r="V59" i="81"/>
  <c r="V43" i="81"/>
  <c r="Z16" i="81"/>
  <c r="Z47" i="81"/>
  <c r="R31" i="83"/>
  <c r="R17" i="83"/>
  <c r="X12" i="83"/>
  <c r="R18" i="83"/>
  <c r="R24" i="83"/>
  <c r="R19" i="83"/>
  <c r="R23" i="83"/>
  <c r="R21" i="83"/>
  <c r="R25" i="83"/>
  <c r="P21" i="83"/>
  <c r="R27" i="83"/>
  <c r="T12" i="79"/>
  <c r="T53" i="79"/>
  <c r="X53" i="79" s="1"/>
  <c r="R32" i="80"/>
  <c r="R36" i="80"/>
  <c r="R37" i="80"/>
  <c r="R48" i="80"/>
  <c r="R49" i="80"/>
  <c r="R61" i="80"/>
  <c r="X16" i="79"/>
  <c r="Z16" i="79" s="1"/>
  <c r="X22" i="81"/>
  <c r="V82" i="85"/>
  <c r="V93" i="85"/>
  <c r="V85" i="85"/>
  <c r="V73" i="85"/>
  <c r="V100" i="85"/>
  <c r="V84" i="85"/>
  <c r="V72" i="85"/>
  <c r="V60" i="85"/>
  <c r="V56" i="85"/>
  <c r="V113" i="85"/>
  <c r="V95" i="85"/>
  <c r="V87" i="85"/>
  <c r="V75" i="85"/>
  <c r="V47" i="85"/>
  <c r="V43" i="85"/>
  <c r="V39" i="85"/>
  <c r="V102" i="85"/>
  <c r="V94" i="85"/>
  <c r="V86" i="85"/>
  <c r="V74" i="85"/>
  <c r="V66" i="85"/>
  <c r="V101" i="85"/>
  <c r="V97" i="85"/>
  <c r="V89" i="85"/>
  <c r="V77" i="85"/>
  <c r="V61" i="85"/>
  <c r="V57" i="85"/>
  <c r="V103" i="85"/>
  <c r="V91" i="85"/>
  <c r="V79" i="85"/>
  <c r="V67" i="85"/>
  <c r="V109" i="85"/>
  <c r="V107" i="85"/>
  <c r="V99" i="85"/>
  <c r="V83" i="85"/>
  <c r="V71" i="85"/>
  <c r="V63" i="85"/>
  <c r="V59" i="85"/>
  <c r="V55" i="85"/>
  <c r="V69" i="85"/>
  <c r="V62" i="85"/>
  <c r="V41" i="85"/>
  <c r="V98" i="85"/>
  <c r="V78" i="85"/>
  <c r="V49" i="85"/>
  <c r="V45" i="85"/>
  <c r="V37" i="85"/>
  <c r="V35" i="85"/>
  <c r="V96" i="85"/>
  <c r="V92" i="85"/>
  <c r="V81" i="85"/>
  <c r="V76" i="85"/>
  <c r="V65" i="85"/>
  <c r="V58" i="85"/>
  <c r="T52" i="85"/>
  <c r="V52" i="85" s="1"/>
  <c r="V105" i="85"/>
  <c r="V90" i="85"/>
  <c r="V88" i="85"/>
  <c r="V54" i="85"/>
  <c r="V106" i="85"/>
  <c r="V70" i="85"/>
  <c r="V48" i="85"/>
  <c r="V44" i="85"/>
  <c r="V42" i="85"/>
  <c r="V40" i="85"/>
  <c r="V36" i="85"/>
  <c r="V104" i="85"/>
  <c r="V68" i="85"/>
  <c r="V64" i="85"/>
  <c r="V50" i="85"/>
  <c r="V46" i="85"/>
  <c r="V38" i="85"/>
  <c r="V80" i="85"/>
  <c r="Z27" i="85"/>
  <c r="R26" i="80"/>
  <c r="R30" i="80"/>
  <c r="R31" i="80"/>
  <c r="R46" i="80"/>
  <c r="R47" i="80"/>
  <c r="R54" i="80"/>
  <c r="R60" i="80"/>
  <c r="L13" i="81"/>
  <c r="R22" i="81"/>
  <c r="N53" i="81"/>
  <c r="Z42" i="84"/>
  <c r="N57" i="84"/>
  <c r="R59" i="80"/>
  <c r="J62" i="81"/>
  <c r="J58" i="81"/>
  <c r="J50" i="81"/>
  <c r="J38" i="81"/>
  <c r="J32" i="81"/>
  <c r="J18" i="81"/>
  <c r="J51" i="81"/>
  <c r="J39" i="81"/>
  <c r="J33" i="81"/>
  <c r="J23" i="81"/>
  <c r="J52" i="81"/>
  <c r="J40" i="81"/>
  <c r="J28" i="81"/>
  <c r="J24" i="81"/>
  <c r="J22" i="81"/>
  <c r="J63" i="81"/>
  <c r="J59" i="81"/>
  <c r="J53" i="81"/>
  <c r="J41" i="81"/>
  <c r="J64" i="81"/>
  <c r="J54" i="81"/>
  <c r="J42" i="81"/>
  <c r="J65" i="81"/>
  <c r="J43" i="81"/>
  <c r="J29" i="81"/>
  <c r="J25" i="81"/>
  <c r="J66" i="81"/>
  <c r="J60" i="81"/>
  <c r="J44" i="81"/>
  <c r="J67" i="81"/>
  <c r="J55" i="81"/>
  <c r="J45" i="81"/>
  <c r="J35" i="81"/>
  <c r="J46" i="81"/>
  <c r="J30" i="81"/>
  <c r="J26" i="81"/>
  <c r="J16" i="81"/>
  <c r="J69" i="81"/>
  <c r="J61" i="81"/>
  <c r="J47" i="81"/>
  <c r="J56" i="81"/>
  <c r="J48" i="81"/>
  <c r="J36" i="81"/>
  <c r="J73" i="81"/>
  <c r="J57" i="81"/>
  <c r="J49" i="81"/>
  <c r="J37" i="81"/>
  <c r="J31" i="81"/>
  <c r="J27" i="81"/>
  <c r="J17" i="81"/>
  <c r="Z22" i="81"/>
  <c r="R35" i="81"/>
  <c r="R39" i="81"/>
  <c r="X15" i="79"/>
  <c r="Z15" i="79" s="1"/>
  <c r="R44" i="80"/>
  <c r="R45" i="80"/>
  <c r="N13" i="81"/>
  <c r="V33" i="81"/>
  <c r="Z53" i="81"/>
  <c r="Z72" i="84"/>
  <c r="N18" i="85"/>
  <c r="N22" i="85"/>
  <c r="L13" i="80"/>
  <c r="R25" i="80"/>
  <c r="R29" i="80"/>
  <c r="R53" i="80"/>
  <c r="R57" i="80"/>
  <c r="R58" i="80"/>
  <c r="R67" i="80"/>
  <c r="H20" i="81"/>
  <c r="V28" i="81"/>
  <c r="V31" i="83"/>
  <c r="V17" i="83"/>
  <c r="Z12" i="83"/>
  <c r="V18" i="83"/>
  <c r="V24" i="83"/>
  <c r="V23" i="83"/>
  <c r="V19" i="83"/>
  <c r="T21" i="83"/>
  <c r="V27" i="83"/>
  <c r="V25" i="83"/>
  <c r="Z40" i="84"/>
  <c r="R107" i="85"/>
  <c r="R99" i="85"/>
  <c r="R109" i="85"/>
  <c r="R83" i="85"/>
  <c r="R82" i="85"/>
  <c r="R71" i="85"/>
  <c r="R70" i="85"/>
  <c r="R93" i="85"/>
  <c r="R65" i="85"/>
  <c r="R54" i="85"/>
  <c r="R100" i="85"/>
  <c r="R85" i="85"/>
  <c r="R84" i="85"/>
  <c r="R73" i="85"/>
  <c r="R72" i="85"/>
  <c r="R60" i="85"/>
  <c r="R56" i="85"/>
  <c r="P52" i="85"/>
  <c r="R113" i="85"/>
  <c r="R47" i="85"/>
  <c r="R43" i="85"/>
  <c r="R39" i="85"/>
  <c r="R95" i="85"/>
  <c r="R94" i="85"/>
  <c r="R87" i="85"/>
  <c r="R86" i="85"/>
  <c r="R75" i="85"/>
  <c r="R74" i="85"/>
  <c r="R66" i="85"/>
  <c r="R35" i="85"/>
  <c r="R97" i="85"/>
  <c r="R96" i="85"/>
  <c r="R89" i="85"/>
  <c r="R88" i="85"/>
  <c r="R77" i="85"/>
  <c r="R76" i="85"/>
  <c r="R48" i="85"/>
  <c r="R44" i="85"/>
  <c r="R40" i="85"/>
  <c r="R36" i="85"/>
  <c r="R92" i="85"/>
  <c r="R81" i="85"/>
  <c r="R80" i="85"/>
  <c r="R69" i="85"/>
  <c r="R68" i="85"/>
  <c r="R55" i="85"/>
  <c r="R67" i="85"/>
  <c r="R62" i="85"/>
  <c r="R41" i="85"/>
  <c r="X12" i="85"/>
  <c r="Z12" i="85" s="1"/>
  <c r="R98" i="85"/>
  <c r="R78" i="85"/>
  <c r="R49" i="85"/>
  <c r="R45" i="85"/>
  <c r="R37" i="85"/>
  <c r="R58" i="85"/>
  <c r="R79" i="85"/>
  <c r="R105" i="85"/>
  <c r="R103" i="85"/>
  <c r="R90" i="85"/>
  <c r="R63" i="85"/>
  <c r="R101" i="85"/>
  <c r="R91" i="85"/>
  <c r="R61" i="85"/>
  <c r="R59" i="85"/>
  <c r="R42" i="85"/>
  <c r="R106" i="85"/>
  <c r="R50" i="85"/>
  <c r="R46" i="85"/>
  <c r="R38" i="85"/>
  <c r="R104" i="85"/>
  <c r="R102" i="85"/>
  <c r="R64" i="85"/>
  <c r="R57" i="85"/>
  <c r="X81" i="77"/>
  <c r="Z81" i="77" s="1"/>
  <c r="L89" i="77"/>
  <c r="L13" i="79"/>
  <c r="L45" i="79"/>
  <c r="N45" i="79" s="1"/>
  <c r="N13" i="80"/>
  <c r="R34" i="80"/>
  <c r="R42" i="80"/>
  <c r="R43" i="80"/>
  <c r="V17" i="81"/>
  <c r="P20" i="81"/>
  <c r="R20" i="81" s="1"/>
  <c r="N23" i="81"/>
  <c r="N13" i="79"/>
  <c r="R51" i="80"/>
  <c r="R52" i="80"/>
  <c r="N16" i="81"/>
  <c r="N64" i="81"/>
  <c r="J60" i="84"/>
  <c r="J52" i="84"/>
  <c r="J42" i="84"/>
  <c r="J75" i="84"/>
  <c r="J67" i="84"/>
  <c r="J61" i="84"/>
  <c r="J53" i="84"/>
  <c r="J43" i="84"/>
  <c r="J35" i="84"/>
  <c r="J62" i="84"/>
  <c r="J54" i="84"/>
  <c r="J44" i="84"/>
  <c r="J30" i="84"/>
  <c r="J26" i="84"/>
  <c r="J16" i="84"/>
  <c r="J79" i="84"/>
  <c r="J63" i="84"/>
  <c r="J55" i="84"/>
  <c r="J45" i="84"/>
  <c r="J17" i="84"/>
  <c r="J68" i="84"/>
  <c r="J64" i="84"/>
  <c r="J56" i="84"/>
  <c r="J36" i="84"/>
  <c r="N12" i="84"/>
  <c r="J57" i="84"/>
  <c r="J31" i="84"/>
  <c r="J27" i="84"/>
  <c r="J58" i="84"/>
  <c r="J46" i="84"/>
  <c r="J32" i="84"/>
  <c r="J18" i="84"/>
  <c r="J69" i="84"/>
  <c r="J65" i="84"/>
  <c r="J47" i="84"/>
  <c r="J37" i="84"/>
  <c r="J33" i="84"/>
  <c r="J23" i="84"/>
  <c r="J70" i="84"/>
  <c r="J48" i="84"/>
  <c r="J38" i="84"/>
  <c r="J28" i="84"/>
  <c r="J24" i="84"/>
  <c r="J22" i="84"/>
  <c r="J20" i="84"/>
  <c r="J71" i="84"/>
  <c r="J59" i="84"/>
  <c r="J49" i="84"/>
  <c r="J39" i="84"/>
  <c r="H20" i="84"/>
  <c r="J72" i="84"/>
  <c r="J66" i="84"/>
  <c r="J50" i="84"/>
  <c r="J40" i="84"/>
  <c r="J34" i="84"/>
  <c r="J73" i="84"/>
  <c r="J51" i="84"/>
  <c r="J41" i="84"/>
  <c r="J29" i="84"/>
  <c r="J25" i="84"/>
  <c r="P20" i="80"/>
  <c r="R24" i="80"/>
  <c r="R28" i="80"/>
  <c r="R40" i="80"/>
  <c r="R41" i="80"/>
  <c r="T20" i="81"/>
  <c r="R23" i="81"/>
  <c r="V26" i="81"/>
  <c r="J34" i="81"/>
  <c r="Z51" i="81"/>
  <c r="N15" i="83"/>
  <c r="R79" i="84"/>
  <c r="R45" i="84"/>
  <c r="R17" i="84"/>
  <c r="R68" i="84"/>
  <c r="R64" i="84"/>
  <c r="R57" i="84"/>
  <c r="R56" i="84"/>
  <c r="R36" i="84"/>
  <c r="X12" i="84"/>
  <c r="Z12" i="84" s="1"/>
  <c r="R32" i="84"/>
  <c r="R31" i="84"/>
  <c r="R27" i="84"/>
  <c r="R58" i="84"/>
  <c r="R47" i="84"/>
  <c r="R46" i="84"/>
  <c r="R23" i="84"/>
  <c r="R18" i="84"/>
  <c r="R70" i="84"/>
  <c r="R69" i="84"/>
  <c r="R65" i="84"/>
  <c r="R38" i="84"/>
  <c r="R37" i="84"/>
  <c r="R33" i="84"/>
  <c r="R22" i="84"/>
  <c r="R49" i="84"/>
  <c r="R48" i="84"/>
  <c r="R28" i="84"/>
  <c r="R24" i="84"/>
  <c r="P20" i="84"/>
  <c r="R72" i="84"/>
  <c r="R71" i="84"/>
  <c r="R59" i="84"/>
  <c r="R40" i="84"/>
  <c r="R39" i="84"/>
  <c r="R66" i="84"/>
  <c r="R51" i="84"/>
  <c r="R50" i="84"/>
  <c r="R34" i="84"/>
  <c r="R73" i="84"/>
  <c r="R42" i="84"/>
  <c r="R41" i="84"/>
  <c r="R29" i="84"/>
  <c r="R25" i="84"/>
  <c r="R75" i="84"/>
  <c r="R61" i="84"/>
  <c r="R60" i="84"/>
  <c r="R53" i="84"/>
  <c r="R52" i="84"/>
  <c r="R67" i="84"/>
  <c r="R44" i="84"/>
  <c r="R43" i="84"/>
  <c r="R35" i="84"/>
  <c r="R16" i="84"/>
  <c r="R63" i="84"/>
  <c r="R62" i="84"/>
  <c r="R55" i="84"/>
  <c r="R54" i="84"/>
  <c r="R30" i="84"/>
  <c r="R26" i="84"/>
  <c r="N14" i="83"/>
  <c r="X17" i="83"/>
  <c r="Z17" i="83" s="1"/>
  <c r="F19" i="83"/>
  <c r="L23" i="83"/>
  <c r="N23" i="83" s="1"/>
  <c r="J24" i="83"/>
  <c r="D20" i="84"/>
  <c r="X32" i="84"/>
  <c r="Z32" i="84" s="1"/>
  <c r="F34" i="84"/>
  <c r="L42" i="84"/>
  <c r="N42" i="84" s="1"/>
  <c r="F49" i="84"/>
  <c r="F50" i="84"/>
  <c r="F66" i="84"/>
  <c r="N14" i="85"/>
  <c r="Z15" i="85"/>
  <c r="N30" i="85"/>
  <c r="Z31" i="85"/>
  <c r="X33" i="85"/>
  <c r="F54" i="85"/>
  <c r="Z71" i="85"/>
  <c r="F86" i="85"/>
  <c r="X89" i="85"/>
  <c r="F93" i="85"/>
  <c r="X106" i="85"/>
  <c r="Z106" i="85" s="1"/>
  <c r="F67" i="88"/>
  <c r="F66" i="88"/>
  <c r="F42" i="88"/>
  <c r="F41" i="88"/>
  <c r="F34" i="88"/>
  <c r="D20" i="88"/>
  <c r="F75" i="88"/>
  <c r="F53" i="88"/>
  <c r="F52" i="88"/>
  <c r="F29" i="88"/>
  <c r="F25" i="88"/>
  <c r="F60" i="88"/>
  <c r="F44" i="88"/>
  <c r="F43" i="88"/>
  <c r="F76" i="88"/>
  <c r="F70" i="88"/>
  <c r="F35" i="88"/>
  <c r="F62" i="88"/>
  <c r="F61" i="88"/>
  <c r="F54" i="88"/>
  <c r="F30" i="88"/>
  <c r="F26" i="88"/>
  <c r="F45" i="88"/>
  <c r="F17" i="88"/>
  <c r="F16" i="88"/>
  <c r="F71" i="88"/>
  <c r="F64" i="88"/>
  <c r="F63" i="88"/>
  <c r="F56" i="88"/>
  <c r="F55" i="88"/>
  <c r="F36" i="88"/>
  <c r="L12" i="88"/>
  <c r="F78" i="88"/>
  <c r="F72" i="88"/>
  <c r="F47" i="88"/>
  <c r="F46" i="88"/>
  <c r="F31" i="88"/>
  <c r="F27" i="88"/>
  <c r="F73" i="88"/>
  <c r="F65" i="88"/>
  <c r="F49" i="88"/>
  <c r="F48" i="88"/>
  <c r="F82" i="88"/>
  <c r="F69" i="88"/>
  <c r="F59" i="88"/>
  <c r="F51" i="88"/>
  <c r="F50" i="88"/>
  <c r="F22" i="88"/>
  <c r="F20" i="88"/>
  <c r="Z14" i="88"/>
  <c r="F24" i="88"/>
  <c r="F33" i="88"/>
  <c r="H73" i="93"/>
  <c r="J19" i="83"/>
  <c r="F20" i="84"/>
  <c r="F22" i="84"/>
  <c r="F38" i="84"/>
  <c r="F39" i="84"/>
  <c r="F59" i="84"/>
  <c r="F70" i="84"/>
  <c r="F71" i="84"/>
  <c r="H12" i="85"/>
  <c r="Z89" i="85"/>
  <c r="F23" i="84"/>
  <c r="F24" i="84"/>
  <c r="F28" i="84"/>
  <c r="F47" i="84"/>
  <c r="F48" i="84"/>
  <c r="L13" i="85"/>
  <c r="N13" i="85" s="1"/>
  <c r="Z14" i="85"/>
  <c r="L26" i="85"/>
  <c r="X27" i="85"/>
  <c r="Z30" i="85"/>
  <c r="P12" i="86"/>
  <c r="X13" i="86"/>
  <c r="J63" i="89"/>
  <c r="J57" i="89"/>
  <c r="J49" i="89"/>
  <c r="J37" i="89"/>
  <c r="J33" i="89"/>
  <c r="J23" i="89"/>
  <c r="J64" i="89"/>
  <c r="J50" i="89"/>
  <c r="J51" i="89"/>
  <c r="J39" i="89"/>
  <c r="J66" i="89"/>
  <c r="J58" i="89"/>
  <c r="J52" i="89"/>
  <c r="J40" i="89"/>
  <c r="J34" i="89"/>
  <c r="J53" i="89"/>
  <c r="J41" i="89"/>
  <c r="J59" i="89"/>
  <c r="J55" i="89"/>
  <c r="J43" i="89"/>
  <c r="J35" i="89"/>
  <c r="J45" i="89"/>
  <c r="J17" i="89"/>
  <c r="J62" i="89"/>
  <c r="J54" i="89"/>
  <c r="J70" i="89"/>
  <c r="J60" i="89"/>
  <c r="J29" i="89"/>
  <c r="J32" i="89"/>
  <c r="J26" i="89"/>
  <c r="J20" i="89"/>
  <c r="J46" i="89"/>
  <c r="H20" i="89"/>
  <c r="J22" i="89"/>
  <c r="J16" i="89"/>
  <c r="J61" i="89"/>
  <c r="J30" i="89"/>
  <c r="J27" i="89"/>
  <c r="J24" i="89"/>
  <c r="J47" i="89"/>
  <c r="J44" i="89"/>
  <c r="J25" i="89"/>
  <c r="J56" i="89"/>
  <c r="J42" i="89"/>
  <c r="X41" i="81"/>
  <c r="Z41" i="81" s="1"/>
  <c r="L47" i="81"/>
  <c r="X53" i="81"/>
  <c r="L69" i="81"/>
  <c r="F17" i="83"/>
  <c r="F18" i="83"/>
  <c r="F32" i="84"/>
  <c r="F33" i="84"/>
  <c r="F37" i="84"/>
  <c r="F65" i="84"/>
  <c r="F69" i="84"/>
  <c r="X14" i="85"/>
  <c r="F58" i="85"/>
  <c r="Z91" i="85"/>
  <c r="T12" i="86"/>
  <c r="Z13" i="86"/>
  <c r="L26" i="86"/>
  <c r="J74" i="88"/>
  <c r="J69" i="88"/>
  <c r="J53" i="88"/>
  <c r="J43" i="88"/>
  <c r="J29" i="88"/>
  <c r="J25" i="88"/>
  <c r="J60" i="88"/>
  <c r="J44" i="88"/>
  <c r="J76" i="88"/>
  <c r="J70" i="88"/>
  <c r="J61" i="88"/>
  <c r="J35" i="88"/>
  <c r="J67" i="88"/>
  <c r="J62" i="88"/>
  <c r="J54" i="88"/>
  <c r="J30" i="88"/>
  <c r="J26" i="88"/>
  <c r="J16" i="88"/>
  <c r="J71" i="88"/>
  <c r="J63" i="88"/>
  <c r="J55" i="88"/>
  <c r="J45" i="88"/>
  <c r="J17" i="88"/>
  <c r="J78" i="88"/>
  <c r="J64" i="88"/>
  <c r="J56" i="88"/>
  <c r="J46" i="88"/>
  <c r="J36" i="88"/>
  <c r="N12" i="88"/>
  <c r="J72" i="88"/>
  <c r="J57" i="88"/>
  <c r="J47" i="88"/>
  <c r="J37" i="88"/>
  <c r="J31" i="88"/>
  <c r="J27" i="88"/>
  <c r="J73" i="88"/>
  <c r="J68" i="88"/>
  <c r="J58" i="88"/>
  <c r="J48" i="88"/>
  <c r="J38" i="88"/>
  <c r="J32" i="88"/>
  <c r="J18" i="88"/>
  <c r="J50" i="88"/>
  <c r="J75" i="88"/>
  <c r="J66" i="88"/>
  <c r="J52" i="88"/>
  <c r="J42" i="88"/>
  <c r="J34" i="88"/>
  <c r="L50" i="88"/>
  <c r="N50" i="88" s="1"/>
  <c r="X14" i="89"/>
  <c r="Z14" i="89" s="1"/>
  <c r="J48" i="89"/>
  <c r="Z14" i="83"/>
  <c r="J18" i="83"/>
  <c r="X27" i="83"/>
  <c r="N13" i="84"/>
  <c r="X16" i="84"/>
  <c r="Z16" i="84" s="1"/>
  <c r="F18" i="84"/>
  <c r="L22" i="84"/>
  <c r="N22" i="84" s="1"/>
  <c r="F46" i="84"/>
  <c r="F57" i="84"/>
  <c r="F58" i="84"/>
  <c r="F103" i="85"/>
  <c r="F102" i="85"/>
  <c r="F98" i="85"/>
  <c r="F97" i="85"/>
  <c r="F90" i="85"/>
  <c r="F89" i="85"/>
  <c r="F78" i="85"/>
  <c r="F77" i="85"/>
  <c r="F105" i="85"/>
  <c r="F104" i="85"/>
  <c r="F49" i="85"/>
  <c r="F45" i="85"/>
  <c r="F41" i="85"/>
  <c r="F37" i="85"/>
  <c r="F92" i="85"/>
  <c r="F91" i="85"/>
  <c r="F80" i="85"/>
  <c r="F79" i="85"/>
  <c r="F68" i="85"/>
  <c r="F107" i="85"/>
  <c r="F106" i="85"/>
  <c r="F99" i="85"/>
  <c r="F63" i="85"/>
  <c r="F59" i="85"/>
  <c r="F82" i="85"/>
  <c r="F81" i="85"/>
  <c r="F70" i="85"/>
  <c r="F69" i="85"/>
  <c r="F50" i="85"/>
  <c r="F46" i="85"/>
  <c r="F42" i="85"/>
  <c r="F38" i="85"/>
  <c r="F109" i="85"/>
  <c r="F100" i="85"/>
  <c r="F84" i="85"/>
  <c r="F83" i="85"/>
  <c r="F72" i="85"/>
  <c r="F71" i="85"/>
  <c r="F60" i="85"/>
  <c r="F56" i="85"/>
  <c r="F55" i="85"/>
  <c r="F96" i="85"/>
  <c r="F95" i="85"/>
  <c r="F88" i="85"/>
  <c r="F87" i="85"/>
  <c r="F76" i="85"/>
  <c r="F75" i="85"/>
  <c r="F48" i="85"/>
  <c r="F44" i="85"/>
  <c r="F40" i="85"/>
  <c r="F36" i="85"/>
  <c r="F35" i="85"/>
  <c r="N35" i="85"/>
  <c r="Z77" i="85"/>
  <c r="F94" i="85"/>
  <c r="Z97" i="85"/>
  <c r="D28" i="86"/>
  <c r="L13" i="88"/>
  <c r="N48" i="88"/>
  <c r="Z52" i="88"/>
  <c r="F57" i="88"/>
  <c r="N63" i="88"/>
  <c r="F68" i="88"/>
  <c r="L12" i="83"/>
  <c r="J17" i="83"/>
  <c r="F27" i="84"/>
  <c r="F31" i="84"/>
  <c r="L12" i="85"/>
  <c r="D52" i="85"/>
  <c r="F62" i="85"/>
  <c r="N83" i="85"/>
  <c r="F85" i="85"/>
  <c r="N13" i="88"/>
  <c r="F23" i="88"/>
  <c r="F32" i="88"/>
  <c r="F38" i="88"/>
  <c r="J59" i="88"/>
  <c r="J18" i="89"/>
  <c r="J28" i="89"/>
  <c r="N12" i="83"/>
  <c r="X13" i="83"/>
  <c r="Z13" i="83" s="1"/>
  <c r="F31" i="83"/>
  <c r="L12" i="84"/>
  <c r="F36" i="84"/>
  <c r="F55" i="84"/>
  <c r="F56" i="84"/>
  <c r="F63" i="84"/>
  <c r="F64" i="84"/>
  <c r="F68" i="84"/>
  <c r="X13" i="85"/>
  <c r="Z13" i="85" s="1"/>
  <c r="F39" i="85"/>
  <c r="F47" i="85"/>
  <c r="F52" i="85"/>
  <c r="Z54" i="85"/>
  <c r="F65" i="85"/>
  <c r="F67" i="85"/>
  <c r="H20" i="88"/>
  <c r="N23" i="88"/>
  <c r="N32" i="88"/>
  <c r="F40" i="88"/>
  <c r="Z43" i="88"/>
  <c r="L19" i="92"/>
  <c r="N19" i="92" s="1"/>
  <c r="F27" i="83"/>
  <c r="J31" i="83"/>
  <c r="F16" i="84"/>
  <c r="F17" i="84"/>
  <c r="F44" i="84"/>
  <c r="F45" i="84"/>
  <c r="F79" i="84"/>
  <c r="F43" i="85"/>
  <c r="Z79" i="85"/>
  <c r="Z81" i="85"/>
  <c r="F113" i="85"/>
  <c r="F30" i="86"/>
  <c r="F16" i="86"/>
  <c r="F15" i="86"/>
  <c r="F22" i="86"/>
  <c r="F21" i="86"/>
  <c r="F20" i="86"/>
  <c r="F18" i="86"/>
  <c r="F28" i="86"/>
  <c r="F26" i="86"/>
  <c r="T12" i="88"/>
  <c r="X16" i="88"/>
  <c r="Z16" i="88" s="1"/>
  <c r="J20" i="88"/>
  <c r="J23" i="88"/>
  <c r="J40" i="88"/>
  <c r="J51" i="88"/>
  <c r="R61" i="88"/>
  <c r="R75" i="88"/>
  <c r="D82" i="92"/>
  <c r="L16" i="92"/>
  <c r="D21" i="83"/>
  <c r="Z13" i="84"/>
  <c r="F26" i="84"/>
  <c r="F30" i="84"/>
  <c r="F53" i="84"/>
  <c r="F54" i="84"/>
  <c r="F61" i="84"/>
  <c r="F62" i="84"/>
  <c r="F75" i="84"/>
  <c r="Z22" i="85"/>
  <c r="L55" i="85"/>
  <c r="N71" i="85"/>
  <c r="F73" i="85"/>
  <c r="N87" i="85"/>
  <c r="J15" i="86"/>
  <c r="J16" i="86"/>
  <c r="J21" i="86"/>
  <c r="J22" i="86"/>
  <c r="J20" i="86"/>
  <c r="J23" i="86"/>
  <c r="H18" i="86"/>
  <c r="J24" i="86"/>
  <c r="J30" i="86"/>
  <c r="N20" i="86"/>
  <c r="F24" i="86"/>
  <c r="F28" i="88"/>
  <c r="R34" i="88"/>
  <c r="J49" i="88"/>
  <c r="J82" i="88"/>
  <c r="N13" i="89"/>
  <c r="F21" i="83"/>
  <c r="J27" i="83"/>
  <c r="F35" i="84"/>
  <c r="F42" i="84"/>
  <c r="F43" i="84"/>
  <c r="F67" i="84"/>
  <c r="N55" i="85"/>
  <c r="F57" i="85"/>
  <c r="F64" i="85"/>
  <c r="N73" i="85"/>
  <c r="X81" i="85"/>
  <c r="L12" i="86"/>
  <c r="N12" i="86" s="1"/>
  <c r="Z15" i="86"/>
  <c r="J28" i="88"/>
  <c r="R66" i="88"/>
  <c r="H21" i="83"/>
  <c r="F51" i="84"/>
  <c r="F52" i="84"/>
  <c r="F60" i="84"/>
  <c r="N22" i="88"/>
  <c r="L39" i="88"/>
  <c r="N39" i="88" s="1"/>
  <c r="F74" i="88"/>
  <c r="J31" i="89"/>
  <c r="J38" i="89"/>
  <c r="J21" i="83"/>
  <c r="J23" i="83"/>
  <c r="F25" i="84"/>
  <c r="F29" i="84"/>
  <c r="F40" i="84"/>
  <c r="F41" i="84"/>
  <c r="F72" i="84"/>
  <c r="Z18" i="85"/>
  <c r="L33" i="85"/>
  <c r="F61" i="85"/>
  <c r="F66" i="85"/>
  <c r="X69" i="85"/>
  <c r="Z69" i="85" s="1"/>
  <c r="N75" i="85"/>
  <c r="N95" i="85"/>
  <c r="F101" i="85"/>
  <c r="R78" i="88"/>
  <c r="R71" i="88"/>
  <c r="R70" i="88"/>
  <c r="R76" i="88"/>
  <c r="R67" i="88"/>
  <c r="R63" i="88"/>
  <c r="R62" i="88"/>
  <c r="R55" i="88"/>
  <c r="R54" i="88"/>
  <c r="R30" i="88"/>
  <c r="R26" i="88"/>
  <c r="R46" i="88"/>
  <c r="R45" i="88"/>
  <c r="R17" i="88"/>
  <c r="R64" i="88"/>
  <c r="R57" i="88"/>
  <c r="R56" i="88"/>
  <c r="R37" i="88"/>
  <c r="R36" i="88"/>
  <c r="R73" i="88"/>
  <c r="R72" i="88"/>
  <c r="R48" i="88"/>
  <c r="R47" i="88"/>
  <c r="R32" i="88"/>
  <c r="R31" i="88"/>
  <c r="R27" i="88"/>
  <c r="R68" i="88"/>
  <c r="R58" i="88"/>
  <c r="R39" i="88"/>
  <c r="R38" i="88"/>
  <c r="R23" i="88"/>
  <c r="R18" i="88"/>
  <c r="R65" i="88"/>
  <c r="R50" i="88"/>
  <c r="R49" i="88"/>
  <c r="R33" i="88"/>
  <c r="R22" i="88"/>
  <c r="R20" i="88"/>
  <c r="R41" i="88"/>
  <c r="R40" i="88"/>
  <c r="R28" i="88"/>
  <c r="R24" i="88"/>
  <c r="P20" i="88"/>
  <c r="R82" i="88"/>
  <c r="R74" i="88"/>
  <c r="R59" i="88"/>
  <c r="R52" i="88"/>
  <c r="R51" i="88"/>
  <c r="R53" i="88"/>
  <c r="R35" i="88"/>
  <c r="R16" i="88"/>
  <c r="J22" i="88"/>
  <c r="F37" i="88"/>
  <c r="F39" i="88"/>
  <c r="F58" i="88"/>
  <c r="R69" i="88"/>
  <c r="N14" i="88"/>
  <c r="F18" i="89"/>
  <c r="P20" i="89"/>
  <c r="R26" i="89"/>
  <c r="F28" i="89"/>
  <c r="F31" i="89"/>
  <c r="F36" i="89"/>
  <c r="R39" i="89"/>
  <c r="R49" i="89"/>
  <c r="F41" i="89"/>
  <c r="F44" i="89"/>
  <c r="F53" i="89"/>
  <c r="F69" i="93"/>
  <c r="F68" i="93"/>
  <c r="F63" i="93"/>
  <c r="F59" i="93"/>
  <c r="F58" i="93"/>
  <c r="F51" i="93"/>
  <c r="F50" i="93"/>
  <c r="F39" i="93"/>
  <c r="F38" i="93"/>
  <c r="F71" i="93"/>
  <c r="F54" i="93"/>
  <c r="F53" i="93"/>
  <c r="F30" i="93"/>
  <c r="F26" i="93"/>
  <c r="F65" i="93"/>
  <c r="F61" i="93"/>
  <c r="F45" i="93"/>
  <c r="F44" i="93"/>
  <c r="F17" i="93"/>
  <c r="F16" i="93"/>
  <c r="F62" i="93"/>
  <c r="F21" i="93"/>
  <c r="F19" i="93"/>
  <c r="F56" i="93"/>
  <c r="F35" i="93"/>
  <c r="F33" i="93"/>
  <c r="F24" i="93"/>
  <c r="F52" i="93"/>
  <c r="F49" i="93"/>
  <c r="F41" i="93"/>
  <c r="F27" i="93"/>
  <c r="F75" i="93"/>
  <c r="F42" i="93"/>
  <c r="F36" i="93"/>
  <c r="F25" i="93"/>
  <c r="F66" i="93"/>
  <c r="F57" i="93"/>
  <c r="F46" i="93"/>
  <c r="F31" i="93"/>
  <c r="F28" i="93"/>
  <c r="F22" i="93"/>
  <c r="F64" i="93"/>
  <c r="F43" i="93"/>
  <c r="F34" i="93"/>
  <c r="F60" i="93"/>
  <c r="F32" i="93"/>
  <c r="F47" i="93"/>
  <c r="F23" i="93"/>
  <c r="L12" i="93"/>
  <c r="F37" i="93"/>
  <c r="F29" i="93"/>
  <c r="F48" i="93"/>
  <c r="D19" i="93"/>
  <c r="Z53" i="93"/>
  <c r="X53" i="93"/>
  <c r="N40" i="94"/>
  <c r="J40" i="94"/>
  <c r="Z75" i="88"/>
  <c r="F17" i="89"/>
  <c r="F24" i="89"/>
  <c r="R28" i="89"/>
  <c r="F62" i="89"/>
  <c r="F61" i="89"/>
  <c r="F57" i="89"/>
  <c r="F49" i="89"/>
  <c r="F48" i="89"/>
  <c r="F64" i="89"/>
  <c r="F63" i="89"/>
  <c r="F51" i="89"/>
  <c r="F50" i="89"/>
  <c r="F39" i="89"/>
  <c r="F38" i="89"/>
  <c r="F22" i="89"/>
  <c r="F58" i="89"/>
  <c r="F34" i="89"/>
  <c r="F70" i="89"/>
  <c r="F30" i="89"/>
  <c r="F26" i="89"/>
  <c r="R58" i="89"/>
  <c r="R34" i="89"/>
  <c r="R54" i="89"/>
  <c r="R53" i="89"/>
  <c r="R70" i="89"/>
  <c r="R59" i="89"/>
  <c r="R55" i="89"/>
  <c r="R44" i="89"/>
  <c r="R43" i="89"/>
  <c r="R35" i="89"/>
  <c r="R16" i="89"/>
  <c r="R61" i="89"/>
  <c r="R60" i="89"/>
  <c r="R56" i="89"/>
  <c r="R36" i="89"/>
  <c r="R63" i="89"/>
  <c r="R62" i="89"/>
  <c r="R23" i="89"/>
  <c r="R18" i="89"/>
  <c r="F16" i="89"/>
  <c r="R25" i="89"/>
  <c r="F40" i="89"/>
  <c r="R41" i="89"/>
  <c r="R48" i="89"/>
  <c r="F59" i="89"/>
  <c r="X13" i="88"/>
  <c r="Z13" i="89"/>
  <c r="F23" i="89"/>
  <c r="F33" i="89"/>
  <c r="F35" i="89"/>
  <c r="R38" i="89"/>
  <c r="F46" i="89"/>
  <c r="F52" i="89"/>
  <c r="J73" i="93"/>
  <c r="J71" i="93"/>
  <c r="J63" i="93"/>
  <c r="J40" i="93"/>
  <c r="J34" i="93"/>
  <c r="J75" i="93"/>
  <c r="J65" i="93"/>
  <c r="J61" i="93"/>
  <c r="J55" i="93"/>
  <c r="J45" i="93"/>
  <c r="J31" i="93"/>
  <c r="J17" i="93"/>
  <c r="J66" i="93"/>
  <c r="J56" i="93"/>
  <c r="J46" i="93"/>
  <c r="J36" i="93"/>
  <c r="J32" i="93"/>
  <c r="J22" i="93"/>
  <c r="N12" i="93"/>
  <c r="J69" i="93"/>
  <c r="J57" i="93"/>
  <c r="J49" i="93"/>
  <c r="J37" i="93"/>
  <c r="J33" i="93"/>
  <c r="J52" i="93"/>
  <c r="J41" i="93"/>
  <c r="J27" i="93"/>
  <c r="J68" i="93"/>
  <c r="J59" i="93"/>
  <c r="J38" i="93"/>
  <c r="J30" i="93"/>
  <c r="J21" i="93"/>
  <c r="J16" i="93"/>
  <c r="J42" i="93"/>
  <c r="J53" i="93"/>
  <c r="J25" i="93"/>
  <c r="J28" i="93"/>
  <c r="J64" i="93"/>
  <c r="J62" i="93"/>
  <c r="J50" i="93"/>
  <c r="J43" i="93"/>
  <c r="J39" i="93"/>
  <c r="J60" i="93"/>
  <c r="J54" i="93"/>
  <c r="J47" i="93"/>
  <c r="J23" i="93"/>
  <c r="J29" i="93"/>
  <c r="J26" i="93"/>
  <c r="J67" i="93"/>
  <c r="J58" i="93"/>
  <c r="J51" i="93"/>
  <c r="J48" i="93"/>
  <c r="J44" i="93"/>
  <c r="J19" i="93"/>
  <c r="J35" i="93"/>
  <c r="J24" i="93"/>
  <c r="Z13" i="88"/>
  <c r="L12" i="89"/>
  <c r="N12" i="89" s="1"/>
  <c r="X13" i="89"/>
  <c r="R17" i="89"/>
  <c r="D20" i="89"/>
  <c r="R27" i="89"/>
  <c r="F32" i="89"/>
  <c r="F37" i="89"/>
  <c r="R47" i="89"/>
  <c r="R50" i="89"/>
  <c r="F55" i="89"/>
  <c r="L61" i="89"/>
  <c r="N61" i="89" s="1"/>
  <c r="N71" i="92"/>
  <c r="X102" i="85"/>
  <c r="Z102" i="85" s="1"/>
  <c r="L21" i="86"/>
  <c r="N21" i="86" s="1"/>
  <c r="X41" i="88"/>
  <c r="Z41" i="88" s="1"/>
  <c r="L71" i="88"/>
  <c r="N71" i="88" s="1"/>
  <c r="L23" i="89"/>
  <c r="N23" i="89" s="1"/>
  <c r="R24" i="89"/>
  <c r="R30" i="89"/>
  <c r="X40" i="89"/>
  <c r="Z40" i="89" s="1"/>
  <c r="X52" i="89"/>
  <c r="Z52" i="89" s="1"/>
  <c r="R57" i="89"/>
  <c r="X79" i="92"/>
  <c r="F67" i="93"/>
  <c r="L75" i="88"/>
  <c r="N75" i="88" s="1"/>
  <c r="T12" i="89"/>
  <c r="F29" i="89"/>
  <c r="R33" i="89"/>
  <c r="R40" i="89"/>
  <c r="F43" i="89"/>
  <c r="R52" i="89"/>
  <c r="F54" i="89"/>
  <c r="F60" i="89"/>
  <c r="Z61" i="89"/>
  <c r="F66" i="89"/>
  <c r="Z29" i="92"/>
  <c r="Z75" i="92"/>
  <c r="Z79" i="92"/>
  <c r="T78" i="92"/>
  <c r="F61" i="94"/>
  <c r="F65" i="94"/>
  <c r="F60" i="94"/>
  <c r="F43" i="94"/>
  <c r="F42" i="94"/>
  <c r="F35" i="94"/>
  <c r="F54" i="94"/>
  <c r="F30" i="94"/>
  <c r="F26" i="94"/>
  <c r="F45" i="94"/>
  <c r="F44" i="94"/>
  <c r="F17" i="94"/>
  <c r="F16" i="94"/>
  <c r="F36" i="94"/>
  <c r="F55" i="94"/>
  <c r="F47" i="94"/>
  <c r="F46" i="94"/>
  <c r="F31" i="94"/>
  <c r="F27" i="94"/>
  <c r="F18" i="94"/>
  <c r="F49" i="94"/>
  <c r="F48" i="94"/>
  <c r="F37" i="94"/>
  <c r="F33" i="94"/>
  <c r="F32" i="94"/>
  <c r="F56" i="94"/>
  <c r="F28" i="94"/>
  <c r="F24" i="94"/>
  <c r="F23" i="94"/>
  <c r="F53" i="94"/>
  <c r="F52" i="94"/>
  <c r="F41" i="94"/>
  <c r="F40" i="94"/>
  <c r="F29" i="94"/>
  <c r="F25" i="94"/>
  <c r="F50" i="94"/>
  <c r="F22" i="94"/>
  <c r="F39" i="94"/>
  <c r="D20" i="94"/>
  <c r="F58" i="94"/>
  <c r="F51" i="94"/>
  <c r="F34" i="94"/>
  <c r="L12" i="94"/>
  <c r="N12" i="94" s="1"/>
  <c r="F38" i="94"/>
  <c r="F57" i="94"/>
  <c r="X12" i="89"/>
  <c r="R37" i="89"/>
  <c r="F42" i="89"/>
  <c r="Z16" i="92"/>
  <c r="F55" i="93"/>
  <c r="L14" i="89"/>
  <c r="N14" i="89" s="1"/>
  <c r="R22" i="89"/>
  <c r="F45" i="89"/>
  <c r="R46" i="89"/>
  <c r="F56" i="89"/>
  <c r="J74" i="92"/>
  <c r="J66" i="92"/>
  <c r="J62" i="92"/>
  <c r="J34" i="92"/>
  <c r="J30" i="92"/>
  <c r="J75" i="92"/>
  <c r="J67" i="92"/>
  <c r="J57" i="92"/>
  <c r="J41" i="92"/>
  <c r="J25" i="92"/>
  <c r="J21" i="92"/>
  <c r="J82" i="92"/>
  <c r="J80" i="92"/>
  <c r="J76" i="92"/>
  <c r="J68" i="92"/>
  <c r="J52" i="92"/>
  <c r="J42" i="92"/>
  <c r="J79" i="92"/>
  <c r="J69" i="92"/>
  <c r="J63" i="92"/>
  <c r="J43" i="92"/>
  <c r="J35" i="92"/>
  <c r="J31" i="92"/>
  <c r="J84" i="92"/>
  <c r="J78" i="92"/>
  <c r="J70" i="92"/>
  <c r="J58" i="92"/>
  <c r="J44" i="92"/>
  <c r="J36" i="92"/>
  <c r="J26" i="92"/>
  <c r="J22" i="92"/>
  <c r="J71" i="92"/>
  <c r="J53" i="92"/>
  <c r="J45" i="92"/>
  <c r="J37" i="92"/>
  <c r="J86" i="92"/>
  <c r="J72" i="92"/>
  <c r="J64" i="92"/>
  <c r="J54" i="92"/>
  <c r="J46" i="92"/>
  <c r="J38" i="92"/>
  <c r="J32" i="92"/>
  <c r="N12" i="92"/>
  <c r="J89" i="92"/>
  <c r="J59" i="92"/>
  <c r="J55" i="92"/>
  <c r="J47" i="92"/>
  <c r="J39" i="92"/>
  <c r="J27" i="92"/>
  <c r="J23" i="92"/>
  <c r="L12" i="92"/>
  <c r="J60" i="92"/>
  <c r="J48" i="92"/>
  <c r="J73" i="92"/>
  <c r="J65" i="92"/>
  <c r="J61" i="92"/>
  <c r="J49" i="92"/>
  <c r="J33" i="92"/>
  <c r="J19" i="92"/>
  <c r="J51" i="92"/>
  <c r="J29" i="92"/>
  <c r="H16" i="92"/>
  <c r="N50" i="92"/>
  <c r="F40" i="93"/>
  <c r="R52" i="92"/>
  <c r="R68" i="92"/>
  <c r="R69" i="92"/>
  <c r="R76" i="92"/>
  <c r="R79" i="92"/>
  <c r="Z13" i="93"/>
  <c r="Z31" i="93"/>
  <c r="L58" i="93"/>
  <c r="N58" i="93" s="1"/>
  <c r="L40" i="94"/>
  <c r="X23" i="98"/>
  <c r="Z23" i="98" s="1"/>
  <c r="L14" i="92"/>
  <c r="V21" i="92"/>
  <c r="V25" i="92"/>
  <c r="R30" i="92"/>
  <c r="R34" i="92"/>
  <c r="V41" i="92"/>
  <c r="V57" i="92"/>
  <c r="R62" i="92"/>
  <c r="R66" i="92"/>
  <c r="R67" i="92"/>
  <c r="V69" i="92"/>
  <c r="R74" i="92"/>
  <c r="R75" i="92"/>
  <c r="V79" i="92"/>
  <c r="F89" i="92"/>
  <c r="V21" i="93"/>
  <c r="V27" i="93"/>
  <c r="V38" i="93"/>
  <c r="V42" i="93"/>
  <c r="V52" i="93"/>
  <c r="V61" i="93"/>
  <c r="V63" i="93"/>
  <c r="X68" i="93"/>
  <c r="Z68" i="93" s="1"/>
  <c r="Z22" i="94"/>
  <c r="Z46" i="94"/>
  <c r="Z32" i="95"/>
  <c r="R51" i="92"/>
  <c r="F54" i="92"/>
  <c r="F55" i="92"/>
  <c r="F59" i="92"/>
  <c r="V62" i="92"/>
  <c r="V66" i="92"/>
  <c r="V74" i="92"/>
  <c r="V80" i="92"/>
  <c r="V82" i="92"/>
  <c r="F86" i="92"/>
  <c r="N14" i="93"/>
  <c r="V16" i="93"/>
  <c r="V35" i="93"/>
  <c r="V56" i="93"/>
  <c r="N74" i="98"/>
  <c r="L74" i="98"/>
  <c r="P16" i="92"/>
  <c r="R20" i="92"/>
  <c r="R24" i="92"/>
  <c r="R28" i="92"/>
  <c r="R29" i="92"/>
  <c r="R40" i="92"/>
  <c r="R56" i="92"/>
  <c r="F64" i="92"/>
  <c r="V67" i="92"/>
  <c r="F71" i="92"/>
  <c r="F72" i="92"/>
  <c r="V75" i="92"/>
  <c r="D78" i="92"/>
  <c r="L78" i="92" s="1"/>
  <c r="N78" i="92" s="1"/>
  <c r="X80" i="92"/>
  <c r="Z80" i="92" s="1"/>
  <c r="V64" i="93"/>
  <c r="V66" i="93"/>
  <c r="V54" i="93"/>
  <c r="V46" i="93"/>
  <c r="V30" i="93"/>
  <c r="V26" i="93"/>
  <c r="V22" i="93"/>
  <c r="V65" i="93"/>
  <c r="V71" i="93"/>
  <c r="V69" i="93"/>
  <c r="V57" i="93"/>
  <c r="V49" i="93"/>
  <c r="V37" i="93"/>
  <c r="V33" i="93"/>
  <c r="V40" i="93"/>
  <c r="V28" i="93"/>
  <c r="V24" i="93"/>
  <c r="V75" i="93"/>
  <c r="V53" i="93"/>
  <c r="V41" i="93"/>
  <c r="V29" i="93"/>
  <c r="V25" i="93"/>
  <c r="L50" i="93"/>
  <c r="N50" i="93" s="1"/>
  <c r="R49" i="92"/>
  <c r="R50" i="92"/>
  <c r="R61" i="92"/>
  <c r="R65" i="92"/>
  <c r="R73" i="92"/>
  <c r="T73" i="93"/>
  <c r="V67" i="93"/>
  <c r="R19" i="92"/>
  <c r="L38" i="92"/>
  <c r="N38" i="92" s="1"/>
  <c r="L46" i="92"/>
  <c r="N46" i="92" s="1"/>
  <c r="V49" i="92"/>
  <c r="L54" i="92"/>
  <c r="N54" i="92" s="1"/>
  <c r="F58" i="92"/>
  <c r="V61" i="92"/>
  <c r="V65" i="92"/>
  <c r="F69" i="92"/>
  <c r="F70" i="92"/>
  <c r="V73" i="92"/>
  <c r="F79" i="92"/>
  <c r="F84" i="92"/>
  <c r="V19" i="93"/>
  <c r="Z48" i="93"/>
  <c r="V51" i="93"/>
  <c r="V58" i="93"/>
  <c r="V14" i="92"/>
  <c r="V16" i="92"/>
  <c r="V18" i="92"/>
  <c r="R23" i="92"/>
  <c r="R27" i="92"/>
  <c r="F31" i="92"/>
  <c r="F35" i="92"/>
  <c r="R39" i="92"/>
  <c r="F42" i="92"/>
  <c r="F43" i="92"/>
  <c r="R47" i="92"/>
  <c r="R48" i="92"/>
  <c r="V50" i="92"/>
  <c r="R55" i="92"/>
  <c r="R59" i="92"/>
  <c r="R60" i="92"/>
  <c r="F63" i="92"/>
  <c r="F80" i="92"/>
  <c r="F82" i="92"/>
  <c r="R89" i="92"/>
  <c r="V23" i="93"/>
  <c r="V44" i="93"/>
  <c r="V47" i="93"/>
  <c r="V48" i="93"/>
  <c r="Z55" i="93"/>
  <c r="V60" i="93"/>
  <c r="N16" i="94"/>
  <c r="X12" i="92"/>
  <c r="R32" i="92"/>
  <c r="V47" i="92"/>
  <c r="F52" i="92"/>
  <c r="V55" i="92"/>
  <c r="V59" i="92"/>
  <c r="R64" i="92"/>
  <c r="F67" i="92"/>
  <c r="F68" i="92"/>
  <c r="R72" i="92"/>
  <c r="F75" i="92"/>
  <c r="F76" i="92"/>
  <c r="R86" i="92"/>
  <c r="L21" i="93"/>
  <c r="V32" i="93"/>
  <c r="V34" i="93"/>
  <c r="L38" i="93"/>
  <c r="N38" i="93" s="1"/>
  <c r="N42" i="93"/>
  <c r="X48" i="93"/>
  <c r="V55" i="93"/>
  <c r="V62" i="93"/>
  <c r="R36" i="94"/>
  <c r="R55" i="94"/>
  <c r="R48" i="94"/>
  <c r="R47" i="94"/>
  <c r="R32" i="94"/>
  <c r="R31" i="94"/>
  <c r="R27" i="94"/>
  <c r="R23" i="94"/>
  <c r="R18" i="94"/>
  <c r="R50" i="94"/>
  <c r="R49" i="94"/>
  <c r="R38" i="94"/>
  <c r="R37" i="94"/>
  <c r="R33" i="94"/>
  <c r="R22" i="94"/>
  <c r="R57" i="94"/>
  <c r="R56" i="94"/>
  <c r="R28" i="94"/>
  <c r="R52" i="94"/>
  <c r="R51" i="94"/>
  <c r="R40" i="94"/>
  <c r="R39" i="94"/>
  <c r="R61" i="94"/>
  <c r="R58" i="94"/>
  <c r="R34" i="94"/>
  <c r="R60" i="94"/>
  <c r="R53" i="94"/>
  <c r="R42" i="94"/>
  <c r="R41" i="94"/>
  <c r="R29" i="94"/>
  <c r="R25" i="94"/>
  <c r="R46" i="94"/>
  <c r="R45" i="94"/>
  <c r="R17" i="94"/>
  <c r="R37" i="92"/>
  <c r="R38" i="92"/>
  <c r="R45" i="92"/>
  <c r="R46" i="92"/>
  <c r="R53" i="92"/>
  <c r="R54" i="92"/>
  <c r="F57" i="92"/>
  <c r="V60" i="92"/>
  <c r="V64" i="92"/>
  <c r="V72" i="92"/>
  <c r="V89" i="92"/>
  <c r="N13" i="93"/>
  <c r="V17" i="93"/>
  <c r="N21" i="93"/>
  <c r="V39" i="93"/>
  <c r="V43" i="93"/>
  <c r="T12" i="94"/>
  <c r="Z13" i="94"/>
  <c r="R16" i="94"/>
  <c r="P20" i="94"/>
  <c r="R20" i="94" s="1"/>
  <c r="R43" i="94"/>
  <c r="L52" i="94"/>
  <c r="R54" i="94"/>
  <c r="J67" i="95"/>
  <c r="J55" i="95"/>
  <c r="J43" i="95"/>
  <c r="J68" i="95"/>
  <c r="J62" i="95"/>
  <c r="J56" i="95"/>
  <c r="J44" i="95"/>
  <c r="J30" i="95"/>
  <c r="J26" i="95"/>
  <c r="J16" i="95"/>
  <c r="J69" i="95"/>
  <c r="J57" i="95"/>
  <c r="J45" i="95"/>
  <c r="J17" i="95"/>
  <c r="J58" i="95"/>
  <c r="J46" i="95"/>
  <c r="J36" i="95"/>
  <c r="J71" i="95"/>
  <c r="J63" i="95"/>
  <c r="J59" i="95"/>
  <c r="J47" i="95"/>
  <c r="J31" i="95"/>
  <c r="J27" i="95"/>
  <c r="J75" i="95"/>
  <c r="J49" i="95"/>
  <c r="J37" i="95"/>
  <c r="J33" i="95"/>
  <c r="J23" i="95"/>
  <c r="J64" i="95"/>
  <c r="J60" i="95"/>
  <c r="J50" i="95"/>
  <c r="J38" i="95"/>
  <c r="J28" i="95"/>
  <c r="J24" i="95"/>
  <c r="J22" i="95"/>
  <c r="J51" i="95"/>
  <c r="J39" i="95"/>
  <c r="H20" i="95"/>
  <c r="J48" i="95"/>
  <c r="J41" i="95"/>
  <c r="J34" i="95"/>
  <c r="J32" i="95"/>
  <c r="J53" i="95"/>
  <c r="J66" i="95"/>
  <c r="J35" i="95"/>
  <c r="J42" i="95"/>
  <c r="J40" i="95"/>
  <c r="J29" i="95"/>
  <c r="J25" i="95"/>
  <c r="J65" i="95"/>
  <c r="R22" i="92"/>
  <c r="R26" i="92"/>
  <c r="R58" i="92"/>
  <c r="F62" i="92"/>
  <c r="F66" i="92"/>
  <c r="R70" i="92"/>
  <c r="R71" i="92"/>
  <c r="R84" i="92"/>
  <c r="V86" i="92"/>
  <c r="V50" i="93"/>
  <c r="N52" i="94"/>
  <c r="L16" i="96"/>
  <c r="N16" i="96" s="1"/>
  <c r="H20" i="96"/>
  <c r="V58" i="92"/>
  <c r="R63" i="92"/>
  <c r="V70" i="92"/>
  <c r="P12" i="93"/>
  <c r="X13" i="93"/>
  <c r="X21" i="93"/>
  <c r="Z21" i="93" s="1"/>
  <c r="V36" i="93"/>
  <c r="R35" i="94"/>
  <c r="J52" i="94"/>
  <c r="L57" i="94"/>
  <c r="N57" i="94" s="1"/>
  <c r="J42" i="94"/>
  <c r="J60" i="94"/>
  <c r="X13" i="95"/>
  <c r="N23" i="95"/>
  <c r="Z46" i="95"/>
  <c r="R68" i="95"/>
  <c r="J86" i="96"/>
  <c r="J75" i="96"/>
  <c r="J59" i="96"/>
  <c r="J77" i="96"/>
  <c r="J78" i="96"/>
  <c r="J66" i="96"/>
  <c r="J53" i="96"/>
  <c r="J54" i="96"/>
  <c r="J40" i="96"/>
  <c r="J34" i="96"/>
  <c r="J67" i="96"/>
  <c r="J63" i="96"/>
  <c r="J55" i="96"/>
  <c r="J41" i="96"/>
  <c r="J29" i="96"/>
  <c r="J25" i="96"/>
  <c r="J82" i="96"/>
  <c r="J70" i="96"/>
  <c r="J60" i="96"/>
  <c r="J50" i="96"/>
  <c r="J42" i="96"/>
  <c r="J79" i="96"/>
  <c r="J43" i="96"/>
  <c r="J35" i="96"/>
  <c r="J76" i="96"/>
  <c r="J73" i="96"/>
  <c r="J56" i="96"/>
  <c r="J44" i="96"/>
  <c r="J30" i="96"/>
  <c r="J26" i="96"/>
  <c r="J16" i="96"/>
  <c r="J68" i="96"/>
  <c r="J64" i="96"/>
  <c r="J61" i="96"/>
  <c r="J51" i="96"/>
  <c r="J45" i="96"/>
  <c r="J71" i="96"/>
  <c r="J65" i="96"/>
  <c r="J36" i="96"/>
  <c r="J57" i="96"/>
  <c r="J31" i="96"/>
  <c r="J27" i="96"/>
  <c r="J52" i="96"/>
  <c r="J46" i="96"/>
  <c r="J32" i="96"/>
  <c r="J18" i="96"/>
  <c r="J72" i="96"/>
  <c r="J49" i="96"/>
  <c r="J39" i="96"/>
  <c r="Z53" i="96"/>
  <c r="J58" i="96"/>
  <c r="J69" i="96"/>
  <c r="J74" i="96"/>
  <c r="Z39" i="98"/>
  <c r="H20" i="94"/>
  <c r="J39" i="94"/>
  <c r="J51" i="94"/>
  <c r="J57" i="94"/>
  <c r="R16" i="95"/>
  <c r="N40" i="95"/>
  <c r="R45" i="95"/>
  <c r="Z16" i="96"/>
  <c r="F32" i="96"/>
  <c r="J38" i="96"/>
  <c r="X67" i="96"/>
  <c r="Z16" i="98"/>
  <c r="J20" i="94"/>
  <c r="J22" i="94"/>
  <c r="J24" i="94"/>
  <c r="J28" i="94"/>
  <c r="J38" i="94"/>
  <c r="J50" i="94"/>
  <c r="J56" i="94"/>
  <c r="R52" i="95"/>
  <c r="R67" i="95"/>
  <c r="T12" i="96"/>
  <c r="L23" i="96"/>
  <c r="N32" i="96"/>
  <c r="Z67" i="96"/>
  <c r="Z13" i="98"/>
  <c r="T12" i="98"/>
  <c r="J23" i="94"/>
  <c r="J33" i="94"/>
  <c r="J37" i="94"/>
  <c r="J49" i="94"/>
  <c r="N23" i="96"/>
  <c r="X42" i="96"/>
  <c r="Z44" i="96"/>
  <c r="J18" i="94"/>
  <c r="J32" i="94"/>
  <c r="J48" i="94"/>
  <c r="R22" i="95"/>
  <c r="R40" i="95"/>
  <c r="R69" i="95"/>
  <c r="J23" i="96"/>
  <c r="J28" i="96"/>
  <c r="Z32" i="96"/>
  <c r="Z40" i="96"/>
  <c r="J31" i="94"/>
  <c r="J47" i="94"/>
  <c r="J55" i="94"/>
  <c r="R56" i="95"/>
  <c r="R62" i="95"/>
  <c r="Z42" i="96"/>
  <c r="Z18" i="99"/>
  <c r="X18" i="99"/>
  <c r="X13" i="94"/>
  <c r="J36" i="94"/>
  <c r="J46" i="94"/>
  <c r="D12" i="95"/>
  <c r="L13" i="95"/>
  <c r="R35" i="95"/>
  <c r="R51" i="95"/>
  <c r="F82" i="96"/>
  <c r="F74" i="96"/>
  <c r="F70" i="96"/>
  <c r="F58" i="96"/>
  <c r="F57" i="96"/>
  <c r="F76" i="96"/>
  <c r="F75" i="96"/>
  <c r="F71" i="96"/>
  <c r="F80" i="96"/>
  <c r="F79" i="96"/>
  <c r="F72" i="96"/>
  <c r="F68" i="96"/>
  <c r="F67" i="96"/>
  <c r="F52" i="96"/>
  <c r="F51" i="96"/>
  <c r="F39" i="96"/>
  <c r="F38" i="96"/>
  <c r="F22" i="96"/>
  <c r="F86" i="96"/>
  <c r="F59" i="96"/>
  <c r="F54" i="96"/>
  <c r="F49" i="96"/>
  <c r="F34" i="96"/>
  <c r="D20" i="96"/>
  <c r="F20" i="96" s="1"/>
  <c r="F63" i="96"/>
  <c r="F41" i="96"/>
  <c r="F40" i="96"/>
  <c r="F29" i="96"/>
  <c r="F25" i="96"/>
  <c r="F60" i="96"/>
  <c r="F55" i="96"/>
  <c r="F50" i="96"/>
  <c r="F43" i="96"/>
  <c r="F42" i="96"/>
  <c r="F35" i="96"/>
  <c r="F73" i="96"/>
  <c r="F56" i="96"/>
  <c r="F30" i="96"/>
  <c r="F26" i="96"/>
  <c r="F64" i="96"/>
  <c r="F61" i="96"/>
  <c r="F45" i="96"/>
  <c r="F44" i="96"/>
  <c r="F17" i="96"/>
  <c r="F16" i="96"/>
  <c r="F36" i="96"/>
  <c r="L12" i="96"/>
  <c r="N12" i="96" s="1"/>
  <c r="F77" i="96"/>
  <c r="F65" i="96"/>
  <c r="F31" i="96"/>
  <c r="F27" i="96"/>
  <c r="F78" i="96"/>
  <c r="F53" i="96"/>
  <c r="F48" i="96"/>
  <c r="F47" i="96"/>
  <c r="F28" i="96"/>
  <c r="F24" i="96"/>
  <c r="F23" i="96"/>
  <c r="F33" i="96"/>
  <c r="F66" i="96"/>
  <c r="J17" i="94"/>
  <c r="J45" i="94"/>
  <c r="N13" i="95"/>
  <c r="R26" i="95"/>
  <c r="R30" i="95"/>
  <c r="R44" i="95"/>
  <c r="R79" i="96"/>
  <c r="R78" i="96"/>
  <c r="R67" i="96"/>
  <c r="R66" i="96"/>
  <c r="R51" i="96"/>
  <c r="R50" i="96"/>
  <c r="R80" i="96"/>
  <c r="R72" i="96"/>
  <c r="R82" i="96"/>
  <c r="R86" i="96"/>
  <c r="R57" i="96"/>
  <c r="R56" i="96"/>
  <c r="R44" i="96"/>
  <c r="R43" i="96"/>
  <c r="R35" i="96"/>
  <c r="R16" i="96"/>
  <c r="R76" i="96"/>
  <c r="R30" i="96"/>
  <c r="R26" i="96"/>
  <c r="R73" i="96"/>
  <c r="R64" i="96"/>
  <c r="R61" i="96"/>
  <c r="R45" i="96"/>
  <c r="R17" i="96"/>
  <c r="R68" i="96"/>
  <c r="R65" i="96"/>
  <c r="R36" i="96"/>
  <c r="X12" i="96"/>
  <c r="R77" i="96"/>
  <c r="R71" i="96"/>
  <c r="R32" i="96"/>
  <c r="R31" i="96"/>
  <c r="R27" i="96"/>
  <c r="R52" i="96"/>
  <c r="R47" i="96"/>
  <c r="R46" i="96"/>
  <c r="R23" i="96"/>
  <c r="R62" i="96"/>
  <c r="R53" i="96"/>
  <c r="R38" i="96"/>
  <c r="R37" i="96"/>
  <c r="R33" i="96"/>
  <c r="R22" i="96"/>
  <c r="R20" i="96"/>
  <c r="R74" i="96"/>
  <c r="R69" i="96"/>
  <c r="R58" i="96"/>
  <c r="R48" i="96"/>
  <c r="R28" i="96"/>
  <c r="R24" i="96"/>
  <c r="P20" i="96"/>
  <c r="R59" i="96"/>
  <c r="R49" i="96"/>
  <c r="R40" i="96"/>
  <c r="R39" i="96"/>
  <c r="R70" i="96"/>
  <c r="R60" i="96"/>
  <c r="J33" i="96"/>
  <c r="J47" i="96"/>
  <c r="N53" i="96"/>
  <c r="F43" i="98"/>
  <c r="J16" i="94"/>
  <c r="J26" i="94"/>
  <c r="J30" i="94"/>
  <c r="J44" i="94"/>
  <c r="J54" i="94"/>
  <c r="R71" i="95"/>
  <c r="R63" i="95"/>
  <c r="R59" i="95"/>
  <c r="R48" i="95"/>
  <c r="R47" i="95"/>
  <c r="R32" i="95"/>
  <c r="R31" i="95"/>
  <c r="R27" i="95"/>
  <c r="R23" i="95"/>
  <c r="R18" i="95"/>
  <c r="R75" i="95"/>
  <c r="R50" i="95"/>
  <c r="R49" i="95"/>
  <c r="R38" i="95"/>
  <c r="R37" i="95"/>
  <c r="R33" i="95"/>
  <c r="R64" i="95"/>
  <c r="R60" i="95"/>
  <c r="R28" i="95"/>
  <c r="R24" i="95"/>
  <c r="P20" i="95"/>
  <c r="R34" i="95"/>
  <c r="R66" i="95"/>
  <c r="R65" i="95"/>
  <c r="R61" i="95"/>
  <c r="R54" i="95"/>
  <c r="R53" i="95"/>
  <c r="R42" i="95"/>
  <c r="R41" i="95"/>
  <c r="R29" i="95"/>
  <c r="R25" i="95"/>
  <c r="R17" i="95"/>
  <c r="R20" i="95"/>
  <c r="R39" i="95"/>
  <c r="Z58" i="95"/>
  <c r="N71" i="95"/>
  <c r="L71" i="95"/>
  <c r="Z14" i="96"/>
  <c r="F62" i="96"/>
  <c r="T40" i="100"/>
  <c r="J35" i="94"/>
  <c r="J43" i="94"/>
  <c r="T12" i="95"/>
  <c r="Z13" i="95"/>
  <c r="R46" i="95"/>
  <c r="L52" i="95"/>
  <c r="N52" i="95" s="1"/>
  <c r="R55" i="95"/>
  <c r="X55" i="96"/>
  <c r="Z55" i="96" s="1"/>
  <c r="F69" i="96"/>
  <c r="P12" i="98"/>
  <c r="X13" i="98"/>
  <c r="Z48" i="98"/>
  <c r="X48" i="98"/>
  <c r="N14" i="99"/>
  <c r="H16" i="99"/>
  <c r="L14" i="99"/>
  <c r="R17" i="100"/>
  <c r="N43" i="98"/>
  <c r="N45" i="98"/>
  <c r="N61" i="98"/>
  <c r="V48" i="101"/>
  <c r="V40" i="101"/>
  <c r="V24" i="101"/>
  <c r="V47" i="101"/>
  <c r="V39" i="101"/>
  <c r="V59" i="101"/>
  <c r="V52" i="101"/>
  <c r="V46" i="101"/>
  <c r="V42" i="101"/>
  <c r="V30" i="101"/>
  <c r="V41" i="101"/>
  <c r="V25" i="101"/>
  <c r="V32" i="101"/>
  <c r="V16" i="101"/>
  <c r="V55" i="101"/>
  <c r="V31" i="101"/>
  <c r="V27" i="101"/>
  <c r="V43" i="101"/>
  <c r="V34" i="101"/>
  <c r="V49" i="101"/>
  <c r="V36" i="101"/>
  <c r="V28" i="101"/>
  <c r="V35" i="101"/>
  <c r="V23" i="101"/>
  <c r="V50" i="101"/>
  <c r="V37" i="101"/>
  <c r="V29" i="101"/>
  <c r="T20" i="101"/>
  <c r="V45" i="101"/>
  <c r="V33" i="101"/>
  <c r="V22" i="101"/>
  <c r="V18" i="101"/>
  <c r="V38" i="101"/>
  <c r="V26" i="101"/>
  <c r="Z49" i="96"/>
  <c r="N65" i="96"/>
  <c r="X75" i="96"/>
  <c r="Z75" i="96" s="1"/>
  <c r="J67" i="98"/>
  <c r="J71" i="98"/>
  <c r="J65" i="98"/>
  <c r="J72" i="98"/>
  <c r="J70" i="98"/>
  <c r="J56" i="98"/>
  <c r="J64" i="98"/>
  <c r="J57" i="98"/>
  <c r="J47" i="98"/>
  <c r="J58" i="98"/>
  <c r="J48" i="98"/>
  <c r="J38" i="98"/>
  <c r="J34" i="98"/>
  <c r="J49" i="98"/>
  <c r="J78" i="98"/>
  <c r="J59" i="98"/>
  <c r="J51" i="98"/>
  <c r="J41" i="98"/>
  <c r="J35" i="98"/>
  <c r="J68" i="98"/>
  <c r="J52" i="98"/>
  <c r="J42" i="98"/>
  <c r="J53" i="98"/>
  <c r="J43" i="98"/>
  <c r="J17" i="98"/>
  <c r="J74" i="98"/>
  <c r="J60" i="98"/>
  <c r="J44" i="98"/>
  <c r="J36" i="98"/>
  <c r="N12" i="98"/>
  <c r="J63" i="98"/>
  <c r="J55" i="98"/>
  <c r="J37" i="98"/>
  <c r="J33" i="98"/>
  <c r="J23" i="98"/>
  <c r="F27" i="98"/>
  <c r="F38" i="98"/>
  <c r="J45" i="98"/>
  <c r="J61" i="98"/>
  <c r="V17" i="101"/>
  <c r="V51" i="101"/>
  <c r="X13" i="96"/>
  <c r="Z13" i="96" s="1"/>
  <c r="L12" i="98"/>
  <c r="L14" i="98"/>
  <c r="N14" i="98" s="1"/>
  <c r="D76" i="98"/>
  <c r="L20" i="98"/>
  <c r="N20" i="98" s="1"/>
  <c r="J27" i="98"/>
  <c r="J40" i="98"/>
  <c r="X45" i="98"/>
  <c r="V44" i="101"/>
  <c r="H76" i="98"/>
  <c r="Z45" i="98"/>
  <c r="N57" i="102"/>
  <c r="N79" i="96"/>
  <c r="L82" i="96"/>
  <c r="J20" i="98"/>
  <c r="J29" i="98"/>
  <c r="J32" i="98"/>
  <c r="J66" i="98"/>
  <c r="Z23" i="101"/>
  <c r="X22" i="96"/>
  <c r="Z22" i="96" s="1"/>
  <c r="X38" i="96"/>
  <c r="Z38" i="96" s="1"/>
  <c r="L44" i="96"/>
  <c r="N44" i="96" s="1"/>
  <c r="Z77" i="96"/>
  <c r="J46" i="98"/>
  <c r="J62" i="98"/>
  <c r="R35" i="100"/>
  <c r="R34" i="100"/>
  <c r="R26" i="100"/>
  <c r="R22" i="100"/>
  <c r="R29" i="100"/>
  <c r="R28" i="100"/>
  <c r="R24" i="100"/>
  <c r="R45" i="100"/>
  <c r="R20" i="100"/>
  <c r="R15" i="100"/>
  <c r="R50" i="100"/>
  <c r="R30" i="100"/>
  <c r="R19" i="100"/>
  <c r="R27" i="100"/>
  <c r="R14" i="100"/>
  <c r="R38" i="100"/>
  <c r="R31" i="100"/>
  <c r="R25" i="100"/>
  <c r="R43" i="100"/>
  <c r="R23" i="100"/>
  <c r="R47" i="100"/>
  <c r="R32" i="100"/>
  <c r="R21" i="100"/>
  <c r="R40" i="100"/>
  <c r="R36" i="100"/>
  <c r="X12" i="100"/>
  <c r="N35" i="100"/>
  <c r="L35" i="100"/>
  <c r="N55" i="96"/>
  <c r="Z65" i="96"/>
  <c r="X79" i="96"/>
  <c r="Z79" i="96" s="1"/>
  <c r="F78" i="98"/>
  <c r="F70" i="98"/>
  <c r="F69" i="98"/>
  <c r="F37" i="98"/>
  <c r="F33" i="98"/>
  <c r="F32" i="98"/>
  <c r="F76" i="98"/>
  <c r="F63" i="98"/>
  <c r="F56" i="98"/>
  <c r="F55" i="98"/>
  <c r="F28" i="98"/>
  <c r="F24" i="98"/>
  <c r="F23" i="98"/>
  <c r="F67" i="98"/>
  <c r="F64" i="98"/>
  <c r="F47" i="98"/>
  <c r="F22" i="98"/>
  <c r="F20" i="98"/>
  <c r="F58" i="98"/>
  <c r="F57" i="98"/>
  <c r="F71" i="98"/>
  <c r="F65" i="98"/>
  <c r="F40" i="98"/>
  <c r="F39" i="98"/>
  <c r="F72" i="98"/>
  <c r="F59" i="98"/>
  <c r="F51" i="98"/>
  <c r="F50" i="98"/>
  <c r="F35" i="98"/>
  <c r="F68" i="98"/>
  <c r="F42" i="98"/>
  <c r="F41" i="98"/>
  <c r="F30" i="98"/>
  <c r="F26" i="98"/>
  <c r="F53" i="98"/>
  <c r="F52" i="98"/>
  <c r="F17" i="98"/>
  <c r="F16" i="98"/>
  <c r="F62" i="98"/>
  <c r="F61" i="98"/>
  <c r="F54" i="98"/>
  <c r="F46" i="98"/>
  <c r="F45" i="98"/>
  <c r="F18" i="98"/>
  <c r="J26" i="98"/>
  <c r="F31" i="98"/>
  <c r="Z57" i="98"/>
  <c r="F60" i="98"/>
  <c r="V37" i="100"/>
  <c r="V36" i="100"/>
  <c r="Z12" i="100"/>
  <c r="V50" i="100"/>
  <c r="V47" i="100"/>
  <c r="V45" i="100"/>
  <c r="V31" i="100"/>
  <c r="V19" i="100"/>
  <c r="V17" i="100"/>
  <c r="V15" i="100"/>
  <c r="V30" i="100"/>
  <c r="T17" i="100"/>
  <c r="V27" i="100"/>
  <c r="V20" i="100"/>
  <c r="V38" i="100"/>
  <c r="V43" i="100"/>
  <c r="V34" i="100"/>
  <c r="V25" i="100"/>
  <c r="V35" i="100"/>
  <c r="V23" i="100"/>
  <c r="V40" i="100"/>
  <c r="V32" i="100"/>
  <c r="V21" i="100"/>
  <c r="V28" i="100"/>
  <c r="V33" i="100"/>
  <c r="V29" i="100"/>
  <c r="V26" i="100"/>
  <c r="V41" i="100"/>
  <c r="V14" i="100"/>
  <c r="X57" i="96"/>
  <c r="Z57" i="96" s="1"/>
  <c r="N13" i="98"/>
  <c r="J31" i="98"/>
  <c r="L39" i="98"/>
  <c r="N39" i="98" s="1"/>
  <c r="J50" i="98"/>
  <c r="J54" i="98"/>
  <c r="R37" i="100"/>
  <c r="N49" i="96"/>
  <c r="N69" i="98"/>
  <c r="L69" i="98"/>
  <c r="P17" i="100"/>
  <c r="R33" i="100"/>
  <c r="N24" i="102"/>
  <c r="L24" i="102"/>
  <c r="R18" i="99"/>
  <c r="V20" i="99"/>
  <c r="F40" i="100"/>
  <c r="X41" i="100"/>
  <c r="Z41" i="100" s="1"/>
  <c r="P40" i="100"/>
  <c r="X40" i="100" s="1"/>
  <c r="Z27" i="101"/>
  <c r="X27" i="101"/>
  <c r="Z17" i="102"/>
  <c r="L39" i="102"/>
  <c r="N39" i="102" s="1"/>
  <c r="T16" i="99"/>
  <c r="F15" i="100"/>
  <c r="Z33" i="100"/>
  <c r="N22" i="101"/>
  <c r="J32" i="101"/>
  <c r="F31" i="100"/>
  <c r="F47" i="100"/>
  <c r="R75" i="102"/>
  <c r="R72" i="102"/>
  <c r="R64" i="102"/>
  <c r="R51" i="102"/>
  <c r="R50" i="102"/>
  <c r="R39" i="102"/>
  <c r="R38" i="102"/>
  <c r="R34" i="102"/>
  <c r="R23" i="102"/>
  <c r="R79" i="102"/>
  <c r="R65" i="102"/>
  <c r="R61" i="102"/>
  <c r="R29" i="102"/>
  <c r="R25" i="102"/>
  <c r="P21" i="102"/>
  <c r="R53" i="102"/>
  <c r="R52" i="102"/>
  <c r="R41" i="102"/>
  <c r="R40" i="102"/>
  <c r="R67" i="102"/>
  <c r="R66" i="102"/>
  <c r="R62" i="102"/>
  <c r="R55" i="102"/>
  <c r="R54" i="102"/>
  <c r="R69" i="102"/>
  <c r="R68" i="102"/>
  <c r="R57" i="102"/>
  <c r="R56" i="102"/>
  <c r="R45" i="102"/>
  <c r="R44" i="102"/>
  <c r="R36" i="102"/>
  <c r="R17" i="102"/>
  <c r="R71" i="102"/>
  <c r="R70" i="102"/>
  <c r="R19" i="102"/>
  <c r="R26" i="102"/>
  <c r="R60" i="102"/>
  <c r="R48" i="102"/>
  <c r="R35" i="102"/>
  <c r="R32" i="102"/>
  <c r="R49" i="102"/>
  <c r="R42" i="102"/>
  <c r="R33" i="102"/>
  <c r="R27" i="102"/>
  <c r="R58" i="102"/>
  <c r="R30" i="102"/>
  <c r="R24" i="102"/>
  <c r="R63" i="102"/>
  <c r="R46" i="102"/>
  <c r="R43" i="102"/>
  <c r="R18" i="102"/>
  <c r="R74" i="102"/>
  <c r="R47" i="102"/>
  <c r="R37" i="102"/>
  <c r="Z63" i="98"/>
  <c r="F14" i="100"/>
  <c r="X34" i="101"/>
  <c r="Z34" i="101" s="1"/>
  <c r="Z13" i="102"/>
  <c r="L12" i="99"/>
  <c r="F24" i="99"/>
  <c r="D16" i="99"/>
  <c r="R14" i="99"/>
  <c r="R22" i="99"/>
  <c r="F19" i="100"/>
  <c r="F34" i="100"/>
  <c r="F38" i="100"/>
  <c r="Z32" i="101"/>
  <c r="N53" i="102"/>
  <c r="D12" i="101"/>
  <c r="L13" i="101"/>
  <c r="N13" i="101" s="1"/>
  <c r="F39" i="105"/>
  <c r="F38" i="105"/>
  <c r="F29" i="105"/>
  <c r="F40" i="105"/>
  <c r="F24" i="105"/>
  <c r="F23" i="105"/>
  <c r="F42" i="105"/>
  <c r="F41" i="105"/>
  <c r="D20" i="105"/>
  <c r="F44" i="105"/>
  <c r="F35" i="105"/>
  <c r="F34" i="105"/>
  <c r="F48" i="105"/>
  <c r="F26" i="105"/>
  <c r="F28" i="105"/>
  <c r="F27" i="105"/>
  <c r="L12" i="105"/>
  <c r="N12" i="105" s="1"/>
  <c r="F36" i="105"/>
  <c r="F31" i="105"/>
  <c r="F22" i="105"/>
  <c r="F18" i="105"/>
  <c r="F25" i="105"/>
  <c r="F16" i="105"/>
  <c r="F37" i="105"/>
  <c r="F32" i="105"/>
  <c r="F17" i="105"/>
  <c r="F33" i="105"/>
  <c r="F30" i="105"/>
  <c r="F37" i="100"/>
  <c r="J52" i="101"/>
  <c r="J44" i="101"/>
  <c r="J49" i="101"/>
  <c r="J34" i="101"/>
  <c r="J28" i="101"/>
  <c r="J35" i="101"/>
  <c r="J36" i="101"/>
  <c r="J18" i="101"/>
  <c r="J50" i="101"/>
  <c r="J45" i="101"/>
  <c r="J37" i="101"/>
  <c r="J29" i="101"/>
  <c r="J23" i="101"/>
  <c r="J51" i="101"/>
  <c r="J38" i="101"/>
  <c r="J24" i="101"/>
  <c r="J22" i="101"/>
  <c r="J59" i="101"/>
  <c r="J46" i="101"/>
  <c r="J39" i="101"/>
  <c r="H20" i="101"/>
  <c r="J40" i="101"/>
  <c r="J47" i="101"/>
  <c r="J41" i="101"/>
  <c r="J48" i="101"/>
  <c r="J42" i="101"/>
  <c r="J54" i="101"/>
  <c r="J31" i="101"/>
  <c r="J33" i="101"/>
  <c r="J27" i="101"/>
  <c r="J17" i="101"/>
  <c r="J16" i="101"/>
  <c r="X74" i="98"/>
  <c r="X14" i="99"/>
  <c r="R26" i="99"/>
  <c r="D17" i="100"/>
  <c r="L33" i="100"/>
  <c r="X35" i="100"/>
  <c r="D40" i="100"/>
  <c r="L40" i="100" s="1"/>
  <c r="N40" i="100" s="1"/>
  <c r="L41" i="100"/>
  <c r="N23" i="101"/>
  <c r="Z45" i="101"/>
  <c r="N23" i="102"/>
  <c r="R73" i="104"/>
  <c r="R65" i="104"/>
  <c r="R61" i="104"/>
  <c r="R54" i="104"/>
  <c r="R53" i="104"/>
  <c r="R56" i="104"/>
  <c r="R55" i="104"/>
  <c r="R79" i="104"/>
  <c r="R57" i="104"/>
  <c r="R46" i="104"/>
  <c r="R45" i="104"/>
  <c r="R69" i="104"/>
  <c r="R68" i="104"/>
  <c r="R63" i="104"/>
  <c r="R48" i="104"/>
  <c r="R47" i="104"/>
  <c r="R39" i="104"/>
  <c r="R62" i="104"/>
  <c r="R60" i="104"/>
  <c r="R35" i="104"/>
  <c r="R34" i="104"/>
  <c r="R30" i="104"/>
  <c r="R26" i="104"/>
  <c r="P22" i="104"/>
  <c r="R22" i="104" s="1"/>
  <c r="R75" i="104"/>
  <c r="R50" i="104"/>
  <c r="R49" i="104"/>
  <c r="R44" i="104"/>
  <c r="R36" i="104"/>
  <c r="X12" i="104"/>
  <c r="R72" i="104"/>
  <c r="R67" i="104"/>
  <c r="R58" i="104"/>
  <c r="R40" i="104"/>
  <c r="R31" i="104"/>
  <c r="R27" i="104"/>
  <c r="R37" i="104"/>
  <c r="R18" i="104"/>
  <c r="R51" i="104"/>
  <c r="R32" i="104"/>
  <c r="R28" i="104"/>
  <c r="R70" i="104"/>
  <c r="R52" i="104"/>
  <c r="R41" i="104"/>
  <c r="R19" i="104"/>
  <c r="R59" i="104"/>
  <c r="R33" i="104"/>
  <c r="R29" i="104"/>
  <c r="R66" i="104"/>
  <c r="R64" i="104"/>
  <c r="R43" i="104"/>
  <c r="R24" i="104"/>
  <c r="R38" i="104"/>
  <c r="R20" i="104"/>
  <c r="R71" i="104"/>
  <c r="R42" i="104"/>
  <c r="R25" i="104"/>
  <c r="L48" i="98"/>
  <c r="V29" i="99"/>
  <c r="V26" i="99"/>
  <c r="V24" i="99"/>
  <c r="Z12" i="99"/>
  <c r="L18" i="99"/>
  <c r="F43" i="100"/>
  <c r="F41" i="100"/>
  <c r="F30" i="100"/>
  <c r="F29" i="100"/>
  <c r="F25" i="100"/>
  <c r="F21" i="100"/>
  <c r="F20" i="100"/>
  <c r="F36" i="100"/>
  <c r="F35" i="100"/>
  <c r="L12" i="100"/>
  <c r="F27" i="100"/>
  <c r="F23" i="100"/>
  <c r="F17" i="100"/>
  <c r="F22" i="100"/>
  <c r="F33" i="100"/>
  <c r="N41" i="100"/>
  <c r="F45" i="100"/>
  <c r="X13" i="101"/>
  <c r="Z13" i="101" s="1"/>
  <c r="X23" i="101"/>
  <c r="F24" i="100"/>
  <c r="N33" i="100"/>
  <c r="J26" i="101"/>
  <c r="P12" i="101"/>
  <c r="T12" i="102"/>
  <c r="N43" i="102"/>
  <c r="N67" i="102"/>
  <c r="L69" i="102"/>
  <c r="N69" i="102"/>
  <c r="L12" i="103"/>
  <c r="P16" i="103"/>
  <c r="T77" i="104"/>
  <c r="J26" i="99"/>
  <c r="J38" i="100"/>
  <c r="L49" i="102"/>
  <c r="X67" i="102"/>
  <c r="Z67" i="102" s="1"/>
  <c r="Z69" i="102"/>
  <c r="N18" i="103"/>
  <c r="V77" i="104"/>
  <c r="V75" i="104"/>
  <c r="V73" i="104"/>
  <c r="V65" i="104"/>
  <c r="V61" i="104"/>
  <c r="V56" i="104"/>
  <c r="V66" i="104"/>
  <c r="V62" i="104"/>
  <c r="V68" i="104"/>
  <c r="V48" i="104"/>
  <c r="V71" i="104"/>
  <c r="V63" i="104"/>
  <c r="V70" i="104"/>
  <c r="V58" i="104"/>
  <c r="V50" i="104"/>
  <c r="V72" i="104"/>
  <c r="V64" i="104"/>
  <c r="V60" i="104"/>
  <c r="V49" i="104"/>
  <c r="V79" i="104"/>
  <c r="V69" i="104"/>
  <c r="V67" i="104"/>
  <c r="V36" i="104"/>
  <c r="Z12" i="104"/>
  <c r="V54" i="104"/>
  <c r="V40" i="104"/>
  <c r="V31" i="104"/>
  <c r="V27" i="104"/>
  <c r="V45" i="104"/>
  <c r="V18" i="104"/>
  <c r="V46" i="104"/>
  <c r="V37" i="104"/>
  <c r="V52" i="104"/>
  <c r="V51" i="104"/>
  <c r="V32" i="104"/>
  <c r="V28" i="104"/>
  <c r="V42" i="104"/>
  <c r="V41" i="104"/>
  <c r="V19" i="104"/>
  <c r="V38" i="104"/>
  <c r="V57" i="104"/>
  <c r="V55" i="104"/>
  <c r="V24" i="104"/>
  <c r="V22" i="104"/>
  <c r="V20" i="104"/>
  <c r="V53" i="104"/>
  <c r="V44" i="104"/>
  <c r="V39" i="104"/>
  <c r="V34" i="104"/>
  <c r="V30" i="104"/>
  <c r="V26" i="104"/>
  <c r="V25" i="104"/>
  <c r="N50" i="104"/>
  <c r="J23" i="100"/>
  <c r="J27" i="100"/>
  <c r="J37" i="100"/>
  <c r="X55" i="101"/>
  <c r="D12" i="102"/>
  <c r="L13" i="102"/>
  <c r="N13" i="102" s="1"/>
  <c r="N33" i="102"/>
  <c r="X43" i="102"/>
  <c r="J19" i="104"/>
  <c r="J63" i="104"/>
  <c r="N28" i="103"/>
  <c r="F36" i="103"/>
  <c r="Z41" i="103"/>
  <c r="J37" i="104"/>
  <c r="J46" i="104"/>
  <c r="Z43" i="102"/>
  <c r="N55" i="102"/>
  <c r="L75" i="102"/>
  <c r="D74" i="102"/>
  <c r="H46" i="103"/>
  <c r="N16" i="103"/>
  <c r="V73" i="106"/>
  <c r="V83" i="106"/>
  <c r="V72" i="106"/>
  <c r="V69" i="106"/>
  <c r="V66" i="106"/>
  <c r="V48" i="106"/>
  <c r="V60" i="106"/>
  <c r="V59" i="106"/>
  <c r="V51" i="106"/>
  <c r="V39" i="106"/>
  <c r="V35" i="106"/>
  <c r="V50" i="106"/>
  <c r="V30" i="106"/>
  <c r="V26" i="106"/>
  <c r="V74" i="106"/>
  <c r="V70" i="106"/>
  <c r="V63" i="106"/>
  <c r="V53" i="106"/>
  <c r="V41" i="106"/>
  <c r="V17" i="106"/>
  <c r="V67" i="106"/>
  <c r="V64" i="106"/>
  <c r="V52" i="106"/>
  <c r="V40" i="106"/>
  <c r="V36" i="106"/>
  <c r="V55" i="106"/>
  <c r="V43" i="106"/>
  <c r="V31" i="106"/>
  <c r="V27" i="106"/>
  <c r="V77" i="106"/>
  <c r="V61" i="106"/>
  <c r="V54" i="106"/>
  <c r="V42" i="106"/>
  <c r="V71" i="106"/>
  <c r="V57" i="106"/>
  <c r="V45" i="106"/>
  <c r="V37" i="106"/>
  <c r="V75" i="106"/>
  <c r="V68" i="106"/>
  <c r="V65" i="106"/>
  <c r="V56" i="106"/>
  <c r="V44" i="106"/>
  <c r="V32" i="106"/>
  <c r="V28" i="106"/>
  <c r="V24" i="106"/>
  <c r="V79" i="106"/>
  <c r="V47" i="106"/>
  <c r="V23" i="106"/>
  <c r="V19" i="106"/>
  <c r="V76" i="106"/>
  <c r="V49" i="106"/>
  <c r="V33" i="106"/>
  <c r="V29" i="106"/>
  <c r="V25" i="106"/>
  <c r="V58" i="106"/>
  <c r="V62" i="106"/>
  <c r="V46" i="106"/>
  <c r="V18" i="106"/>
  <c r="T21" i="106"/>
  <c r="V21" i="106" s="1"/>
  <c r="V34" i="106"/>
  <c r="L40" i="101"/>
  <c r="T54" i="101"/>
  <c r="Z54" i="101" s="1"/>
  <c r="X71" i="102"/>
  <c r="Z71" i="102" s="1"/>
  <c r="N75" i="102"/>
  <c r="H74" i="102"/>
  <c r="N74" i="102" s="1"/>
  <c r="Z18" i="103"/>
  <c r="X24" i="104"/>
  <c r="Z24" i="104" s="1"/>
  <c r="Z44" i="104"/>
  <c r="X13" i="102"/>
  <c r="N15" i="102"/>
  <c r="Z33" i="102"/>
  <c r="X39" i="102"/>
  <c r="Z39" i="102" s="1"/>
  <c r="L55" i="102"/>
  <c r="J61" i="104"/>
  <c r="H17" i="100"/>
  <c r="J32" i="100"/>
  <c r="Z42" i="101"/>
  <c r="H12" i="102"/>
  <c r="X23" i="102"/>
  <c r="Z23" i="102" s="1"/>
  <c r="X24" i="102"/>
  <c r="Z24" i="102" s="1"/>
  <c r="L57" i="102"/>
  <c r="Z30" i="103"/>
  <c r="D12" i="104"/>
  <c r="V59" i="104"/>
  <c r="J17" i="100"/>
  <c r="J19" i="100"/>
  <c r="J21" i="100"/>
  <c r="J25" i="100"/>
  <c r="J31" i="100"/>
  <c r="J47" i="100"/>
  <c r="Z55" i="102"/>
  <c r="Z32" i="103"/>
  <c r="X34" i="103"/>
  <c r="Z34" i="103" s="1"/>
  <c r="V35" i="104"/>
  <c r="F40" i="103"/>
  <c r="F39" i="103"/>
  <c r="F24" i="103"/>
  <c r="F20" i="103"/>
  <c r="F19" i="103"/>
  <c r="F31" i="103"/>
  <c r="F30" i="103"/>
  <c r="F18" i="103"/>
  <c r="F16" i="103"/>
  <c r="F14" i="103"/>
  <c r="F42" i="103"/>
  <c r="F41" i="103"/>
  <c r="D16" i="103"/>
  <c r="F33" i="103"/>
  <c r="F32" i="103"/>
  <c r="F25" i="103"/>
  <c r="F21" i="103"/>
  <c r="F46" i="103"/>
  <c r="F44" i="103"/>
  <c r="F35" i="103"/>
  <c r="F34" i="103"/>
  <c r="F48" i="103"/>
  <c r="F26" i="103"/>
  <c r="F22" i="103"/>
  <c r="F53" i="103"/>
  <c r="F50" i="103"/>
  <c r="F27" i="103"/>
  <c r="F23" i="103"/>
  <c r="F29" i="103"/>
  <c r="F28" i="103"/>
  <c r="L13" i="104"/>
  <c r="N13" i="104" s="1"/>
  <c r="N18" i="104"/>
  <c r="Z57" i="102"/>
  <c r="J71" i="104"/>
  <c r="J72" i="104"/>
  <c r="J64" i="104"/>
  <c r="J60" i="104"/>
  <c r="J54" i="104"/>
  <c r="J75" i="104"/>
  <c r="J55" i="104"/>
  <c r="J66" i="104"/>
  <c r="J62" i="104"/>
  <c r="J56" i="104"/>
  <c r="J44" i="104"/>
  <c r="J68" i="104"/>
  <c r="J59" i="104"/>
  <c r="J57" i="104"/>
  <c r="J42" i="104"/>
  <c r="J33" i="104"/>
  <c r="J29" i="104"/>
  <c r="J48" i="104"/>
  <c r="J20" i="104"/>
  <c r="J53" i="104"/>
  <c r="J43" i="104"/>
  <c r="J39" i="104"/>
  <c r="J25" i="104"/>
  <c r="J34" i="104"/>
  <c r="J30" i="104"/>
  <c r="J26" i="104"/>
  <c r="J24" i="104"/>
  <c r="J79" i="104"/>
  <c r="J49" i="104"/>
  <c r="J35" i="104"/>
  <c r="H22" i="104"/>
  <c r="J22" i="104" s="1"/>
  <c r="J69" i="104"/>
  <c r="J67" i="104"/>
  <c r="J58" i="104"/>
  <c r="J50" i="104"/>
  <c r="J36" i="104"/>
  <c r="J45" i="104"/>
  <c r="J40" i="104"/>
  <c r="J31" i="104"/>
  <c r="J27" i="104"/>
  <c r="J70" i="104"/>
  <c r="J51" i="104"/>
  <c r="J32" i="104"/>
  <c r="J28" i="104"/>
  <c r="J18" i="104"/>
  <c r="J73" i="104"/>
  <c r="J52" i="104"/>
  <c r="J47" i="104"/>
  <c r="J38" i="104"/>
  <c r="R21" i="103"/>
  <c r="R25" i="103"/>
  <c r="N32" i="103"/>
  <c r="R33" i="103"/>
  <c r="R34" i="103"/>
  <c r="R44" i="103"/>
  <c r="R46" i="103"/>
  <c r="N48" i="104"/>
  <c r="Z60" i="104"/>
  <c r="Z23" i="105"/>
  <c r="V32" i="105"/>
  <c r="N14" i="106"/>
  <c r="Z75" i="102"/>
  <c r="N14" i="103"/>
  <c r="J28" i="103"/>
  <c r="R31" i="103"/>
  <c r="R32" i="103"/>
  <c r="V34" i="103"/>
  <c r="J38" i="103"/>
  <c r="V42" i="103"/>
  <c r="V44" i="103"/>
  <c r="V46" i="103"/>
  <c r="N46" i="104"/>
  <c r="J29" i="105"/>
  <c r="J23" i="105"/>
  <c r="J40" i="105"/>
  <c r="J30" i="105"/>
  <c r="J24" i="105"/>
  <c r="J22" i="105"/>
  <c r="J20" i="105"/>
  <c r="J41" i="105"/>
  <c r="J31" i="105"/>
  <c r="H20" i="105"/>
  <c r="J33" i="105"/>
  <c r="J25" i="105"/>
  <c r="J35" i="105"/>
  <c r="J48" i="105"/>
  <c r="J36" i="105"/>
  <c r="J26" i="105"/>
  <c r="J16" i="105"/>
  <c r="J37" i="105"/>
  <c r="J27" i="105"/>
  <c r="J17" i="105"/>
  <c r="J39" i="105"/>
  <c r="R31" i="105"/>
  <c r="V40" i="105"/>
  <c r="J83" i="106"/>
  <c r="J72" i="106"/>
  <c r="J62" i="106"/>
  <c r="J74" i="106"/>
  <c r="J77" i="106"/>
  <c r="J65" i="106"/>
  <c r="J56" i="106"/>
  <c r="J44" i="106"/>
  <c r="J32" i="106"/>
  <c r="J28" i="106"/>
  <c r="J79" i="106"/>
  <c r="J57" i="106"/>
  <c r="J45" i="106"/>
  <c r="J19" i="106"/>
  <c r="J58" i="106"/>
  <c r="J46" i="106"/>
  <c r="J38" i="106"/>
  <c r="J24" i="106"/>
  <c r="J76" i="106"/>
  <c r="J66" i="106"/>
  <c r="J47" i="106"/>
  <c r="J33" i="106"/>
  <c r="J29" i="106"/>
  <c r="J25" i="106"/>
  <c r="J23" i="106"/>
  <c r="J21" i="106"/>
  <c r="J69" i="106"/>
  <c r="J48" i="106"/>
  <c r="J34" i="106"/>
  <c r="H21" i="106"/>
  <c r="J73" i="106"/>
  <c r="J59" i="106"/>
  <c r="J49" i="106"/>
  <c r="J39" i="106"/>
  <c r="J35" i="106"/>
  <c r="J63" i="106"/>
  <c r="J60" i="106"/>
  <c r="J50" i="106"/>
  <c r="J30" i="106"/>
  <c r="J26" i="106"/>
  <c r="J70" i="106"/>
  <c r="J51" i="106"/>
  <c r="J67" i="106"/>
  <c r="J52" i="106"/>
  <c r="J40" i="106"/>
  <c r="J36" i="106"/>
  <c r="J64" i="106"/>
  <c r="J61" i="106"/>
  <c r="J53" i="106"/>
  <c r="J41" i="106"/>
  <c r="J31" i="106"/>
  <c r="J27" i="106"/>
  <c r="J17" i="106"/>
  <c r="J75" i="106"/>
  <c r="J71" i="106"/>
  <c r="J68" i="106"/>
  <c r="J55" i="106"/>
  <c r="J43" i="106"/>
  <c r="J37" i="106"/>
  <c r="X47" i="106"/>
  <c r="Z47" i="106" s="1"/>
  <c r="R14" i="103"/>
  <c r="R16" i="103"/>
  <c r="R18" i="103"/>
  <c r="R29" i="103"/>
  <c r="R30" i="103"/>
  <c r="V32" i="103"/>
  <c r="V40" i="103"/>
  <c r="R22" i="105"/>
  <c r="N23" i="106"/>
  <c r="N41" i="106"/>
  <c r="Z45" i="106"/>
  <c r="T16" i="103"/>
  <c r="R19" i="103"/>
  <c r="R38" i="103"/>
  <c r="R39" i="103"/>
  <c r="Z52" i="104"/>
  <c r="N67" i="104"/>
  <c r="V24" i="105"/>
  <c r="R38" i="105"/>
  <c r="V48" i="105"/>
  <c r="L64" i="106"/>
  <c r="N64" i="106" s="1"/>
  <c r="L60" i="102"/>
  <c r="N60" i="102" s="1"/>
  <c r="V14" i="103"/>
  <c r="V16" i="103"/>
  <c r="V18" i="103"/>
  <c r="R23" i="103"/>
  <c r="R27" i="103"/>
  <c r="R28" i="103"/>
  <c r="V30" i="103"/>
  <c r="V38" i="103"/>
  <c r="X41" i="103"/>
  <c r="X13" i="104"/>
  <c r="X42" i="104"/>
  <c r="Z42" i="104" s="1"/>
  <c r="N56" i="104"/>
  <c r="R35" i="105"/>
  <c r="Z38" i="105"/>
  <c r="Z23" i="106"/>
  <c r="Z41" i="106"/>
  <c r="X12" i="103"/>
  <c r="V19" i="103"/>
  <c r="V23" i="103"/>
  <c r="V27" i="103"/>
  <c r="J35" i="103"/>
  <c r="R36" i="103"/>
  <c r="R37" i="103"/>
  <c r="V39" i="103"/>
  <c r="Z13" i="104"/>
  <c r="X56" i="104"/>
  <c r="Z56" i="104" s="1"/>
  <c r="R30" i="105"/>
  <c r="N32" i="105"/>
  <c r="N41" i="105"/>
  <c r="Z64" i="106"/>
  <c r="Z59" i="108"/>
  <c r="X59" i="108"/>
  <c r="Z12" i="103"/>
  <c r="V28" i="103"/>
  <c r="J34" i="103"/>
  <c r="V36" i="103"/>
  <c r="J44" i="103"/>
  <c r="R50" i="103"/>
  <c r="R53" i="103"/>
  <c r="Z54" i="104"/>
  <c r="N60" i="104"/>
  <c r="R17" i="105"/>
  <c r="N27" i="105"/>
  <c r="J32" i="105"/>
  <c r="J34" i="105"/>
  <c r="X41" i="105"/>
  <c r="P12" i="106"/>
  <c r="X13" i="106"/>
  <c r="Z13" i="106" s="1"/>
  <c r="J42" i="106"/>
  <c r="N53" i="106"/>
  <c r="Z57" i="106"/>
  <c r="R22" i="103"/>
  <c r="R26" i="103"/>
  <c r="V37" i="103"/>
  <c r="R48" i="103"/>
  <c r="R42" i="105"/>
  <c r="R44" i="105"/>
  <c r="R34" i="105"/>
  <c r="R33" i="105"/>
  <c r="R25" i="105"/>
  <c r="R48" i="105"/>
  <c r="R27" i="105"/>
  <c r="R26" i="105"/>
  <c r="R28" i="105"/>
  <c r="X12" i="105"/>
  <c r="Z12" i="105" s="1"/>
  <c r="R39" i="105"/>
  <c r="R23" i="105"/>
  <c r="R18" i="105"/>
  <c r="R41" i="105"/>
  <c r="R40" i="105"/>
  <c r="R24" i="105"/>
  <c r="P20" i="105"/>
  <c r="R20" i="105" s="1"/>
  <c r="R29" i="105"/>
  <c r="Z41" i="105"/>
  <c r="V48" i="103"/>
  <c r="V50" i="103"/>
  <c r="V53" i="103"/>
  <c r="V44" i="105"/>
  <c r="V42" i="105"/>
  <c r="V33" i="105"/>
  <c r="V25" i="105"/>
  <c r="V36" i="105"/>
  <c r="V16" i="105"/>
  <c r="V35" i="105"/>
  <c r="V27" i="105"/>
  <c r="V37" i="105"/>
  <c r="V17" i="105"/>
  <c r="V39" i="105"/>
  <c r="V23" i="105"/>
  <c r="V30" i="105"/>
  <c r="V22" i="105"/>
  <c r="V18" i="105"/>
  <c r="V41" i="105"/>
  <c r="V29" i="105"/>
  <c r="T20" i="105"/>
  <c r="V31" i="105"/>
  <c r="Z27" i="105"/>
  <c r="R32" i="105"/>
  <c r="R37" i="105"/>
  <c r="N51" i="106"/>
  <c r="Z53" i="106"/>
  <c r="Z55" i="106"/>
  <c r="Z50" i="104"/>
  <c r="X13" i="105"/>
  <c r="N17" i="106"/>
  <c r="D12" i="106"/>
  <c r="V16" i="107"/>
  <c r="T80" i="108"/>
  <c r="Z13" i="105"/>
  <c r="N13" i="108"/>
  <c r="L15" i="108"/>
  <c r="N15" i="108" s="1"/>
  <c r="L23" i="108"/>
  <c r="J34" i="108"/>
  <c r="X32" i="109"/>
  <c r="Z32" i="109" s="1"/>
  <c r="P31" i="109"/>
  <c r="N74" i="106"/>
  <c r="V26" i="107"/>
  <c r="N23" i="108"/>
  <c r="N53" i="108"/>
  <c r="L53" i="108"/>
  <c r="Z57" i="108"/>
  <c r="L36" i="110"/>
  <c r="F36" i="110"/>
  <c r="N60" i="106"/>
  <c r="X14" i="107"/>
  <c r="V31" i="107"/>
  <c r="V14" i="107"/>
  <c r="X18" i="107"/>
  <c r="Z18" i="107" s="1"/>
  <c r="Z22" i="107"/>
  <c r="Z23" i="108"/>
  <c r="Z70" i="108"/>
  <c r="X43" i="106"/>
  <c r="Z43" i="106" s="1"/>
  <c r="L49" i="106"/>
  <c r="N49" i="106" s="1"/>
  <c r="X55" i="106"/>
  <c r="Z74" i="106"/>
  <c r="D24" i="107"/>
  <c r="X67" i="104"/>
  <c r="Z67" i="104" s="1"/>
  <c r="J76" i="108"/>
  <c r="J68" i="108"/>
  <c r="J64" i="108"/>
  <c r="J56" i="108"/>
  <c r="J44" i="108"/>
  <c r="J32" i="108"/>
  <c r="J28" i="108"/>
  <c r="J57" i="108"/>
  <c r="J45" i="108"/>
  <c r="J19" i="108"/>
  <c r="J78" i="108"/>
  <c r="J58" i="108"/>
  <c r="J46" i="108"/>
  <c r="J38" i="108"/>
  <c r="J24" i="108"/>
  <c r="J69" i="108"/>
  <c r="J65" i="108"/>
  <c r="J59" i="108"/>
  <c r="J47" i="108"/>
  <c r="J33" i="108"/>
  <c r="J29" i="108"/>
  <c r="J25" i="108"/>
  <c r="J23" i="108"/>
  <c r="J21" i="108"/>
  <c r="J82" i="108"/>
  <c r="J70" i="108"/>
  <c r="J60" i="108"/>
  <c r="J48" i="108"/>
  <c r="J71" i="108"/>
  <c r="J49" i="108"/>
  <c r="J39" i="108"/>
  <c r="J35" i="108"/>
  <c r="J72" i="108"/>
  <c r="J66" i="108"/>
  <c r="J50" i="108"/>
  <c r="J30" i="108"/>
  <c r="J26" i="108"/>
  <c r="J73" i="108"/>
  <c r="J61" i="108"/>
  <c r="J51" i="108"/>
  <c r="J74" i="108"/>
  <c r="J52" i="108"/>
  <c r="J40" i="108"/>
  <c r="J36" i="108"/>
  <c r="N12" i="108"/>
  <c r="J75" i="108"/>
  <c r="J67" i="108"/>
  <c r="J53" i="108"/>
  <c r="J41" i="108"/>
  <c r="J31" i="108"/>
  <c r="J27" i="108"/>
  <c r="J17" i="108"/>
  <c r="J63" i="108"/>
  <c r="J55" i="108"/>
  <c r="J43" i="108"/>
  <c r="J37" i="108"/>
  <c r="N14" i="108"/>
  <c r="Z60" i="106"/>
  <c r="R18" i="107"/>
  <c r="R16" i="107"/>
  <c r="R14" i="107"/>
  <c r="R24" i="107"/>
  <c r="R22" i="107"/>
  <c r="R26" i="107"/>
  <c r="R31" i="107"/>
  <c r="X12" i="107"/>
  <c r="R19" i="107"/>
  <c r="P12" i="108"/>
  <c r="Z17" i="108"/>
  <c r="Z47" i="108"/>
  <c r="X47" i="108"/>
  <c r="V24" i="107"/>
  <c r="V22" i="107"/>
  <c r="V20" i="107"/>
  <c r="Z12" i="107"/>
  <c r="V19" i="107"/>
  <c r="P24" i="107"/>
  <c r="T16" i="107"/>
  <c r="L22" i="107"/>
  <c r="V28" i="107"/>
  <c r="H80" i="108"/>
  <c r="N41" i="108"/>
  <c r="L41" i="108"/>
  <c r="Z45" i="108"/>
  <c r="N59" i="108"/>
  <c r="F17" i="108"/>
  <c r="F18" i="108"/>
  <c r="V25" i="108"/>
  <c r="V29" i="108"/>
  <c r="V33" i="108"/>
  <c r="F41" i="108"/>
  <c r="F42" i="108"/>
  <c r="V49" i="108"/>
  <c r="F53" i="108"/>
  <c r="F54" i="108"/>
  <c r="F62" i="108"/>
  <c r="V65" i="108"/>
  <c r="V69" i="108"/>
  <c r="P35" i="109"/>
  <c r="X33" i="109"/>
  <c r="T31" i="109"/>
  <c r="Z33" i="109"/>
  <c r="X58" i="110"/>
  <c r="Z58" i="110" s="1"/>
  <c r="F26" i="107"/>
  <c r="L12" i="108"/>
  <c r="V19" i="108"/>
  <c r="V21" i="108"/>
  <c r="V23" i="108"/>
  <c r="F36" i="108"/>
  <c r="F40" i="108"/>
  <c r="V47" i="108"/>
  <c r="F51" i="108"/>
  <c r="F52" i="108"/>
  <c r="V59" i="108"/>
  <c r="F25" i="109"/>
  <c r="F21" i="109"/>
  <c r="F26" i="109"/>
  <c r="F22" i="109"/>
  <c r="F29" i="109"/>
  <c r="F31" i="109"/>
  <c r="F19" i="109"/>
  <c r="H61" i="110"/>
  <c r="L38" i="110"/>
  <c r="L46" i="110"/>
  <c r="J26" i="107"/>
  <c r="V24" i="108"/>
  <c r="V28" i="108"/>
  <c r="V32" i="108"/>
  <c r="V44" i="108"/>
  <c r="V56" i="108"/>
  <c r="F61" i="108"/>
  <c r="V64" i="108"/>
  <c r="V68" i="108"/>
  <c r="F72" i="108"/>
  <c r="F73" i="108"/>
  <c r="V76" i="108"/>
  <c r="V78" i="108"/>
  <c r="J27" i="109"/>
  <c r="J28" i="109"/>
  <c r="N12" i="109"/>
  <c r="J35" i="109"/>
  <c r="J33" i="109"/>
  <c r="J29" i="109"/>
  <c r="J32" i="109"/>
  <c r="J24" i="109"/>
  <c r="J20" i="109"/>
  <c r="J18" i="109"/>
  <c r="J42" i="109"/>
  <c r="J39" i="109"/>
  <c r="J25" i="109"/>
  <c r="J21" i="109"/>
  <c r="F28" i="109"/>
  <c r="J31" i="109"/>
  <c r="F35" i="109"/>
  <c r="R34" i="110"/>
  <c r="R30" i="110"/>
  <c r="R19" i="110"/>
  <c r="R17" i="110"/>
  <c r="R15" i="110"/>
  <c r="R53" i="110"/>
  <c r="R46" i="110"/>
  <c r="R45" i="110"/>
  <c r="R25" i="110"/>
  <c r="R21" i="110"/>
  <c r="R48" i="110"/>
  <c r="R47" i="110"/>
  <c r="R36" i="110"/>
  <c r="R35" i="110"/>
  <c r="R31" i="110"/>
  <c r="R55" i="110"/>
  <c r="R54" i="110"/>
  <c r="R26" i="110"/>
  <c r="R22" i="110"/>
  <c r="R50" i="110"/>
  <c r="R49" i="110"/>
  <c r="R38" i="110"/>
  <c r="R37" i="110"/>
  <c r="R58" i="110"/>
  <c r="R51" i="110"/>
  <c r="R40" i="110"/>
  <c r="R39" i="110"/>
  <c r="R27" i="110"/>
  <c r="R23" i="110"/>
  <c r="R44" i="110"/>
  <c r="R43" i="110"/>
  <c r="R20" i="110"/>
  <c r="P17" i="110"/>
  <c r="N20" i="110"/>
  <c r="N36" i="110"/>
  <c r="N38" i="110"/>
  <c r="R63" i="110"/>
  <c r="V37" i="108"/>
  <c r="V45" i="108"/>
  <c r="F49" i="108"/>
  <c r="F50" i="108"/>
  <c r="F66" i="108"/>
  <c r="T12" i="110"/>
  <c r="J38" i="110"/>
  <c r="V18" i="108"/>
  <c r="D21" i="108"/>
  <c r="F34" i="108"/>
  <c r="F35" i="108"/>
  <c r="F39" i="108"/>
  <c r="V42" i="108"/>
  <c r="V54" i="108"/>
  <c r="V62" i="108"/>
  <c r="F70" i="108"/>
  <c r="F71" i="108"/>
  <c r="F23" i="109"/>
  <c r="F39" i="109"/>
  <c r="X13" i="110"/>
  <c r="Z13" i="110" s="1"/>
  <c r="Z20" i="110"/>
  <c r="N50" i="110"/>
  <c r="H16" i="107"/>
  <c r="F19" i="107"/>
  <c r="F21" i="108"/>
  <c r="F23" i="108"/>
  <c r="V27" i="108"/>
  <c r="V31" i="108"/>
  <c r="V43" i="108"/>
  <c r="F47" i="108"/>
  <c r="F48" i="108"/>
  <c r="V55" i="108"/>
  <c r="F59" i="108"/>
  <c r="F60" i="108"/>
  <c r="V63" i="108"/>
  <c r="V67" i="108"/>
  <c r="V75" i="108"/>
  <c r="F82" i="108"/>
  <c r="V28" i="109"/>
  <c r="Z12" i="109"/>
  <c r="V31" i="109"/>
  <c r="V29" i="109"/>
  <c r="T16" i="109"/>
  <c r="V24" i="109"/>
  <c r="V20" i="109"/>
  <c r="V25" i="109"/>
  <c r="D16" i="109"/>
  <c r="J23" i="109"/>
  <c r="L15" i="110"/>
  <c r="R28" i="110"/>
  <c r="R32" i="110"/>
  <c r="Z38" i="110"/>
  <c r="X40" i="110"/>
  <c r="R42" i="110"/>
  <c r="Z44" i="110"/>
  <c r="J50" i="110"/>
  <c r="R56" i="110"/>
  <c r="V52" i="108"/>
  <c r="F65" i="108"/>
  <c r="F69" i="108"/>
  <c r="F78" i="108"/>
  <c r="Z40" i="110"/>
  <c r="Z42" i="110"/>
  <c r="J19" i="107"/>
  <c r="V17" i="108"/>
  <c r="F38" i="108"/>
  <c r="V41" i="108"/>
  <c r="F45" i="108"/>
  <c r="F46" i="108"/>
  <c r="V53" i="108"/>
  <c r="F57" i="108"/>
  <c r="F58" i="108"/>
  <c r="V61" i="108"/>
  <c r="V73" i="108"/>
  <c r="H16" i="109"/>
  <c r="X19" i="109"/>
  <c r="Z19" i="109" s="1"/>
  <c r="V21" i="109"/>
  <c r="F37" i="109"/>
  <c r="N19" i="110"/>
  <c r="Z50" i="110"/>
  <c r="L55" i="110"/>
  <c r="N55" i="110" s="1"/>
  <c r="R59" i="110"/>
  <c r="F19" i="108"/>
  <c r="V26" i="108"/>
  <c r="V30" i="108"/>
  <c r="X41" i="108"/>
  <c r="Z41" i="108" s="1"/>
  <c r="L47" i="108"/>
  <c r="N47" i="108" s="1"/>
  <c r="V50" i="108"/>
  <c r="X53" i="108"/>
  <c r="Z53" i="108" s="1"/>
  <c r="V66" i="108"/>
  <c r="V74" i="108"/>
  <c r="F14" i="109"/>
  <c r="J16" i="109"/>
  <c r="Z18" i="109"/>
  <c r="L31" i="109"/>
  <c r="N31" i="109" s="1"/>
  <c r="J37" i="109"/>
  <c r="V39" i="109"/>
  <c r="X12" i="110"/>
  <c r="F28" i="108"/>
  <c r="F32" i="108"/>
  <c r="V35" i="108"/>
  <c r="V39" i="108"/>
  <c r="F43" i="108"/>
  <c r="F44" i="108"/>
  <c r="V51" i="108"/>
  <c r="F55" i="108"/>
  <c r="F56" i="108"/>
  <c r="F63" i="108"/>
  <c r="F64" i="108"/>
  <c r="F68" i="108"/>
  <c r="V71" i="108"/>
  <c r="F76" i="108"/>
  <c r="V48" i="108"/>
  <c r="V60" i="108"/>
  <c r="V72" i="108"/>
  <c r="V82" i="108"/>
  <c r="J14" i="109"/>
  <c r="F20" i="109"/>
  <c r="X27" i="109"/>
  <c r="Z27" i="109" s="1"/>
  <c r="R24" i="110"/>
  <c r="R33" i="110"/>
  <c r="R41" i="110"/>
  <c r="R22" i="109"/>
  <c r="R26" i="109"/>
  <c r="R27" i="109"/>
  <c r="F23" i="110"/>
  <c r="F27" i="110"/>
  <c r="Z36" i="110"/>
  <c r="F38" i="110"/>
  <c r="F39" i="110"/>
  <c r="J40" i="110"/>
  <c r="N42" i="110"/>
  <c r="Z48" i="110"/>
  <c r="F50" i="110"/>
  <c r="F51" i="110"/>
  <c r="J58" i="110"/>
  <c r="R21" i="109"/>
  <c r="R25" i="109"/>
  <c r="F22" i="110"/>
  <c r="F26" i="110"/>
  <c r="J37" i="110"/>
  <c r="J49" i="110"/>
  <c r="F54" i="110"/>
  <c r="J55" i="110"/>
  <c r="L32" i="109"/>
  <c r="N32" i="109" s="1"/>
  <c r="R39" i="109"/>
  <c r="R42" i="109"/>
  <c r="D17" i="110"/>
  <c r="J22" i="110"/>
  <c r="J26" i="110"/>
  <c r="F31" i="110"/>
  <c r="F35" i="110"/>
  <c r="J36" i="110"/>
  <c r="F46" i="110"/>
  <c r="F47" i="110"/>
  <c r="J48" i="110"/>
  <c r="J54" i="110"/>
  <c r="F20" i="110"/>
  <c r="F21" i="110"/>
  <c r="F25" i="110"/>
  <c r="F44" i="110"/>
  <c r="F45" i="110"/>
  <c r="J46" i="110"/>
  <c r="F53" i="110"/>
  <c r="R14" i="109"/>
  <c r="R16" i="109"/>
  <c r="R18" i="109"/>
  <c r="R29" i="109"/>
  <c r="R32" i="109"/>
  <c r="J15" i="110"/>
  <c r="J17" i="110"/>
  <c r="J19" i="110"/>
  <c r="J21" i="110"/>
  <c r="J25" i="110"/>
  <c r="F29" i="110"/>
  <c r="F30" i="110"/>
  <c r="F34" i="110"/>
  <c r="J45" i="110"/>
  <c r="J53" i="110"/>
  <c r="R19" i="109"/>
  <c r="R33" i="109"/>
  <c r="J20" i="110"/>
  <c r="J30" i="110"/>
  <c r="J34" i="110"/>
  <c r="F42" i="110"/>
  <c r="F43" i="110"/>
  <c r="J44" i="110"/>
  <c r="F24" i="110"/>
  <c r="F28" i="110"/>
  <c r="J29" i="110"/>
  <c r="J43" i="110"/>
  <c r="F52" i="110"/>
  <c r="J24" i="110"/>
  <c r="J28" i="110"/>
  <c r="F33" i="110"/>
  <c r="F40" i="110"/>
  <c r="F41" i="110"/>
  <c r="J42" i="110"/>
  <c r="J52" i="110"/>
  <c r="F58" i="110"/>
  <c r="F63" i="110"/>
  <c r="J33" i="110"/>
  <c r="J41" i="110"/>
  <c r="F59" i="110"/>
  <c r="P71" i="73" l="1"/>
  <c r="H84" i="108"/>
  <c r="P77" i="102"/>
  <c r="T57" i="101"/>
  <c r="Z78" i="92"/>
  <c r="P68" i="89"/>
  <c r="R20" i="89"/>
  <c r="V73" i="88"/>
  <c r="V78" i="88"/>
  <c r="V57" i="88"/>
  <c r="V45" i="88"/>
  <c r="V37" i="88"/>
  <c r="V17" i="88"/>
  <c r="V64" i="88"/>
  <c r="V56" i="88"/>
  <c r="V48" i="88"/>
  <c r="V36" i="88"/>
  <c r="V32" i="88"/>
  <c r="V72" i="88"/>
  <c r="V47" i="88"/>
  <c r="V39" i="88"/>
  <c r="V31" i="88"/>
  <c r="V27" i="88"/>
  <c r="V23" i="88"/>
  <c r="V68" i="88"/>
  <c r="V58" i="88"/>
  <c r="V50" i="88"/>
  <c r="V38" i="88"/>
  <c r="V22" i="88"/>
  <c r="V20" i="88"/>
  <c r="V18" i="88"/>
  <c r="V65" i="88"/>
  <c r="V49" i="88"/>
  <c r="V41" i="88"/>
  <c r="V33" i="88"/>
  <c r="T20" i="88"/>
  <c r="V52" i="88"/>
  <c r="V40" i="88"/>
  <c r="V28" i="88"/>
  <c r="V24" i="88"/>
  <c r="V82" i="88"/>
  <c r="V75" i="88"/>
  <c r="V74" i="88"/>
  <c r="V59" i="88"/>
  <c r="V51" i="88"/>
  <c r="V43" i="88"/>
  <c r="V69" i="88"/>
  <c r="V66" i="88"/>
  <c r="V42" i="88"/>
  <c r="V34" i="88"/>
  <c r="V60" i="88"/>
  <c r="V76" i="88"/>
  <c r="V71" i="88"/>
  <c r="V70" i="88"/>
  <c r="V67" i="88"/>
  <c r="V62" i="88"/>
  <c r="V54" i="88"/>
  <c r="V46" i="88"/>
  <c r="V30" i="88"/>
  <c r="V26" i="88"/>
  <c r="V44" i="88"/>
  <c r="V61" i="88"/>
  <c r="V55" i="88"/>
  <c r="V53" i="88"/>
  <c r="V25" i="88"/>
  <c r="V63" i="88"/>
  <c r="V16" i="88"/>
  <c r="V29" i="88"/>
  <c r="V35" i="88"/>
  <c r="L54" i="71"/>
  <c r="D110" i="71"/>
  <c r="D71" i="70"/>
  <c r="N16" i="68"/>
  <c r="H52" i="68"/>
  <c r="H62" i="59"/>
  <c r="N16" i="59"/>
  <c r="P71" i="58"/>
  <c r="X67" i="58"/>
  <c r="P126" i="39"/>
  <c r="X35" i="39"/>
  <c r="V125" i="30"/>
  <c r="V113" i="30"/>
  <c r="V105" i="30"/>
  <c r="V93" i="30"/>
  <c r="V81" i="30"/>
  <c r="V77" i="30"/>
  <c r="T64" i="30"/>
  <c r="V127" i="30"/>
  <c r="V107" i="30"/>
  <c r="V95" i="30"/>
  <c r="V83" i="30"/>
  <c r="V59" i="30"/>
  <c r="V55" i="30"/>
  <c r="V51" i="30"/>
  <c r="V47" i="30"/>
  <c r="V43" i="30"/>
  <c r="V130" i="30"/>
  <c r="V114" i="30"/>
  <c r="V98" i="30"/>
  <c r="V86" i="30"/>
  <c r="V78" i="30"/>
  <c r="V129" i="30"/>
  <c r="V121" i="30"/>
  <c r="V109" i="30"/>
  <c r="V97" i="30"/>
  <c r="V85" i="30"/>
  <c r="V73" i="30"/>
  <c r="V69" i="30"/>
  <c r="V134" i="30"/>
  <c r="V116" i="30"/>
  <c r="V108" i="30"/>
  <c r="V100" i="30"/>
  <c r="V88" i="30"/>
  <c r="V60" i="30"/>
  <c r="V56" i="30"/>
  <c r="V133" i="30"/>
  <c r="V131" i="30"/>
  <c r="V115" i="30"/>
  <c r="V99" i="30"/>
  <c r="V87" i="30"/>
  <c r="V79" i="30"/>
  <c r="V122" i="30"/>
  <c r="V118" i="30"/>
  <c r="V110" i="30"/>
  <c r="V102" i="30"/>
  <c r="V90" i="30"/>
  <c r="V74" i="30"/>
  <c r="V70" i="30"/>
  <c r="V138" i="30"/>
  <c r="V124" i="30"/>
  <c r="V112" i="30"/>
  <c r="V104" i="30"/>
  <c r="V92" i="30"/>
  <c r="V80" i="30"/>
  <c r="V76" i="30"/>
  <c r="Z12" i="30"/>
  <c r="V126" i="30"/>
  <c r="V106" i="30"/>
  <c r="V94" i="30"/>
  <c r="V82" i="30"/>
  <c r="V66" i="30"/>
  <c r="V64" i="30"/>
  <c r="V62" i="30"/>
  <c r="V58" i="30"/>
  <c r="V54" i="30"/>
  <c r="V50" i="30"/>
  <c r="V46" i="30"/>
  <c r="V42" i="30"/>
  <c r="V123" i="30"/>
  <c r="V67" i="30"/>
  <c r="V53" i="30"/>
  <c r="V48" i="30"/>
  <c r="V96" i="30"/>
  <c r="V84" i="30"/>
  <c r="V45" i="30"/>
  <c r="V120" i="30"/>
  <c r="V71" i="30"/>
  <c r="V57" i="30"/>
  <c r="V128" i="30"/>
  <c r="V52" i="30"/>
  <c r="V49" i="30"/>
  <c r="V117" i="30"/>
  <c r="V101" i="30"/>
  <c r="V91" i="30"/>
  <c r="V61" i="30"/>
  <c r="V44" i="30"/>
  <c r="V72" i="30"/>
  <c r="V68" i="30"/>
  <c r="V111" i="30"/>
  <c r="V41" i="30"/>
  <c r="V75" i="30"/>
  <c r="V103" i="30"/>
  <c r="V119" i="30"/>
  <c r="V89" i="30"/>
  <c r="X148" i="15"/>
  <c r="P244" i="15"/>
  <c r="D22" i="6"/>
  <c r="L16" i="6"/>
  <c r="H254" i="12"/>
  <c r="H27" i="53"/>
  <c r="N18" i="53"/>
  <c r="H27" i="46"/>
  <c r="N18" i="46"/>
  <c r="Z18" i="44"/>
  <c r="T27" i="44"/>
  <c r="T27" i="40"/>
  <c r="Z18" i="40"/>
  <c r="T27" i="35"/>
  <c r="Z18" i="35"/>
  <c r="H27" i="31"/>
  <c r="N18" i="31"/>
  <c r="T27" i="25"/>
  <c r="Z18" i="25"/>
  <c r="X18" i="25"/>
  <c r="P27" i="25"/>
  <c r="T27" i="23"/>
  <c r="Z18" i="23"/>
  <c r="T27" i="32"/>
  <c r="Z18" i="32"/>
  <c r="T27" i="16"/>
  <c r="Z18" i="16"/>
  <c r="L18" i="11"/>
  <c r="D27" i="11"/>
  <c r="H27" i="16"/>
  <c r="N18" i="16"/>
  <c r="H73" i="95"/>
  <c r="V55" i="94"/>
  <c r="V47" i="94"/>
  <c r="V31" i="94"/>
  <c r="V27" i="94"/>
  <c r="V23" i="94"/>
  <c r="V50" i="94"/>
  <c r="V38" i="94"/>
  <c r="V22" i="94"/>
  <c r="V18" i="94"/>
  <c r="V57" i="94"/>
  <c r="V49" i="94"/>
  <c r="V37" i="94"/>
  <c r="V33" i="94"/>
  <c r="T20" i="94"/>
  <c r="V20" i="94" s="1"/>
  <c r="V56" i="94"/>
  <c r="V52" i="94"/>
  <c r="V40" i="94"/>
  <c r="V28" i="94"/>
  <c r="V24" i="94"/>
  <c r="V61" i="94"/>
  <c r="V51" i="94"/>
  <c r="V39" i="94"/>
  <c r="V60" i="94"/>
  <c r="V58" i="94"/>
  <c r="V42" i="94"/>
  <c r="V34" i="94"/>
  <c r="V53" i="94"/>
  <c r="V41" i="94"/>
  <c r="V29" i="94"/>
  <c r="V25" i="94"/>
  <c r="V44" i="94"/>
  <c r="V16" i="94"/>
  <c r="V43" i="94"/>
  <c r="V35" i="94"/>
  <c r="V48" i="94"/>
  <c r="V36" i="94"/>
  <c r="V32" i="94"/>
  <c r="V26" i="94"/>
  <c r="V54" i="94"/>
  <c r="V45" i="94"/>
  <c r="V30" i="94"/>
  <c r="V46" i="94"/>
  <c r="V65" i="94"/>
  <c r="V17" i="94"/>
  <c r="X20" i="84"/>
  <c r="P77" i="84"/>
  <c r="P111" i="85"/>
  <c r="X52" i="85"/>
  <c r="T29" i="83"/>
  <c r="L16" i="68"/>
  <c r="D52" i="68"/>
  <c r="T126" i="39"/>
  <c r="Z35" i="39"/>
  <c r="F86" i="42"/>
  <c r="F82" i="42"/>
  <c r="F81" i="42"/>
  <c r="F38" i="42"/>
  <c r="F34" i="42"/>
  <c r="F105" i="42"/>
  <c r="F97" i="42"/>
  <c r="F93" i="42"/>
  <c r="F65" i="42"/>
  <c r="F57" i="42"/>
  <c r="F25" i="42"/>
  <c r="F24" i="42"/>
  <c r="F88" i="42"/>
  <c r="F87" i="42"/>
  <c r="F76" i="42"/>
  <c r="F48" i="42"/>
  <c r="F44" i="42"/>
  <c r="L12" i="42"/>
  <c r="N12" i="42" s="1"/>
  <c r="F112" i="42"/>
  <c r="F107" i="42"/>
  <c r="F106" i="42"/>
  <c r="F99" i="42"/>
  <c r="F98" i="42"/>
  <c r="F83" i="42"/>
  <c r="F67" i="42"/>
  <c r="F66" i="42"/>
  <c r="F39" i="42"/>
  <c r="F35" i="42"/>
  <c r="F116" i="42"/>
  <c r="F111" i="42"/>
  <c r="F94" i="42"/>
  <c r="F90" i="42"/>
  <c r="F89" i="42"/>
  <c r="F110" i="42"/>
  <c r="F101" i="42"/>
  <c r="F100" i="42"/>
  <c r="F77" i="42"/>
  <c r="F69" i="42"/>
  <c r="F68" i="42"/>
  <c r="F45" i="42"/>
  <c r="F109" i="42"/>
  <c r="F84" i="42"/>
  <c r="F60" i="42"/>
  <c r="F59" i="42"/>
  <c r="F52" i="42"/>
  <c r="F51" i="42"/>
  <c r="F40" i="42"/>
  <c r="F36" i="42"/>
  <c r="F32" i="42"/>
  <c r="F31" i="42"/>
  <c r="F103" i="42"/>
  <c r="F102" i="42"/>
  <c r="F95" i="42"/>
  <c r="F91" i="42"/>
  <c r="F79" i="42"/>
  <c r="F78" i="42"/>
  <c r="F71" i="42"/>
  <c r="F70" i="42"/>
  <c r="F30" i="42"/>
  <c r="F85" i="42"/>
  <c r="F73" i="42"/>
  <c r="F72" i="42"/>
  <c r="F37" i="42"/>
  <c r="F33" i="42"/>
  <c r="F75" i="42"/>
  <c r="F74" i="42"/>
  <c r="F47" i="42"/>
  <c r="F43" i="42"/>
  <c r="F63" i="42"/>
  <c r="F42" i="42"/>
  <c r="D28" i="42"/>
  <c r="F50" i="42"/>
  <c r="F46" i="42"/>
  <c r="F80" i="42"/>
  <c r="F55" i="42"/>
  <c r="F26" i="42"/>
  <c r="F96" i="42"/>
  <c r="F61" i="42"/>
  <c r="F64" i="42"/>
  <c r="F62" i="42"/>
  <c r="F53" i="42"/>
  <c r="F41" i="42"/>
  <c r="F104" i="42"/>
  <c r="F92" i="42"/>
  <c r="F56" i="42"/>
  <c r="F58" i="42"/>
  <c r="F49" i="42"/>
  <c r="F54" i="42"/>
  <c r="T22" i="6"/>
  <c r="Z16" i="6"/>
  <c r="P27" i="113"/>
  <c r="X18" i="113"/>
  <c r="L18" i="49"/>
  <c r="D27" i="49"/>
  <c r="P27" i="50"/>
  <c r="X18" i="50"/>
  <c r="D86" i="92"/>
  <c r="H71" i="81"/>
  <c r="D92" i="77"/>
  <c r="X48" i="75"/>
  <c r="P100" i="75"/>
  <c r="H71" i="73"/>
  <c r="N16" i="64"/>
  <c r="H91" i="64"/>
  <c r="T293" i="3"/>
  <c r="T27" i="52"/>
  <c r="Z18" i="52"/>
  <c r="X18" i="47"/>
  <c r="P27" i="47"/>
  <c r="D27" i="35"/>
  <c r="L18" i="35"/>
  <c r="Z18" i="28"/>
  <c r="T27" i="28"/>
  <c r="D27" i="29"/>
  <c r="L18" i="29"/>
  <c r="L18" i="19"/>
  <c r="D27" i="19"/>
  <c r="T27" i="19"/>
  <c r="Z18" i="19"/>
  <c r="X18" i="14"/>
  <c r="P27" i="14"/>
  <c r="P27" i="20"/>
  <c r="X18" i="20"/>
  <c r="H27" i="4"/>
  <c r="N18" i="4"/>
  <c r="R76" i="106"/>
  <c r="R75" i="106"/>
  <c r="R64" i="106"/>
  <c r="R63" i="106"/>
  <c r="R77" i="106"/>
  <c r="R83" i="106"/>
  <c r="R61" i="106"/>
  <c r="R34" i="106"/>
  <c r="R33" i="106"/>
  <c r="R29" i="106"/>
  <c r="R25" i="106"/>
  <c r="P21" i="106"/>
  <c r="R21" i="106" s="1"/>
  <c r="R69" i="106"/>
  <c r="R66" i="106"/>
  <c r="R49" i="106"/>
  <c r="R48" i="106"/>
  <c r="R73" i="106"/>
  <c r="R59" i="106"/>
  <c r="R39" i="106"/>
  <c r="R35" i="106"/>
  <c r="R60" i="106"/>
  <c r="R51" i="106"/>
  <c r="R50" i="106"/>
  <c r="R30" i="106"/>
  <c r="R26" i="106"/>
  <c r="R70" i="106"/>
  <c r="R74" i="106"/>
  <c r="R67" i="106"/>
  <c r="R53" i="106"/>
  <c r="R52" i="106"/>
  <c r="R41" i="106"/>
  <c r="R40" i="106"/>
  <c r="R36" i="106"/>
  <c r="R17" i="106"/>
  <c r="X12" i="106"/>
  <c r="Z12" i="106" s="1"/>
  <c r="R31" i="106"/>
  <c r="R27" i="106"/>
  <c r="R55" i="106"/>
  <c r="R54" i="106"/>
  <c r="R43" i="106"/>
  <c r="R42" i="106"/>
  <c r="R18" i="106"/>
  <c r="R71" i="106"/>
  <c r="R37" i="106"/>
  <c r="R68" i="106"/>
  <c r="R65" i="106"/>
  <c r="R57" i="106"/>
  <c r="R56" i="106"/>
  <c r="R45" i="106"/>
  <c r="R44" i="106"/>
  <c r="R32" i="106"/>
  <c r="R28" i="106"/>
  <c r="R79" i="106"/>
  <c r="R62" i="106"/>
  <c r="R58" i="106"/>
  <c r="R47" i="106"/>
  <c r="R46" i="106"/>
  <c r="R38" i="106"/>
  <c r="R23" i="106"/>
  <c r="R19" i="106"/>
  <c r="R72" i="106"/>
  <c r="R24" i="106"/>
  <c r="Z16" i="103"/>
  <c r="T46" i="103"/>
  <c r="J68" i="102"/>
  <c r="J69" i="102"/>
  <c r="J63" i="102"/>
  <c r="J57" i="102"/>
  <c r="J71" i="102"/>
  <c r="J47" i="102"/>
  <c r="J37" i="102"/>
  <c r="J72" i="102"/>
  <c r="J64" i="102"/>
  <c r="J48" i="102"/>
  <c r="J32" i="102"/>
  <c r="J28" i="102"/>
  <c r="J75" i="102"/>
  <c r="J59" i="102"/>
  <c r="J49" i="102"/>
  <c r="J79" i="102"/>
  <c r="J65" i="102"/>
  <c r="J61" i="102"/>
  <c r="J53" i="102"/>
  <c r="J41" i="102"/>
  <c r="J35" i="102"/>
  <c r="J67" i="102"/>
  <c r="J56" i="102"/>
  <c r="J54" i="102"/>
  <c r="J40" i="102"/>
  <c r="J31" i="102"/>
  <c r="J51" i="102"/>
  <c r="J19" i="102"/>
  <c r="J44" i="102"/>
  <c r="J62" i="102"/>
  <c r="J60" i="102"/>
  <c r="J29" i="102"/>
  <c r="J26" i="102"/>
  <c r="J55" i="102"/>
  <c r="J70" i="102"/>
  <c r="J66" i="102"/>
  <c r="J52" i="102"/>
  <c r="J45" i="102"/>
  <c r="J38" i="102"/>
  <c r="J33" i="102"/>
  <c r="H21" i="102"/>
  <c r="J21" i="102" s="1"/>
  <c r="J42" i="102"/>
  <c r="J36" i="102"/>
  <c r="J27" i="102"/>
  <c r="J17" i="102"/>
  <c r="J58" i="102"/>
  <c r="J39" i="102"/>
  <c r="J30" i="102"/>
  <c r="J24" i="102"/>
  <c r="J23" i="102"/>
  <c r="J50" i="102"/>
  <c r="J34" i="102"/>
  <c r="J25" i="102"/>
  <c r="J18" i="102"/>
  <c r="J43" i="102"/>
  <c r="J74" i="102"/>
  <c r="J46" i="102"/>
  <c r="X54" i="101"/>
  <c r="P43" i="100"/>
  <c r="X17" i="100"/>
  <c r="H80" i="98"/>
  <c r="J76" i="98"/>
  <c r="V71" i="98"/>
  <c r="V70" i="98"/>
  <c r="V78" i="98"/>
  <c r="V52" i="98"/>
  <c r="V40" i="98"/>
  <c r="V65" i="98"/>
  <c r="V59" i="98"/>
  <c r="V51" i="98"/>
  <c r="V43" i="98"/>
  <c r="V35" i="98"/>
  <c r="V72" i="98"/>
  <c r="V42" i="98"/>
  <c r="V30" i="98"/>
  <c r="V26" i="98"/>
  <c r="V74" i="98"/>
  <c r="V68" i="98"/>
  <c r="V61" i="98"/>
  <c r="V53" i="98"/>
  <c r="V45" i="98"/>
  <c r="V69" i="98"/>
  <c r="V60" i="98"/>
  <c r="V63" i="98"/>
  <c r="V55" i="98"/>
  <c r="V31" i="98"/>
  <c r="V27" i="98"/>
  <c r="V23" i="98"/>
  <c r="V66" i="98"/>
  <c r="V62" i="98"/>
  <c r="V54" i="98"/>
  <c r="V46" i="98"/>
  <c r="V57" i="98"/>
  <c r="V37" i="98"/>
  <c r="V33" i="98"/>
  <c r="T20" i="98"/>
  <c r="V20" i="98" s="1"/>
  <c r="V56" i="98"/>
  <c r="V48" i="98"/>
  <c r="V28" i="98"/>
  <c r="V24" i="98"/>
  <c r="V49" i="98"/>
  <c r="V41" i="98"/>
  <c r="V29" i="98"/>
  <c r="V25" i="98"/>
  <c r="V44" i="98"/>
  <c r="V34" i="98"/>
  <c r="V36" i="98"/>
  <c r="V17" i="98"/>
  <c r="V38" i="98"/>
  <c r="V22" i="98"/>
  <c r="V50" i="98"/>
  <c r="V47" i="98"/>
  <c r="V39" i="98"/>
  <c r="V16" i="98"/>
  <c r="V64" i="98"/>
  <c r="V32" i="98"/>
  <c r="V18" i="98"/>
  <c r="V58" i="98"/>
  <c r="V67" i="98"/>
  <c r="D68" i="89"/>
  <c r="L20" i="89"/>
  <c r="D111" i="85"/>
  <c r="T71" i="81"/>
  <c r="D71" i="81"/>
  <c r="L20" i="81"/>
  <c r="N20" i="81" s="1"/>
  <c r="T92" i="77"/>
  <c r="V49" i="77"/>
  <c r="J107" i="71"/>
  <c r="J89" i="71"/>
  <c r="J79" i="71"/>
  <c r="J71" i="71"/>
  <c r="J57" i="71"/>
  <c r="J112" i="71"/>
  <c r="J106" i="71"/>
  <c r="J90" i="71"/>
  <c r="J80" i="71"/>
  <c r="J66" i="71"/>
  <c r="J62" i="71"/>
  <c r="J58" i="71"/>
  <c r="J56" i="71"/>
  <c r="J54" i="71"/>
  <c r="J97" i="71"/>
  <c r="J81" i="71"/>
  <c r="J67" i="71"/>
  <c r="H54" i="71"/>
  <c r="J49" i="71"/>
  <c r="J45" i="71"/>
  <c r="J41" i="71"/>
  <c r="J98" i="71"/>
  <c r="J82" i="71"/>
  <c r="J72" i="71"/>
  <c r="J68" i="71"/>
  <c r="N12" i="71"/>
  <c r="J99" i="71"/>
  <c r="J91" i="71"/>
  <c r="J83" i="71"/>
  <c r="J73" i="71"/>
  <c r="J63" i="71"/>
  <c r="J59" i="71"/>
  <c r="J37" i="71"/>
  <c r="J92" i="71"/>
  <c r="J74" i="71"/>
  <c r="J50" i="71"/>
  <c r="J46" i="71"/>
  <c r="J42" i="71"/>
  <c r="J38" i="71"/>
  <c r="J93" i="71"/>
  <c r="J75" i="71"/>
  <c r="J69" i="71"/>
  <c r="J100" i="71"/>
  <c r="J94" i="71"/>
  <c r="J84" i="71"/>
  <c r="J76" i="71"/>
  <c r="J64" i="71"/>
  <c r="J60" i="71"/>
  <c r="J101" i="71"/>
  <c r="J95" i="71"/>
  <c r="J85" i="71"/>
  <c r="J51" i="71"/>
  <c r="J47" i="71"/>
  <c r="J43" i="71"/>
  <c r="J39" i="71"/>
  <c r="J102" i="71"/>
  <c r="J86" i="71"/>
  <c r="J70" i="71"/>
  <c r="J108" i="71"/>
  <c r="J104" i="71"/>
  <c r="J96" i="71"/>
  <c r="J88" i="71"/>
  <c r="J78" i="71"/>
  <c r="J52" i="71"/>
  <c r="J48" i="71"/>
  <c r="J44" i="71"/>
  <c r="J40" i="71"/>
  <c r="J77" i="71"/>
  <c r="J65" i="71"/>
  <c r="J87" i="71"/>
  <c r="J103" i="71"/>
  <c r="J61" i="71"/>
  <c r="R63" i="74"/>
  <c r="R71" i="74"/>
  <c r="R70" i="74"/>
  <c r="R58" i="74"/>
  <c r="R83" i="74"/>
  <c r="R54" i="74"/>
  <c r="R49" i="74"/>
  <c r="R45" i="74"/>
  <c r="R41" i="74"/>
  <c r="R73" i="74"/>
  <c r="R72" i="74"/>
  <c r="R64" i="74"/>
  <c r="R53" i="74"/>
  <c r="R51" i="74"/>
  <c r="X12" i="74"/>
  <c r="Z12" i="74" s="1"/>
  <c r="R59" i="74"/>
  <c r="R55" i="74"/>
  <c r="P51" i="74"/>
  <c r="R74" i="74"/>
  <c r="R66" i="74"/>
  <c r="R65" i="74"/>
  <c r="R60" i="74"/>
  <c r="R56" i="74"/>
  <c r="R77" i="74"/>
  <c r="R69" i="74"/>
  <c r="R62" i="74"/>
  <c r="R61" i="74"/>
  <c r="R57" i="74"/>
  <c r="R79" i="74"/>
  <c r="R48" i="74"/>
  <c r="R44" i="74"/>
  <c r="R40" i="74"/>
  <c r="R36" i="74"/>
  <c r="R75" i="74"/>
  <c r="R42" i="74"/>
  <c r="R46" i="74"/>
  <c r="R76" i="74"/>
  <c r="R67" i="74"/>
  <c r="R39" i="74"/>
  <c r="R43" i="74"/>
  <c r="R37" i="74"/>
  <c r="R47" i="74"/>
  <c r="R35" i="74"/>
  <c r="R38" i="74"/>
  <c r="R68" i="74"/>
  <c r="R24" i="73"/>
  <c r="J93" i="69"/>
  <c r="J83" i="69"/>
  <c r="J69" i="69"/>
  <c r="J65" i="69"/>
  <c r="J95" i="69"/>
  <c r="J86" i="69"/>
  <c r="J76" i="69"/>
  <c r="J70" i="69"/>
  <c r="J66" i="69"/>
  <c r="J88" i="69"/>
  <c r="J101" i="69"/>
  <c r="J90" i="69"/>
  <c r="J80" i="69"/>
  <c r="J72" i="69"/>
  <c r="J58" i="69"/>
  <c r="J54" i="69"/>
  <c r="J50" i="69"/>
  <c r="J46" i="69"/>
  <c r="J81" i="69"/>
  <c r="J73" i="69"/>
  <c r="J63" i="69"/>
  <c r="J68" i="69"/>
  <c r="J64" i="69"/>
  <c r="J62" i="69"/>
  <c r="J92" i="69"/>
  <c r="J82" i="69"/>
  <c r="J74" i="69"/>
  <c r="J85" i="69"/>
  <c r="J51" i="69"/>
  <c r="H60" i="69"/>
  <c r="J60" i="69" s="1"/>
  <c r="J49" i="69"/>
  <c r="J44" i="69"/>
  <c r="J77" i="69"/>
  <c r="J57" i="69"/>
  <c r="J52" i="69"/>
  <c r="J41" i="69"/>
  <c r="J91" i="69"/>
  <c r="J47" i="69"/>
  <c r="J97" i="69"/>
  <c r="J94" i="69"/>
  <c r="J89" i="69"/>
  <c r="J78" i="69"/>
  <c r="J75" i="69"/>
  <c r="J42" i="69"/>
  <c r="J71" i="69"/>
  <c r="J67" i="69"/>
  <c r="J55" i="69"/>
  <c r="J45" i="69"/>
  <c r="J53" i="69"/>
  <c r="J48" i="69"/>
  <c r="J84" i="69"/>
  <c r="J79" i="69"/>
  <c r="J56" i="69"/>
  <c r="J43" i="69"/>
  <c r="J87" i="69"/>
  <c r="T30" i="55"/>
  <c r="Z16" i="55"/>
  <c r="R97" i="69"/>
  <c r="R87" i="69"/>
  <c r="R86" i="69"/>
  <c r="R70" i="69"/>
  <c r="R66" i="69"/>
  <c r="R89" i="69"/>
  <c r="R88" i="69"/>
  <c r="R101" i="69"/>
  <c r="R80" i="69"/>
  <c r="R79" i="69"/>
  <c r="R72" i="69"/>
  <c r="R71" i="69"/>
  <c r="R67" i="69"/>
  <c r="R92" i="69"/>
  <c r="R91" i="69"/>
  <c r="R55" i="69"/>
  <c r="R51" i="69"/>
  <c r="R47" i="69"/>
  <c r="R83" i="69"/>
  <c r="R82" i="69"/>
  <c r="R74" i="69"/>
  <c r="R94" i="69"/>
  <c r="R93" i="69"/>
  <c r="R69" i="69"/>
  <c r="R65" i="69"/>
  <c r="R95" i="69"/>
  <c r="R76" i="69"/>
  <c r="R75" i="69"/>
  <c r="R77" i="69"/>
  <c r="R44" i="69"/>
  <c r="R41" i="69"/>
  <c r="P60" i="69"/>
  <c r="R57" i="69"/>
  <c r="R52" i="69"/>
  <c r="R78" i="69"/>
  <c r="R73" i="69"/>
  <c r="R42" i="69"/>
  <c r="R50" i="69"/>
  <c r="R45" i="69"/>
  <c r="R62" i="69"/>
  <c r="X12" i="69"/>
  <c r="Z12" i="69" s="1"/>
  <c r="R63" i="69"/>
  <c r="R58" i="69"/>
  <c r="R53" i="69"/>
  <c r="R84" i="69"/>
  <c r="R81" i="69"/>
  <c r="R48" i="69"/>
  <c r="R90" i="69"/>
  <c r="R85" i="69"/>
  <c r="R56" i="69"/>
  <c r="R46" i="69"/>
  <c r="R68" i="69"/>
  <c r="R64" i="69"/>
  <c r="R54" i="69"/>
  <c r="R49" i="69"/>
  <c r="R43" i="69"/>
  <c r="H47" i="60"/>
  <c r="N16" i="60"/>
  <c r="D47" i="60"/>
  <c r="L16" i="60"/>
  <c r="X16" i="55"/>
  <c r="H34" i="55"/>
  <c r="D22" i="54"/>
  <c r="L16" i="54"/>
  <c r="J84" i="45"/>
  <c r="J76" i="45"/>
  <c r="J72" i="45"/>
  <c r="J66" i="45"/>
  <c r="J56" i="45"/>
  <c r="J44" i="45"/>
  <c r="J40" i="45"/>
  <c r="J86" i="45"/>
  <c r="J58" i="45"/>
  <c r="J46" i="45"/>
  <c r="J22" i="45"/>
  <c r="J77" i="45"/>
  <c r="J73" i="45"/>
  <c r="J59" i="45"/>
  <c r="J47" i="45"/>
  <c r="J41" i="45"/>
  <c r="J27" i="45"/>
  <c r="J90" i="45"/>
  <c r="J78" i="45"/>
  <c r="J68" i="45"/>
  <c r="J60" i="45"/>
  <c r="J48" i="45"/>
  <c r="J36" i="45"/>
  <c r="J32" i="45"/>
  <c r="J28" i="45"/>
  <c r="J26" i="45"/>
  <c r="J24" i="45"/>
  <c r="J79" i="45"/>
  <c r="J61" i="45"/>
  <c r="J49" i="45"/>
  <c r="J37" i="45"/>
  <c r="H24" i="45"/>
  <c r="J80" i="45"/>
  <c r="J74" i="45"/>
  <c r="J62" i="45"/>
  <c r="J50" i="45"/>
  <c r="J42" i="45"/>
  <c r="J38" i="45"/>
  <c r="J81" i="45"/>
  <c r="J69" i="45"/>
  <c r="J63" i="45"/>
  <c r="J51" i="45"/>
  <c r="J33" i="45"/>
  <c r="J29" i="45"/>
  <c r="J82" i="45"/>
  <c r="J70" i="45"/>
  <c r="J64" i="45"/>
  <c r="J52" i="45"/>
  <c r="J65" i="45"/>
  <c r="J55" i="45"/>
  <c r="J21" i="45"/>
  <c r="J57" i="45"/>
  <c r="J31" i="45"/>
  <c r="J39" i="45"/>
  <c r="J53" i="45"/>
  <c r="J45" i="45"/>
  <c r="J35" i="45"/>
  <c r="J20" i="45"/>
  <c r="J71" i="45"/>
  <c r="J67" i="45"/>
  <c r="J43" i="45"/>
  <c r="J30" i="45"/>
  <c r="J83" i="45"/>
  <c r="J34" i="45"/>
  <c r="J75" i="45"/>
  <c r="J54" i="45"/>
  <c r="H114" i="42"/>
  <c r="X109" i="42"/>
  <c r="X64" i="30"/>
  <c r="P136" i="30"/>
  <c r="H100" i="21"/>
  <c r="F246" i="15"/>
  <c r="F241" i="15"/>
  <c r="F224" i="15"/>
  <c r="F223" i="15"/>
  <c r="F212" i="15"/>
  <c r="F180" i="15"/>
  <c r="F172" i="15"/>
  <c r="F171" i="15"/>
  <c r="F160" i="15"/>
  <c r="F156" i="15"/>
  <c r="F152" i="15"/>
  <c r="F151" i="15"/>
  <c r="F239" i="15"/>
  <c r="F214" i="15"/>
  <c r="F213" i="15"/>
  <c r="F202" i="15"/>
  <c r="F182" i="15"/>
  <c r="F181" i="15"/>
  <c r="F174" i="15"/>
  <c r="F173" i="15"/>
  <c r="F166" i="15"/>
  <c r="F162" i="15"/>
  <c r="F161" i="15"/>
  <c r="D148" i="15"/>
  <c r="F238" i="15"/>
  <c r="F233" i="15"/>
  <c r="F232" i="15"/>
  <c r="F225" i="15"/>
  <c r="F209" i="15"/>
  <c r="F208" i="15"/>
  <c r="F193" i="15"/>
  <c r="F192" i="15"/>
  <c r="F157" i="15"/>
  <c r="F153" i="15"/>
  <c r="F237" i="15"/>
  <c r="F220" i="15"/>
  <c r="F184" i="15"/>
  <c r="F183" i="15"/>
  <c r="F176" i="15"/>
  <c r="F175" i="15"/>
  <c r="F144" i="15"/>
  <c r="F140" i="15"/>
  <c r="F136" i="15"/>
  <c r="F132" i="15"/>
  <c r="F128" i="15"/>
  <c r="F124" i="15"/>
  <c r="F120" i="15"/>
  <c r="F116" i="15"/>
  <c r="F112" i="15"/>
  <c r="F108" i="15"/>
  <c r="F104" i="15"/>
  <c r="F100" i="15"/>
  <c r="F236" i="15"/>
  <c r="F227" i="15"/>
  <c r="F226" i="15"/>
  <c r="F215" i="15"/>
  <c r="F203" i="15"/>
  <c r="F195" i="15"/>
  <c r="F194" i="15"/>
  <c r="F167" i="15"/>
  <c r="F163" i="15"/>
  <c r="F235" i="15"/>
  <c r="F210" i="15"/>
  <c r="F186" i="15"/>
  <c r="F185" i="15"/>
  <c r="F158" i="15"/>
  <c r="F154" i="15"/>
  <c r="F229" i="15"/>
  <c r="F228" i="15"/>
  <c r="F221" i="15"/>
  <c r="F217" i="15"/>
  <c r="F216" i="15"/>
  <c r="F205" i="15"/>
  <c r="F204" i="15"/>
  <c r="F197" i="15"/>
  <c r="F196" i="15"/>
  <c r="F177" i="15"/>
  <c r="F145" i="15"/>
  <c r="F141" i="15"/>
  <c r="F137" i="15"/>
  <c r="F133" i="15"/>
  <c r="F129" i="15"/>
  <c r="F125" i="15"/>
  <c r="F121" i="15"/>
  <c r="F117" i="15"/>
  <c r="F113" i="15"/>
  <c r="F109" i="15"/>
  <c r="F105" i="15"/>
  <c r="F101" i="15"/>
  <c r="F188" i="15"/>
  <c r="F187" i="15"/>
  <c r="F168" i="15"/>
  <c r="F164" i="15"/>
  <c r="L12" i="15"/>
  <c r="N12" i="15" s="1"/>
  <c r="F211" i="15"/>
  <c r="F199" i="15"/>
  <c r="F198" i="15"/>
  <c r="F179" i="15"/>
  <c r="F178" i="15"/>
  <c r="F159" i="15"/>
  <c r="F155" i="15"/>
  <c r="F242" i="15"/>
  <c r="F201" i="15"/>
  <c r="F200" i="15"/>
  <c r="F189" i="15"/>
  <c r="F165" i="15"/>
  <c r="F206" i="15"/>
  <c r="F106" i="15"/>
  <c r="F169" i="15"/>
  <c r="F103" i="15"/>
  <c r="F98" i="15"/>
  <c r="F191" i="15"/>
  <c r="F114" i="15"/>
  <c r="F146" i="15"/>
  <c r="F130" i="15"/>
  <c r="F122" i="15"/>
  <c r="F111" i="15"/>
  <c r="F231" i="15"/>
  <c r="F219" i="15"/>
  <c r="F143" i="15"/>
  <c r="F138" i="15"/>
  <c r="F135" i="15"/>
  <c r="F127" i="15"/>
  <c r="F102" i="15"/>
  <c r="F170" i="15"/>
  <c r="F110" i="15"/>
  <c r="F99" i="15"/>
  <c r="F240" i="15"/>
  <c r="F207" i="15"/>
  <c r="F190" i="15"/>
  <c r="F150" i="15"/>
  <c r="F118" i="15"/>
  <c r="F107" i="15"/>
  <c r="F142" i="15"/>
  <c r="F218" i="15"/>
  <c r="F148" i="15"/>
  <c r="F139" i="15"/>
  <c r="F131" i="15"/>
  <c r="F123" i="15"/>
  <c r="F115" i="15"/>
  <c r="F230" i="15"/>
  <c r="F126" i="15"/>
  <c r="F222" i="15"/>
  <c r="F134" i="15"/>
  <c r="F119" i="15"/>
  <c r="P100" i="21"/>
  <c r="T27" i="113"/>
  <c r="Z18" i="113"/>
  <c r="X18" i="112"/>
  <c r="P27" i="112"/>
  <c r="D27" i="52"/>
  <c r="L18" i="52"/>
  <c r="D27" i="44"/>
  <c r="L18" i="44"/>
  <c r="T27" i="47"/>
  <c r="Z18" i="47"/>
  <c r="P27" i="44"/>
  <c r="X18" i="44"/>
  <c r="H27" i="41"/>
  <c r="N18" i="41"/>
  <c r="T27" i="37"/>
  <c r="Z18" i="37"/>
  <c r="L18" i="34"/>
  <c r="D27" i="34"/>
  <c r="H27" i="35"/>
  <c r="N18" i="35"/>
  <c r="N18" i="23"/>
  <c r="H27" i="23"/>
  <c r="T27" i="20"/>
  <c r="Z18" i="20"/>
  <c r="L18" i="7"/>
  <c r="D27" i="7"/>
  <c r="T27" i="4"/>
  <c r="Z18" i="4"/>
  <c r="X18" i="4"/>
  <c r="P27" i="4"/>
  <c r="D46" i="105"/>
  <c r="L20" i="105"/>
  <c r="D61" i="110"/>
  <c r="L17" i="110"/>
  <c r="N17" i="110" s="1"/>
  <c r="F17" i="110"/>
  <c r="H27" i="113"/>
  <c r="N18" i="113"/>
  <c r="H27" i="38"/>
  <c r="N18" i="38"/>
  <c r="X18" i="17"/>
  <c r="P27" i="17"/>
  <c r="L21" i="108"/>
  <c r="N21" i="108" s="1"/>
  <c r="D80" i="108"/>
  <c r="Z16" i="107"/>
  <c r="T24" i="107"/>
  <c r="J80" i="108"/>
  <c r="V74" i="102"/>
  <c r="V72" i="102"/>
  <c r="V59" i="102"/>
  <c r="V79" i="102"/>
  <c r="V65" i="102"/>
  <c r="V61" i="102"/>
  <c r="V53" i="102"/>
  <c r="V41" i="102"/>
  <c r="V29" i="102"/>
  <c r="V25" i="102"/>
  <c r="V52" i="102"/>
  <c r="V40" i="102"/>
  <c r="V67" i="102"/>
  <c r="V55" i="102"/>
  <c r="V43" i="102"/>
  <c r="V69" i="102"/>
  <c r="V57" i="102"/>
  <c r="V71" i="102"/>
  <c r="V63" i="102"/>
  <c r="V47" i="102"/>
  <c r="V31" i="102"/>
  <c r="V27" i="102"/>
  <c r="V75" i="102"/>
  <c r="V60" i="102"/>
  <c r="V44" i="102"/>
  <c r="V26" i="102"/>
  <c r="V62" i="102"/>
  <c r="V48" i="102"/>
  <c r="V45" i="102"/>
  <c r="V35" i="102"/>
  <c r="V64" i="102"/>
  <c r="V32" i="102"/>
  <c r="V70" i="102"/>
  <c r="V66" i="102"/>
  <c r="V49" i="102"/>
  <c r="V38" i="102"/>
  <c r="V33" i="102"/>
  <c r="T21" i="102"/>
  <c r="V17" i="102"/>
  <c r="V68" i="102"/>
  <c r="V42" i="102"/>
  <c r="V24" i="102"/>
  <c r="V23" i="102"/>
  <c r="V58" i="102"/>
  <c r="V39" i="102"/>
  <c r="V36" i="102"/>
  <c r="V30" i="102"/>
  <c r="V46" i="102"/>
  <c r="V18" i="102"/>
  <c r="V50" i="102"/>
  <c r="V56" i="102"/>
  <c r="V34" i="102"/>
  <c r="V28" i="102"/>
  <c r="V19" i="102"/>
  <c r="V51" i="102"/>
  <c r="V37" i="102"/>
  <c r="V54" i="102"/>
  <c r="Z12" i="102"/>
  <c r="X12" i="102"/>
  <c r="V63" i="95"/>
  <c r="V59" i="95"/>
  <c r="V47" i="95"/>
  <c r="V50" i="95"/>
  <c r="V38" i="95"/>
  <c r="V22" i="95"/>
  <c r="V18" i="95"/>
  <c r="V75" i="95"/>
  <c r="V49" i="95"/>
  <c r="V37" i="95"/>
  <c r="V33" i="95"/>
  <c r="T20" i="95"/>
  <c r="V64" i="95"/>
  <c r="V60" i="95"/>
  <c r="V52" i="95"/>
  <c r="V40" i="95"/>
  <c r="V51" i="95"/>
  <c r="V39" i="95"/>
  <c r="V65" i="95"/>
  <c r="V61" i="95"/>
  <c r="V53" i="95"/>
  <c r="V41" i="95"/>
  <c r="V29" i="95"/>
  <c r="V25" i="95"/>
  <c r="V68" i="95"/>
  <c r="V56" i="95"/>
  <c r="V44" i="95"/>
  <c r="V16" i="95"/>
  <c r="V67" i="95"/>
  <c r="V55" i="95"/>
  <c r="V43" i="95"/>
  <c r="V35" i="95"/>
  <c r="V58" i="95"/>
  <c r="V17" i="95"/>
  <c r="V30" i="95"/>
  <c r="V28" i="95"/>
  <c r="V26" i="95"/>
  <c r="V24" i="95"/>
  <c r="V42" i="95"/>
  <c r="V62" i="95"/>
  <c r="V69" i="95"/>
  <c r="V54" i="95"/>
  <c r="X12" i="95"/>
  <c r="Z12" i="95" s="1"/>
  <c r="V45" i="95"/>
  <c r="V31" i="95"/>
  <c r="V27" i="95"/>
  <c r="V23" i="95"/>
  <c r="V66" i="95"/>
  <c r="V36" i="95"/>
  <c r="V71" i="95"/>
  <c r="V46" i="95"/>
  <c r="V57" i="95"/>
  <c r="V32" i="95"/>
  <c r="V48" i="95"/>
  <c r="V34" i="95"/>
  <c r="P73" i="95"/>
  <c r="X20" i="95"/>
  <c r="H29" i="83"/>
  <c r="H28" i="86"/>
  <c r="D29" i="83"/>
  <c r="L21" i="83"/>
  <c r="N21" i="83" s="1"/>
  <c r="V59" i="80"/>
  <c r="V51" i="80"/>
  <c r="V43" i="80"/>
  <c r="V58" i="80"/>
  <c r="V42" i="80"/>
  <c r="V34" i="80"/>
  <c r="V67" i="80"/>
  <c r="V57" i="80"/>
  <c r="V53" i="80"/>
  <c r="V45" i="80"/>
  <c r="V29" i="80"/>
  <c r="V25" i="80"/>
  <c r="V44" i="80"/>
  <c r="V16" i="80"/>
  <c r="V60" i="80"/>
  <c r="V47" i="80"/>
  <c r="V35" i="80"/>
  <c r="V31" i="80"/>
  <c r="V54" i="80"/>
  <c r="V46" i="80"/>
  <c r="V30" i="80"/>
  <c r="V26" i="80"/>
  <c r="V49" i="80"/>
  <c r="V37" i="80"/>
  <c r="V17" i="80"/>
  <c r="V61" i="80"/>
  <c r="V48" i="80"/>
  <c r="V36" i="80"/>
  <c r="V32" i="80"/>
  <c r="V63" i="80"/>
  <c r="V55" i="80"/>
  <c r="V39" i="80"/>
  <c r="V27" i="80"/>
  <c r="V23" i="80"/>
  <c r="X12" i="80"/>
  <c r="Z12" i="80" s="1"/>
  <c r="V50" i="80"/>
  <c r="V38" i="80"/>
  <c r="V22" i="80"/>
  <c r="V20" i="80"/>
  <c r="V18" i="80"/>
  <c r="V41" i="80"/>
  <c r="V33" i="80"/>
  <c r="T20" i="80"/>
  <c r="V56" i="80"/>
  <c r="V52" i="80"/>
  <c r="V40" i="80"/>
  <c r="V28" i="80"/>
  <c r="V24" i="80"/>
  <c r="R48" i="75"/>
  <c r="F65" i="73"/>
  <c r="F64" i="73"/>
  <c r="F49" i="73"/>
  <c r="F67" i="73"/>
  <c r="F66" i="73"/>
  <c r="F51" i="73"/>
  <c r="F50" i="73"/>
  <c r="F69" i="73"/>
  <c r="F32" i="73"/>
  <c r="F28" i="73"/>
  <c r="F27" i="73"/>
  <c r="F73" i="73"/>
  <c r="F55" i="73"/>
  <c r="F54" i="73"/>
  <c r="F43" i="73"/>
  <c r="F42" i="73"/>
  <c r="F26" i="73"/>
  <c r="F63" i="73"/>
  <c r="F59" i="73"/>
  <c r="F58" i="73"/>
  <c r="F47" i="73"/>
  <c r="F46" i="73"/>
  <c r="F39" i="73"/>
  <c r="F61" i="73"/>
  <c r="F45" i="73"/>
  <c r="F37" i="73"/>
  <c r="F20" i="73"/>
  <c r="F40" i="73"/>
  <c r="F34" i="73"/>
  <c r="F31" i="73"/>
  <c r="F21" i="73"/>
  <c r="F57" i="73"/>
  <c r="F52" i="73"/>
  <c r="F38" i="73"/>
  <c r="F62" i="73"/>
  <c r="F60" i="73"/>
  <c r="F22" i="73"/>
  <c r="F29" i="73"/>
  <c r="F44" i="73"/>
  <c r="F41" i="73"/>
  <c r="F35" i="73"/>
  <c r="F53" i="73"/>
  <c r="F30" i="73"/>
  <c r="L12" i="73"/>
  <c r="N12" i="73" s="1"/>
  <c r="F33" i="73"/>
  <c r="F48" i="73"/>
  <c r="F56" i="73"/>
  <c r="D24" i="73"/>
  <c r="F24" i="73" s="1"/>
  <c r="F36" i="73"/>
  <c r="T99" i="69"/>
  <c r="H81" i="74"/>
  <c r="P114" i="42"/>
  <c r="X28" i="42"/>
  <c r="J111" i="36"/>
  <c r="J103" i="36"/>
  <c r="J99" i="36"/>
  <c r="J93" i="36"/>
  <c r="J71" i="36"/>
  <c r="J61" i="36"/>
  <c r="J53" i="36"/>
  <c r="J47" i="36"/>
  <c r="J33" i="36"/>
  <c r="J118" i="36"/>
  <c r="J112" i="36"/>
  <c r="J104" i="36"/>
  <c r="J94" i="36"/>
  <c r="J82" i="36"/>
  <c r="J72" i="36"/>
  <c r="J62" i="36"/>
  <c r="J54" i="36"/>
  <c r="J42" i="36"/>
  <c r="J38" i="36"/>
  <c r="J34" i="36"/>
  <c r="J32" i="36"/>
  <c r="J117" i="36"/>
  <c r="J113" i="36"/>
  <c r="J105" i="36"/>
  <c r="J95" i="36"/>
  <c r="J89" i="36"/>
  <c r="J73" i="36"/>
  <c r="J63" i="36"/>
  <c r="J55" i="36"/>
  <c r="J43" i="36"/>
  <c r="H30" i="36"/>
  <c r="J30" i="36" s="1"/>
  <c r="J122" i="36"/>
  <c r="J116" i="36"/>
  <c r="J106" i="36"/>
  <c r="J100" i="36"/>
  <c r="J96" i="36"/>
  <c r="J74" i="36"/>
  <c r="J64" i="36"/>
  <c r="J56" i="36"/>
  <c r="J48" i="36"/>
  <c r="J44" i="36"/>
  <c r="J108" i="36"/>
  <c r="J90" i="36"/>
  <c r="J84" i="36"/>
  <c r="J76" i="36"/>
  <c r="J66" i="36"/>
  <c r="J58" i="36"/>
  <c r="J109" i="36"/>
  <c r="J78" i="36"/>
  <c r="J68" i="36"/>
  <c r="J40" i="36"/>
  <c r="J36" i="36"/>
  <c r="J26" i="36"/>
  <c r="J110" i="36"/>
  <c r="J102" i="36"/>
  <c r="J98" i="36"/>
  <c r="J86" i="36"/>
  <c r="J80" i="36"/>
  <c r="J50" i="36"/>
  <c r="J46" i="36"/>
  <c r="J92" i="36"/>
  <c r="J88" i="36"/>
  <c r="J70" i="36"/>
  <c r="J60" i="36"/>
  <c r="J52" i="36"/>
  <c r="J28" i="36"/>
  <c r="J91" i="36"/>
  <c r="J85" i="36"/>
  <c r="J83" i="36"/>
  <c r="J81" i="36"/>
  <c r="J79" i="36"/>
  <c r="J77" i="36"/>
  <c r="J115" i="36"/>
  <c r="J101" i="36"/>
  <c r="J75" i="36"/>
  <c r="J107" i="36"/>
  <c r="J69" i="36"/>
  <c r="J67" i="36"/>
  <c r="J27" i="36"/>
  <c r="N12" i="36"/>
  <c r="J65" i="36"/>
  <c r="J45" i="36"/>
  <c r="J35" i="36"/>
  <c r="J51" i="36"/>
  <c r="J39" i="36"/>
  <c r="J37" i="36"/>
  <c r="J87" i="36"/>
  <c r="J59" i="36"/>
  <c r="J57" i="36"/>
  <c r="J97" i="36"/>
  <c r="J49" i="36"/>
  <c r="J41" i="36"/>
  <c r="X115" i="36"/>
  <c r="Z115" i="36" s="1"/>
  <c r="X78" i="33"/>
  <c r="Z78" i="33" s="1"/>
  <c r="R64" i="30"/>
  <c r="V105" i="24"/>
  <c r="V97" i="24"/>
  <c r="V81" i="24"/>
  <c r="V77" i="24"/>
  <c r="V96" i="24"/>
  <c r="V88" i="24"/>
  <c r="V107" i="24"/>
  <c r="V99" i="24"/>
  <c r="V87" i="24"/>
  <c r="V98" i="24"/>
  <c r="V90" i="24"/>
  <c r="V82" i="24"/>
  <c r="V78" i="24"/>
  <c r="V109" i="24"/>
  <c r="V101" i="24"/>
  <c r="V89" i="24"/>
  <c r="V69" i="24"/>
  <c r="V65" i="24"/>
  <c r="V61" i="24"/>
  <c r="V57" i="24"/>
  <c r="V53" i="24"/>
  <c r="V49" i="24"/>
  <c r="V108" i="24"/>
  <c r="V100" i="24"/>
  <c r="V92" i="24"/>
  <c r="V84" i="24"/>
  <c r="V91" i="24"/>
  <c r="V83" i="24"/>
  <c r="V79" i="24"/>
  <c r="V75" i="24"/>
  <c r="V112" i="24"/>
  <c r="V110" i="24"/>
  <c r="V102" i="24"/>
  <c r="V74" i="24"/>
  <c r="V70" i="24"/>
  <c r="V66" i="24"/>
  <c r="V62" i="24"/>
  <c r="V58" i="24"/>
  <c r="V54" i="24"/>
  <c r="V50" i="24"/>
  <c r="V104" i="24"/>
  <c r="V80" i="24"/>
  <c r="V76" i="24"/>
  <c r="V116" i="24"/>
  <c r="V106" i="24"/>
  <c r="V94" i="24"/>
  <c r="V86" i="24"/>
  <c r="V95" i="24"/>
  <c r="V56" i="24"/>
  <c r="V93" i="24"/>
  <c r="V63" i="24"/>
  <c r="V51" i="24"/>
  <c r="V67" i="24"/>
  <c r="V60" i="24"/>
  <c r="V55" i="24"/>
  <c r="V85" i="24"/>
  <c r="T72" i="24"/>
  <c r="V64" i="24"/>
  <c r="V52" i="24"/>
  <c r="V103" i="24"/>
  <c r="V68" i="24"/>
  <c r="V59" i="24"/>
  <c r="N245" i="12"/>
  <c r="N281" i="3"/>
  <c r="H27" i="50"/>
  <c r="N18" i="50"/>
  <c r="H27" i="52"/>
  <c r="N18" i="52"/>
  <c r="T27" i="53"/>
  <c r="Z18" i="53"/>
  <c r="T27" i="49"/>
  <c r="Z18" i="49"/>
  <c r="D27" i="50"/>
  <c r="L18" i="50"/>
  <c r="Z18" i="43"/>
  <c r="T27" i="43"/>
  <c r="D27" i="41"/>
  <c r="L18" i="41"/>
  <c r="X18" i="37"/>
  <c r="P27" i="37"/>
  <c r="X18" i="28"/>
  <c r="P27" i="28"/>
  <c r="H27" i="29"/>
  <c r="N18" i="29"/>
  <c r="T27" i="14"/>
  <c r="Z18" i="14"/>
  <c r="D27" i="13"/>
  <c r="L18" i="13"/>
  <c r="X18" i="8"/>
  <c r="P27" i="8"/>
  <c r="T27" i="11"/>
  <c r="Z18" i="11"/>
  <c r="P27" i="10"/>
  <c r="X18" i="10"/>
  <c r="H57" i="101"/>
  <c r="H65" i="110"/>
  <c r="J61" i="110"/>
  <c r="V21" i="83"/>
  <c r="T56" i="68"/>
  <c r="V94" i="21"/>
  <c r="V82" i="21"/>
  <c r="V66" i="21"/>
  <c r="V54" i="21"/>
  <c r="V98" i="21"/>
  <c r="V96" i="21"/>
  <c r="V88" i="21"/>
  <c r="V84" i="21"/>
  <c r="V68" i="21"/>
  <c r="V71" i="21"/>
  <c r="V59" i="21"/>
  <c r="V78" i="21"/>
  <c r="V102" i="21"/>
  <c r="V80" i="21"/>
  <c r="V72" i="21"/>
  <c r="V60" i="21"/>
  <c r="V52" i="21"/>
  <c r="V91" i="21"/>
  <c r="V79" i="21"/>
  <c r="V75" i="21"/>
  <c r="V63" i="21"/>
  <c r="V93" i="21"/>
  <c r="V81" i="21"/>
  <c r="V65" i="21"/>
  <c r="V53" i="21"/>
  <c r="V95" i="21"/>
  <c r="V87" i="21"/>
  <c r="V83" i="21"/>
  <c r="V67" i="21"/>
  <c r="V55" i="21"/>
  <c r="V51" i="21"/>
  <c r="V48" i="21"/>
  <c r="V47" i="21"/>
  <c r="V23" i="21"/>
  <c r="V42" i="21"/>
  <c r="V73" i="21"/>
  <c r="V70" i="21"/>
  <c r="V61" i="21"/>
  <c r="V37" i="21"/>
  <c r="V33" i="21"/>
  <c r="V90" i="21"/>
  <c r="V58" i="21"/>
  <c r="V24" i="21"/>
  <c r="V92" i="21"/>
  <c r="V85" i="21"/>
  <c r="V77" i="21"/>
  <c r="V43" i="21"/>
  <c r="V39" i="21"/>
  <c r="V49" i="21"/>
  <c r="V38" i="21"/>
  <c r="V34" i="21"/>
  <c r="V30" i="21"/>
  <c r="V56" i="21"/>
  <c r="V50" i="21"/>
  <c r="V29" i="21"/>
  <c r="V27" i="21"/>
  <c r="V25" i="21"/>
  <c r="V69" i="21"/>
  <c r="V44" i="21"/>
  <c r="V40" i="21"/>
  <c r="T27" i="21"/>
  <c r="V62" i="21"/>
  <c r="V35" i="21"/>
  <c r="V31" i="21"/>
  <c r="V89" i="21"/>
  <c r="V74" i="21"/>
  <c r="V64" i="21"/>
  <c r="V57" i="21"/>
  <c r="V46" i="21"/>
  <c r="V36" i="21"/>
  <c r="V32" i="21"/>
  <c r="V76" i="21"/>
  <c r="V45" i="21"/>
  <c r="V86" i="21"/>
  <c r="V41" i="21"/>
  <c r="X18" i="40"/>
  <c r="P27" i="40"/>
  <c r="Z16" i="109"/>
  <c r="T35" i="109"/>
  <c r="X16" i="107"/>
  <c r="X31" i="109"/>
  <c r="F79" i="106"/>
  <c r="F71" i="106"/>
  <c r="F67" i="106"/>
  <c r="F73" i="106"/>
  <c r="F72" i="106"/>
  <c r="F77" i="106"/>
  <c r="F76" i="106"/>
  <c r="F69" i="106"/>
  <c r="F65" i="106"/>
  <c r="F64" i="106"/>
  <c r="F83" i="106"/>
  <c r="F75" i="106"/>
  <c r="F68" i="106"/>
  <c r="F37" i="106"/>
  <c r="F56" i="106"/>
  <c r="F55" i="106"/>
  <c r="F44" i="106"/>
  <c r="F43" i="106"/>
  <c r="F32" i="106"/>
  <c r="F28" i="106"/>
  <c r="F62" i="106"/>
  <c r="F19" i="106"/>
  <c r="F58" i="106"/>
  <c r="F57" i="106"/>
  <c r="F46" i="106"/>
  <c r="F45" i="106"/>
  <c r="F38" i="106"/>
  <c r="F66" i="106"/>
  <c r="F33" i="106"/>
  <c r="F29" i="106"/>
  <c r="F25" i="106"/>
  <c r="F24" i="106"/>
  <c r="F48" i="106"/>
  <c r="F47" i="106"/>
  <c r="F23" i="106"/>
  <c r="F59" i="106"/>
  <c r="F39" i="106"/>
  <c r="F35" i="106"/>
  <c r="F34" i="106"/>
  <c r="F63" i="106"/>
  <c r="F50" i="106"/>
  <c r="F49" i="106"/>
  <c r="F30" i="106"/>
  <c r="F26" i="106"/>
  <c r="F70" i="106"/>
  <c r="F60" i="106"/>
  <c r="F74" i="106"/>
  <c r="F52" i="106"/>
  <c r="F51" i="106"/>
  <c r="F40" i="106"/>
  <c r="F36" i="106"/>
  <c r="L12" i="106"/>
  <c r="N12" i="106" s="1"/>
  <c r="F54" i="106"/>
  <c r="F53" i="106"/>
  <c r="F42" i="106"/>
  <c r="F41" i="106"/>
  <c r="F18" i="106"/>
  <c r="F17" i="106"/>
  <c r="F31" i="106"/>
  <c r="F61" i="106"/>
  <c r="F27" i="106"/>
  <c r="D21" i="106"/>
  <c r="R59" i="101"/>
  <c r="R51" i="101"/>
  <c r="R50" i="101"/>
  <c r="R45" i="101"/>
  <c r="R38" i="101"/>
  <c r="R37" i="101"/>
  <c r="R29" i="101"/>
  <c r="R22" i="101"/>
  <c r="R20" i="101"/>
  <c r="R24" i="101"/>
  <c r="R40" i="101"/>
  <c r="R39" i="101"/>
  <c r="R52" i="101"/>
  <c r="R47" i="101"/>
  <c r="R46" i="101"/>
  <c r="R30" i="101"/>
  <c r="R42" i="101"/>
  <c r="R41" i="101"/>
  <c r="R25" i="101"/>
  <c r="R48" i="101"/>
  <c r="R54" i="101"/>
  <c r="R55" i="101"/>
  <c r="R43" i="101"/>
  <c r="R34" i="101"/>
  <c r="R33" i="101"/>
  <c r="R17" i="101"/>
  <c r="R49" i="101"/>
  <c r="R28" i="101"/>
  <c r="X12" i="101"/>
  <c r="Z12" i="101" s="1"/>
  <c r="R44" i="101"/>
  <c r="R23" i="101"/>
  <c r="R18" i="101"/>
  <c r="R27" i="101"/>
  <c r="P20" i="101"/>
  <c r="R16" i="101"/>
  <c r="R31" i="101"/>
  <c r="R35" i="101"/>
  <c r="R36" i="101"/>
  <c r="R32" i="101"/>
  <c r="R26" i="101"/>
  <c r="J20" i="101"/>
  <c r="T43" i="100"/>
  <c r="Z17" i="100"/>
  <c r="V20" i="101"/>
  <c r="R75" i="93"/>
  <c r="R64" i="93"/>
  <c r="R60" i="93"/>
  <c r="R44" i="93"/>
  <c r="R43" i="93"/>
  <c r="R35" i="93"/>
  <c r="R16" i="93"/>
  <c r="R62" i="93"/>
  <c r="R69" i="93"/>
  <c r="R58" i="93"/>
  <c r="R57" i="93"/>
  <c r="R50" i="93"/>
  <c r="R49" i="93"/>
  <c r="R38" i="93"/>
  <c r="R37" i="93"/>
  <c r="R33" i="93"/>
  <c r="R34" i="93"/>
  <c r="R31" i="93"/>
  <c r="R25" i="93"/>
  <c r="R66" i="93"/>
  <c r="R46" i="93"/>
  <c r="R36" i="93"/>
  <c r="R28" i="93"/>
  <c r="R22" i="93"/>
  <c r="R54" i="93"/>
  <c r="R39" i="93"/>
  <c r="R17" i="93"/>
  <c r="R32" i="93"/>
  <c r="R55" i="93"/>
  <c r="R47" i="93"/>
  <c r="R40" i="93"/>
  <c r="R29" i="93"/>
  <c r="R26" i="93"/>
  <c r="R23" i="93"/>
  <c r="R51" i="93"/>
  <c r="R48" i="93"/>
  <c r="X12" i="93"/>
  <c r="Z12" i="93" s="1"/>
  <c r="R67" i="93"/>
  <c r="R19" i="93"/>
  <c r="R24" i="93"/>
  <c r="P19" i="93"/>
  <c r="R56" i="93"/>
  <c r="R41" i="93"/>
  <c r="R71" i="93"/>
  <c r="R59" i="93"/>
  <c r="R53" i="93"/>
  <c r="R45" i="93"/>
  <c r="R42" i="93"/>
  <c r="R21" i="93"/>
  <c r="R65" i="93"/>
  <c r="R27" i="93"/>
  <c r="R61" i="93"/>
  <c r="R52" i="93"/>
  <c r="R68" i="93"/>
  <c r="R63" i="93"/>
  <c r="R30" i="93"/>
  <c r="X12" i="94"/>
  <c r="Z12" i="94" s="1"/>
  <c r="T82" i="92"/>
  <c r="D63" i="94"/>
  <c r="L20" i="94"/>
  <c r="V53" i="89"/>
  <c r="V41" i="89"/>
  <c r="V29" i="89"/>
  <c r="V25" i="89"/>
  <c r="V70" i="89"/>
  <c r="V59" i="89"/>
  <c r="V55" i="89"/>
  <c r="V43" i="89"/>
  <c r="V35" i="89"/>
  <c r="V46" i="89"/>
  <c r="V30" i="89"/>
  <c r="V26" i="89"/>
  <c r="V61" i="89"/>
  <c r="V45" i="89"/>
  <c r="V63" i="89"/>
  <c r="V47" i="89"/>
  <c r="V31" i="89"/>
  <c r="V57" i="89"/>
  <c r="V49" i="89"/>
  <c r="V37" i="89"/>
  <c r="V33" i="89"/>
  <c r="T20" i="89"/>
  <c r="V52" i="89"/>
  <c r="V40" i="89"/>
  <c r="Z12" i="89"/>
  <c r="V50" i="89"/>
  <c r="V24" i="89"/>
  <c r="V44" i="89"/>
  <c r="V38" i="89"/>
  <c r="V27" i="89"/>
  <c r="V17" i="89"/>
  <c r="V48" i="89"/>
  <c r="V64" i="89"/>
  <c r="V42" i="89"/>
  <c r="V28" i="89"/>
  <c r="V36" i="89"/>
  <c r="V18" i="89"/>
  <c r="V62" i="89"/>
  <c r="V51" i="89"/>
  <c r="V34" i="89"/>
  <c r="V20" i="89"/>
  <c r="V23" i="89"/>
  <c r="V16" i="89"/>
  <c r="V66" i="89"/>
  <c r="V56" i="89"/>
  <c r="V32" i="89"/>
  <c r="V58" i="89"/>
  <c r="V60" i="89"/>
  <c r="V39" i="89"/>
  <c r="V22" i="89"/>
  <c r="V54" i="89"/>
  <c r="F20" i="89"/>
  <c r="X20" i="88"/>
  <c r="P80" i="88"/>
  <c r="X12" i="88"/>
  <c r="Z12" i="88" s="1"/>
  <c r="D77" i="84"/>
  <c r="L20" i="84"/>
  <c r="R28" i="79"/>
  <c r="R23" i="79"/>
  <c r="R19" i="79"/>
  <c r="R47" i="79"/>
  <c r="R46" i="79"/>
  <c r="R38" i="79"/>
  <c r="R27" i="79"/>
  <c r="R25" i="79"/>
  <c r="R33" i="79"/>
  <c r="R29" i="79"/>
  <c r="P25" i="79"/>
  <c r="R48" i="79"/>
  <c r="R20" i="79"/>
  <c r="R40" i="79"/>
  <c r="R39" i="79"/>
  <c r="R57" i="79"/>
  <c r="R34" i="79"/>
  <c r="R30" i="79"/>
  <c r="R56" i="79"/>
  <c r="R50" i="79"/>
  <c r="R49" i="79"/>
  <c r="R42" i="79"/>
  <c r="R41" i="79"/>
  <c r="R21" i="79"/>
  <c r="R55" i="79"/>
  <c r="X12" i="79"/>
  <c r="R61" i="79"/>
  <c r="R54" i="79"/>
  <c r="R51" i="79"/>
  <c r="R43" i="79"/>
  <c r="R36" i="79"/>
  <c r="R35" i="79"/>
  <c r="R31" i="79"/>
  <c r="R53" i="79"/>
  <c r="R22" i="79"/>
  <c r="R37" i="79"/>
  <c r="R18" i="79"/>
  <c r="R45" i="79"/>
  <c r="R44" i="79"/>
  <c r="R32" i="79"/>
  <c r="J72" i="77"/>
  <c r="J64" i="77"/>
  <c r="J83" i="77"/>
  <c r="J73" i="77"/>
  <c r="J59" i="77"/>
  <c r="J55" i="77"/>
  <c r="J90" i="77"/>
  <c r="J84" i="77"/>
  <c r="J74" i="77"/>
  <c r="J89" i="77"/>
  <c r="J85" i="77"/>
  <c r="J75" i="77"/>
  <c r="J65" i="77"/>
  <c r="J94" i="77"/>
  <c r="J88" i="77"/>
  <c r="J76" i="77"/>
  <c r="J78" i="77"/>
  <c r="J66" i="77"/>
  <c r="J79" i="77"/>
  <c r="J81" i="77"/>
  <c r="J69" i="77"/>
  <c r="J63" i="77"/>
  <c r="J82" i="77"/>
  <c r="J70" i="77"/>
  <c r="J58" i="77"/>
  <c r="J71" i="77"/>
  <c r="J77" i="77"/>
  <c r="J52" i="77"/>
  <c r="J51" i="77"/>
  <c r="H49" i="77"/>
  <c r="J53" i="77"/>
  <c r="J36" i="77"/>
  <c r="J56" i="77"/>
  <c r="J45" i="77"/>
  <c r="J41" i="77"/>
  <c r="J37" i="77"/>
  <c r="J87" i="77"/>
  <c r="J67" i="77"/>
  <c r="N12" i="77"/>
  <c r="J61" i="77"/>
  <c r="J54" i="77"/>
  <c r="J46" i="77"/>
  <c r="J42" i="77"/>
  <c r="J38" i="77"/>
  <c r="J62" i="77"/>
  <c r="J80" i="77"/>
  <c r="J68" i="77"/>
  <c r="J60" i="77"/>
  <c r="J49" i="77"/>
  <c r="J44" i="77"/>
  <c r="J40" i="77"/>
  <c r="J43" i="77"/>
  <c r="J47" i="77"/>
  <c r="J57" i="77"/>
  <c r="J39" i="77"/>
  <c r="J24" i="73"/>
  <c r="V61" i="73"/>
  <c r="V53" i="73"/>
  <c r="V41" i="73"/>
  <c r="V37" i="73"/>
  <c r="V56" i="73"/>
  <c r="V62" i="73"/>
  <c r="V58" i="73"/>
  <c r="V46" i="73"/>
  <c r="V63" i="73"/>
  <c r="V59" i="73"/>
  <c r="V47" i="73"/>
  <c r="V39" i="73"/>
  <c r="V66" i="73"/>
  <c r="V50" i="73"/>
  <c r="V34" i="73"/>
  <c r="V30" i="73"/>
  <c r="V69" i="73"/>
  <c r="V67" i="73"/>
  <c r="V54" i="73"/>
  <c r="V42" i="73"/>
  <c r="V26" i="73"/>
  <c r="V22" i="73"/>
  <c r="V73" i="73"/>
  <c r="V38" i="73"/>
  <c r="V64" i="73"/>
  <c r="V29" i="73"/>
  <c r="V55" i="73"/>
  <c r="V44" i="73"/>
  <c r="V32" i="73"/>
  <c r="V60" i="73"/>
  <c r="V36" i="73"/>
  <c r="V35" i="73"/>
  <c r="T24" i="73"/>
  <c r="X24" i="73" s="1"/>
  <c r="V48" i="73"/>
  <c r="V27" i="73"/>
  <c r="Z12" i="73"/>
  <c r="V33" i="73"/>
  <c r="V20" i="73"/>
  <c r="V65" i="73"/>
  <c r="V45" i="73"/>
  <c r="V51" i="73"/>
  <c r="V28" i="73"/>
  <c r="V21" i="73"/>
  <c r="V57" i="73"/>
  <c r="V52" i="73"/>
  <c r="V43" i="73"/>
  <c r="V31" i="73"/>
  <c r="V40" i="73"/>
  <c r="V49" i="73"/>
  <c r="Z16" i="61"/>
  <c r="T49" i="61"/>
  <c r="X16" i="59"/>
  <c r="P62" i="59"/>
  <c r="Z16" i="56"/>
  <c r="T69" i="56"/>
  <c r="D69" i="56"/>
  <c r="L16" i="56"/>
  <c r="N16" i="57"/>
  <c r="H57" i="57"/>
  <c r="X87" i="51"/>
  <c r="Z87" i="51" s="1"/>
  <c r="T61" i="48"/>
  <c r="R35" i="39"/>
  <c r="H244" i="15"/>
  <c r="L257" i="18"/>
  <c r="J27" i="21"/>
  <c r="D100" i="21"/>
  <c r="L27" i="21"/>
  <c r="N27" i="21" s="1"/>
  <c r="Z257" i="18"/>
  <c r="F288" i="3"/>
  <c r="F259" i="3"/>
  <c r="F195" i="3"/>
  <c r="F191" i="3"/>
  <c r="F300" i="3"/>
  <c r="F299" i="3"/>
  <c r="F287" i="3"/>
  <c r="F270" i="3"/>
  <c r="F269" i="3"/>
  <c r="F254" i="3"/>
  <c r="F242" i="3"/>
  <c r="F241" i="3"/>
  <c r="F230" i="3"/>
  <c r="F222" i="3"/>
  <c r="F221" i="3"/>
  <c r="F214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134" i="3"/>
  <c r="F130" i="3"/>
  <c r="F286" i="3"/>
  <c r="F277" i="3"/>
  <c r="F265" i="3"/>
  <c r="F261" i="3"/>
  <c r="F260" i="3"/>
  <c r="F249" i="3"/>
  <c r="F205" i="3"/>
  <c r="F201" i="3"/>
  <c r="F285" i="3"/>
  <c r="F244" i="3"/>
  <c r="F243" i="3"/>
  <c r="F232" i="3"/>
  <c r="F231" i="3"/>
  <c r="F224" i="3"/>
  <c r="F223" i="3"/>
  <c r="F196" i="3"/>
  <c r="F192" i="3"/>
  <c r="F283" i="3"/>
  <c r="F266" i="3"/>
  <c r="F262" i="3"/>
  <c r="F250" i="3"/>
  <c r="F234" i="3"/>
  <c r="F233" i="3"/>
  <c r="F226" i="3"/>
  <c r="F225" i="3"/>
  <c r="F202" i="3"/>
  <c r="F282" i="3"/>
  <c r="F273" i="3"/>
  <c r="F272" i="3"/>
  <c r="F245" i="3"/>
  <c r="F217" i="3"/>
  <c r="F216" i="3"/>
  <c r="F209" i="3"/>
  <c r="F208" i="3"/>
  <c r="F197" i="3"/>
  <c r="F193" i="3"/>
  <c r="F189" i="3"/>
  <c r="F188" i="3"/>
  <c r="F281" i="3"/>
  <c r="F256" i="3"/>
  <c r="F252" i="3"/>
  <c r="F251" i="3"/>
  <c r="F236" i="3"/>
  <c r="F235" i="3"/>
  <c r="F187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132" i="3"/>
  <c r="F275" i="3"/>
  <c r="F274" i="3"/>
  <c r="F267" i="3"/>
  <c r="F263" i="3"/>
  <c r="F227" i="3"/>
  <c r="F211" i="3"/>
  <c r="F210" i="3"/>
  <c r="F203" i="3"/>
  <c r="F199" i="3"/>
  <c r="F198" i="3"/>
  <c r="D185" i="3"/>
  <c r="F291" i="3"/>
  <c r="F258" i="3"/>
  <c r="F257" i="3"/>
  <c r="F246" i="3"/>
  <c r="F238" i="3"/>
  <c r="F237" i="3"/>
  <c r="F218" i="3"/>
  <c r="F194" i="3"/>
  <c r="F190" i="3"/>
  <c r="F289" i="3"/>
  <c r="F276" i="3"/>
  <c r="F268" i="3"/>
  <c r="F264" i="3"/>
  <c r="F248" i="3"/>
  <c r="F247" i="3"/>
  <c r="F240" i="3"/>
  <c r="F239" i="3"/>
  <c r="F220" i="3"/>
  <c r="F219" i="3"/>
  <c r="F204" i="3"/>
  <c r="F200" i="3"/>
  <c r="F271" i="3"/>
  <c r="F207" i="3"/>
  <c r="F169" i="3"/>
  <c r="F161" i="3"/>
  <c r="F153" i="3"/>
  <c r="F145" i="3"/>
  <c r="F135" i="3"/>
  <c r="F279" i="3"/>
  <c r="F179" i="3"/>
  <c r="F213" i="3"/>
  <c r="F137" i="3"/>
  <c r="F128" i="3"/>
  <c r="F295" i="3"/>
  <c r="F290" i="3"/>
  <c r="F253" i="3"/>
  <c r="F171" i="3"/>
  <c r="F163" i="3"/>
  <c r="F155" i="3"/>
  <c r="F147" i="3"/>
  <c r="F181" i="3"/>
  <c r="F139" i="3"/>
  <c r="F215" i="3"/>
  <c r="F173" i="3"/>
  <c r="F284" i="3"/>
  <c r="F255" i="3"/>
  <c r="F165" i="3"/>
  <c r="F157" i="3"/>
  <c r="F149" i="3"/>
  <c r="F141" i="3"/>
  <c r="F129" i="3"/>
  <c r="F131" i="3"/>
  <c r="F228" i="3"/>
  <c r="F206" i="3"/>
  <c r="F183" i="3"/>
  <c r="F175" i="3"/>
  <c r="F278" i="3"/>
  <c r="F212" i="3"/>
  <c r="F167" i="3"/>
  <c r="F159" i="3"/>
  <c r="F151" i="3"/>
  <c r="F143" i="3"/>
  <c r="L12" i="3"/>
  <c r="N12" i="3" s="1"/>
  <c r="F177" i="3"/>
  <c r="F133" i="3"/>
  <c r="F229" i="3"/>
  <c r="R281" i="3"/>
  <c r="H27" i="111"/>
  <c r="N18" i="111"/>
  <c r="L18" i="31"/>
  <c r="D27" i="31"/>
  <c r="T27" i="29"/>
  <c r="Z18" i="29"/>
  <c r="L18" i="22"/>
  <c r="D27" i="22"/>
  <c r="L18" i="17"/>
  <c r="D27" i="17"/>
  <c r="H27" i="5"/>
  <c r="N18" i="5"/>
  <c r="N16" i="107"/>
  <c r="H24" i="107"/>
  <c r="L24" i="107" s="1"/>
  <c r="Z109" i="42"/>
  <c r="J133" i="30"/>
  <c r="J117" i="30"/>
  <c r="J101" i="30"/>
  <c r="J89" i="30"/>
  <c r="J61" i="30"/>
  <c r="J57" i="30"/>
  <c r="J53" i="30"/>
  <c r="J49" i="30"/>
  <c r="J45" i="30"/>
  <c r="J123" i="30"/>
  <c r="J119" i="30"/>
  <c r="J111" i="30"/>
  <c r="J103" i="30"/>
  <c r="J91" i="30"/>
  <c r="J75" i="30"/>
  <c r="J71" i="30"/>
  <c r="J41" i="30"/>
  <c r="J124" i="30"/>
  <c r="J112" i="30"/>
  <c r="J104" i="30"/>
  <c r="J92" i="30"/>
  <c r="J76" i="30"/>
  <c r="J62" i="30"/>
  <c r="J58" i="30"/>
  <c r="J54" i="30"/>
  <c r="J50" i="30"/>
  <c r="J46" i="30"/>
  <c r="J42" i="30"/>
  <c r="J125" i="30"/>
  <c r="J113" i="30"/>
  <c r="J105" i="30"/>
  <c r="J93" i="30"/>
  <c r="J81" i="30"/>
  <c r="J77" i="30"/>
  <c r="J67" i="30"/>
  <c r="J126" i="30"/>
  <c r="J120" i="30"/>
  <c r="J106" i="30"/>
  <c r="J94" i="30"/>
  <c r="J82" i="30"/>
  <c r="J72" i="30"/>
  <c r="J68" i="30"/>
  <c r="J66" i="30"/>
  <c r="J127" i="30"/>
  <c r="J107" i="30"/>
  <c r="J95" i="30"/>
  <c r="J83" i="30"/>
  <c r="H64" i="30"/>
  <c r="J64" i="30" s="1"/>
  <c r="J59" i="30"/>
  <c r="J55" i="30"/>
  <c r="J51" i="30"/>
  <c r="J47" i="30"/>
  <c r="J43" i="30"/>
  <c r="J128" i="30"/>
  <c r="J114" i="30"/>
  <c r="J96" i="30"/>
  <c r="J84" i="30"/>
  <c r="J78" i="30"/>
  <c r="J130" i="30"/>
  <c r="J108" i="30"/>
  <c r="J98" i="30"/>
  <c r="J86" i="30"/>
  <c r="J60" i="30"/>
  <c r="J56" i="30"/>
  <c r="J52" i="30"/>
  <c r="J48" i="30"/>
  <c r="J44" i="30"/>
  <c r="J134" i="30"/>
  <c r="J122" i="30"/>
  <c r="J116" i="30"/>
  <c r="J110" i="30"/>
  <c r="J100" i="30"/>
  <c r="J88" i="30"/>
  <c r="J74" i="30"/>
  <c r="J70" i="30"/>
  <c r="J121" i="30"/>
  <c r="J115" i="30"/>
  <c r="J99" i="30"/>
  <c r="J97" i="30"/>
  <c r="J87" i="30"/>
  <c r="J85" i="30"/>
  <c r="J102" i="30"/>
  <c r="J129" i="30"/>
  <c r="J118" i="30"/>
  <c r="J90" i="30"/>
  <c r="J69" i="30"/>
  <c r="J131" i="30"/>
  <c r="J80" i="30"/>
  <c r="J73" i="30"/>
  <c r="J79" i="30"/>
  <c r="J138" i="30"/>
  <c r="J109" i="30"/>
  <c r="Z18" i="46"/>
  <c r="T27" i="46"/>
  <c r="D27" i="25"/>
  <c r="L18" i="25"/>
  <c r="H27" i="20"/>
  <c r="N18" i="20"/>
  <c r="X35" i="109"/>
  <c r="P39" i="109"/>
  <c r="X24" i="107"/>
  <c r="P28" i="107"/>
  <c r="D28" i="107"/>
  <c r="T46" i="105"/>
  <c r="H43" i="100"/>
  <c r="N17" i="100"/>
  <c r="F20" i="105"/>
  <c r="R21" i="102"/>
  <c r="N20" i="94"/>
  <c r="H63" i="94"/>
  <c r="J20" i="95"/>
  <c r="X16" i="92"/>
  <c r="P82" i="92"/>
  <c r="L19" i="93"/>
  <c r="N19" i="93" s="1"/>
  <c r="D73" i="93"/>
  <c r="J18" i="86"/>
  <c r="H80" i="88"/>
  <c r="L18" i="86"/>
  <c r="N18" i="86" s="1"/>
  <c r="H77" i="93"/>
  <c r="R20" i="84"/>
  <c r="D59" i="79"/>
  <c r="L25" i="79"/>
  <c r="R88" i="77"/>
  <c r="R85" i="77"/>
  <c r="R65" i="77"/>
  <c r="R94" i="77"/>
  <c r="R87" i="77"/>
  <c r="R77" i="77"/>
  <c r="R76" i="77"/>
  <c r="R60" i="77"/>
  <c r="R56" i="77"/>
  <c r="R79" i="77"/>
  <c r="R78" i="77"/>
  <c r="R67" i="77"/>
  <c r="R66" i="77"/>
  <c r="R63" i="77"/>
  <c r="R82" i="77"/>
  <c r="R73" i="77"/>
  <c r="R72" i="77"/>
  <c r="R64" i="77"/>
  <c r="R90" i="77"/>
  <c r="R84" i="77"/>
  <c r="R83" i="77"/>
  <c r="R59" i="77"/>
  <c r="R55" i="77"/>
  <c r="R89" i="77"/>
  <c r="R75" i="77"/>
  <c r="R74" i="77"/>
  <c r="X12" i="77"/>
  <c r="Z12" i="77" s="1"/>
  <c r="R61" i="77"/>
  <c r="R54" i="77"/>
  <c r="R46" i="77"/>
  <c r="R42" i="77"/>
  <c r="R38" i="77"/>
  <c r="R70" i="77"/>
  <c r="R57" i="77"/>
  <c r="R47" i="77"/>
  <c r="R43" i="77"/>
  <c r="R39" i="77"/>
  <c r="R62" i="77"/>
  <c r="R80" i="77"/>
  <c r="R49" i="77"/>
  <c r="R36" i="77"/>
  <c r="R71" i="77"/>
  <c r="R69" i="77"/>
  <c r="R53" i="77"/>
  <c r="R81" i="77"/>
  <c r="R58" i="77"/>
  <c r="R45" i="77"/>
  <c r="R41" i="77"/>
  <c r="R37" i="77"/>
  <c r="P49" i="77"/>
  <c r="R40" i="77"/>
  <c r="R52" i="77"/>
  <c r="R68" i="77"/>
  <c r="R44" i="77"/>
  <c r="R51" i="77"/>
  <c r="F49" i="77"/>
  <c r="J51" i="74"/>
  <c r="T57" i="57"/>
  <c r="Z16" i="57"/>
  <c r="T71" i="58"/>
  <c r="Z67" i="58"/>
  <c r="P69" i="56"/>
  <c r="X16" i="56"/>
  <c r="F65" i="45"/>
  <c r="F21" i="45"/>
  <c r="F20" i="45"/>
  <c r="F67" i="45"/>
  <c r="F66" i="45"/>
  <c r="F35" i="45"/>
  <c r="F31" i="45"/>
  <c r="F58" i="45"/>
  <c r="F57" i="45"/>
  <c r="F46" i="45"/>
  <c r="F45" i="45"/>
  <c r="F22" i="45"/>
  <c r="F86" i="45"/>
  <c r="F77" i="45"/>
  <c r="F73" i="45"/>
  <c r="F41" i="45"/>
  <c r="F90" i="45"/>
  <c r="F68" i="45"/>
  <c r="F60" i="45"/>
  <c r="F59" i="45"/>
  <c r="F48" i="45"/>
  <c r="F47" i="45"/>
  <c r="F36" i="45"/>
  <c r="F32" i="45"/>
  <c r="F28" i="45"/>
  <c r="F27" i="45"/>
  <c r="F79" i="45"/>
  <c r="F78" i="45"/>
  <c r="F26" i="45"/>
  <c r="F74" i="45"/>
  <c r="F62" i="45"/>
  <c r="F61" i="45"/>
  <c r="F50" i="45"/>
  <c r="F49" i="45"/>
  <c r="F42" i="45"/>
  <c r="F38" i="45"/>
  <c r="F37" i="45"/>
  <c r="D24" i="45"/>
  <c r="F24" i="45" s="1"/>
  <c r="F81" i="45"/>
  <c r="F80" i="45"/>
  <c r="F69" i="45"/>
  <c r="F33" i="45"/>
  <c r="F29" i="45"/>
  <c r="F54" i="45"/>
  <c r="F53" i="45"/>
  <c r="F34" i="45"/>
  <c r="F30" i="45"/>
  <c r="F84" i="45"/>
  <c r="F82" i="45"/>
  <c r="F76" i="45"/>
  <c r="F63" i="45"/>
  <c r="F39" i="45"/>
  <c r="F55" i="45"/>
  <c r="F51" i="45"/>
  <c r="F71" i="45"/>
  <c r="F43" i="45"/>
  <c r="F83" i="45"/>
  <c r="F64" i="45"/>
  <c r="L12" i="45"/>
  <c r="N12" i="45" s="1"/>
  <c r="F52" i="45"/>
  <c r="F44" i="45"/>
  <c r="F56" i="45"/>
  <c r="F70" i="45"/>
  <c r="F75" i="45"/>
  <c r="F72" i="45"/>
  <c r="F40" i="45"/>
  <c r="F117" i="39"/>
  <c r="F109" i="39"/>
  <c r="F105" i="39"/>
  <c r="F100" i="39"/>
  <c r="F88" i="39"/>
  <c r="F80" i="39"/>
  <c r="F79" i="39"/>
  <c r="F124" i="39"/>
  <c r="F119" i="39"/>
  <c r="F118" i="39"/>
  <c r="F111" i="39"/>
  <c r="F110" i="39"/>
  <c r="F95" i="39"/>
  <c r="F128" i="39"/>
  <c r="F123" i="39"/>
  <c r="F106" i="39"/>
  <c r="F102" i="39"/>
  <c r="F101" i="39"/>
  <c r="F90" i="39"/>
  <c r="F89" i="39"/>
  <c r="F82" i="39"/>
  <c r="F121" i="39"/>
  <c r="F86" i="39"/>
  <c r="F85" i="39"/>
  <c r="F116" i="39"/>
  <c r="F108" i="39"/>
  <c r="F104" i="39"/>
  <c r="F76" i="39"/>
  <c r="F115" i="39"/>
  <c r="F98" i="39"/>
  <c r="F55" i="39"/>
  <c r="F51" i="39"/>
  <c r="F113" i="39"/>
  <c r="F72" i="39"/>
  <c r="F46" i="39"/>
  <c r="F42" i="39"/>
  <c r="F96" i="39"/>
  <c r="F91" i="39"/>
  <c r="F77" i="39"/>
  <c r="F73" i="39"/>
  <c r="F65" i="39"/>
  <c r="F57" i="39"/>
  <c r="F56" i="39"/>
  <c r="F33" i="39"/>
  <c r="F103" i="39"/>
  <c r="F94" i="39"/>
  <c r="F84" i="39"/>
  <c r="F81" i="39"/>
  <c r="F52" i="39"/>
  <c r="L12" i="39"/>
  <c r="F99" i="39"/>
  <c r="F67" i="39"/>
  <c r="F66" i="39"/>
  <c r="F59" i="39"/>
  <c r="F58" i="39"/>
  <c r="F47" i="39"/>
  <c r="F43" i="39"/>
  <c r="F39" i="39"/>
  <c r="F38" i="39"/>
  <c r="F87" i="39"/>
  <c r="F78" i="39"/>
  <c r="F37" i="39"/>
  <c r="F107" i="39"/>
  <c r="F74" i="39"/>
  <c r="F69" i="39"/>
  <c r="F68" i="39"/>
  <c r="F61" i="39"/>
  <c r="F60" i="39"/>
  <c r="F53" i="39"/>
  <c r="F49" i="39"/>
  <c r="F48" i="39"/>
  <c r="D35" i="39"/>
  <c r="F35" i="39" s="1"/>
  <c r="F97" i="39"/>
  <c r="F92" i="39"/>
  <c r="F75" i="39"/>
  <c r="F44" i="39"/>
  <c r="F40" i="39"/>
  <c r="F112" i="39"/>
  <c r="F93" i="39"/>
  <c r="F71" i="39"/>
  <c r="F70" i="39"/>
  <c r="F54" i="39"/>
  <c r="F50" i="39"/>
  <c r="F64" i="39"/>
  <c r="F32" i="39"/>
  <c r="F31" i="39"/>
  <c r="F114" i="39"/>
  <c r="F122" i="39"/>
  <c r="F62" i="39"/>
  <c r="F41" i="39"/>
  <c r="F63" i="39"/>
  <c r="F45" i="39"/>
  <c r="F83" i="39"/>
  <c r="J93" i="24"/>
  <c r="J85" i="24"/>
  <c r="J75" i="24"/>
  <c r="J112" i="24"/>
  <c r="J80" i="24"/>
  <c r="J76" i="24"/>
  <c r="J74" i="24"/>
  <c r="J103" i="24"/>
  <c r="H72" i="24"/>
  <c r="J67" i="24"/>
  <c r="J63" i="24"/>
  <c r="J59" i="24"/>
  <c r="J55" i="24"/>
  <c r="J51" i="24"/>
  <c r="J116" i="24"/>
  <c r="J104" i="24"/>
  <c r="J94" i="24"/>
  <c r="J86" i="24"/>
  <c r="J105" i="24"/>
  <c r="J95" i="24"/>
  <c r="J81" i="24"/>
  <c r="J77" i="24"/>
  <c r="J106" i="24"/>
  <c r="J96" i="24"/>
  <c r="J68" i="24"/>
  <c r="J64" i="24"/>
  <c r="J60" i="24"/>
  <c r="J56" i="24"/>
  <c r="J52" i="24"/>
  <c r="J107" i="24"/>
  <c r="J97" i="24"/>
  <c r="J87" i="24"/>
  <c r="J98" i="24"/>
  <c r="J88" i="24"/>
  <c r="J82" i="24"/>
  <c r="J78" i="24"/>
  <c r="J108" i="24"/>
  <c r="J100" i="24"/>
  <c r="J90" i="24"/>
  <c r="J110" i="24"/>
  <c r="J102" i="24"/>
  <c r="J92" i="24"/>
  <c r="J84" i="24"/>
  <c r="J70" i="24"/>
  <c r="J66" i="24"/>
  <c r="J62" i="24"/>
  <c r="J58" i="24"/>
  <c r="J54" i="24"/>
  <c r="J50" i="24"/>
  <c r="J99" i="24"/>
  <c r="J89" i="24"/>
  <c r="J61" i="24"/>
  <c r="J49" i="24"/>
  <c r="J109" i="24"/>
  <c r="J91" i="24"/>
  <c r="J79" i="24"/>
  <c r="L12" i="24"/>
  <c r="N12" i="24" s="1"/>
  <c r="J65" i="24"/>
  <c r="J53" i="24"/>
  <c r="J69" i="24"/>
  <c r="J83" i="24"/>
  <c r="J72" i="24"/>
  <c r="J101" i="24"/>
  <c r="J57" i="24"/>
  <c r="L72" i="24"/>
  <c r="D114" i="24"/>
  <c r="R116" i="24"/>
  <c r="R95" i="24"/>
  <c r="R94" i="24"/>
  <c r="R86" i="24"/>
  <c r="R106" i="24"/>
  <c r="R105" i="24"/>
  <c r="R81" i="24"/>
  <c r="R77" i="24"/>
  <c r="R97" i="24"/>
  <c r="R96" i="24"/>
  <c r="R68" i="24"/>
  <c r="R64" i="24"/>
  <c r="R60" i="24"/>
  <c r="R56" i="24"/>
  <c r="R52" i="24"/>
  <c r="R107" i="24"/>
  <c r="R88" i="24"/>
  <c r="R87" i="24"/>
  <c r="R99" i="24"/>
  <c r="R98" i="24"/>
  <c r="R82" i="24"/>
  <c r="R78" i="24"/>
  <c r="R90" i="24"/>
  <c r="R89" i="24"/>
  <c r="R69" i="24"/>
  <c r="R65" i="24"/>
  <c r="R61" i="24"/>
  <c r="R57" i="24"/>
  <c r="R53" i="24"/>
  <c r="R109" i="24"/>
  <c r="R108" i="24"/>
  <c r="R101" i="24"/>
  <c r="R100" i="24"/>
  <c r="R49" i="24"/>
  <c r="X12" i="24"/>
  <c r="Z12" i="24" s="1"/>
  <c r="R92" i="24"/>
  <c r="R91" i="24"/>
  <c r="R84" i="24"/>
  <c r="R83" i="24"/>
  <c r="R79" i="24"/>
  <c r="R112" i="24"/>
  <c r="R93" i="24"/>
  <c r="R85" i="24"/>
  <c r="R74" i="24"/>
  <c r="R104" i="24"/>
  <c r="R103" i="24"/>
  <c r="R67" i="24"/>
  <c r="R63" i="24"/>
  <c r="R59" i="24"/>
  <c r="R55" i="24"/>
  <c r="R51" i="24"/>
  <c r="R70" i="24"/>
  <c r="R58" i="24"/>
  <c r="R102" i="24"/>
  <c r="R76" i="24"/>
  <c r="R62" i="24"/>
  <c r="P72" i="24"/>
  <c r="R72" i="24" s="1"/>
  <c r="R50" i="24"/>
  <c r="R110" i="24"/>
  <c r="R80" i="24"/>
  <c r="R75" i="24"/>
  <c r="R54" i="24"/>
  <c r="R66" i="24"/>
  <c r="F103" i="27"/>
  <c r="F102" i="27"/>
  <c r="F87" i="27"/>
  <c r="F86" i="27"/>
  <c r="F71" i="27"/>
  <c r="F78" i="27"/>
  <c r="F66" i="27"/>
  <c r="F62" i="27"/>
  <c r="F105" i="27"/>
  <c r="F104" i="27"/>
  <c r="F97" i="27"/>
  <c r="F89" i="27"/>
  <c r="F88" i="27"/>
  <c r="F53" i="27"/>
  <c r="F49" i="27"/>
  <c r="F45" i="27"/>
  <c r="F41" i="27"/>
  <c r="F109" i="27"/>
  <c r="F80" i="27"/>
  <c r="F79" i="27"/>
  <c r="F72" i="27"/>
  <c r="L12" i="27"/>
  <c r="F113" i="27"/>
  <c r="F108" i="27"/>
  <c r="F91" i="27"/>
  <c r="F90" i="27"/>
  <c r="F67" i="27"/>
  <c r="F63" i="27"/>
  <c r="F59" i="27"/>
  <c r="F58" i="27"/>
  <c r="F107" i="27"/>
  <c r="F98" i="27"/>
  <c r="F82" i="27"/>
  <c r="F81" i="27"/>
  <c r="F57" i="27"/>
  <c r="F50" i="27"/>
  <c r="F46" i="27"/>
  <c r="F42" i="27"/>
  <c r="F73" i="27"/>
  <c r="F69" i="27"/>
  <c r="F68" i="27"/>
  <c r="D55" i="27"/>
  <c r="F55" i="27" s="1"/>
  <c r="F100" i="27"/>
  <c r="F99" i="27"/>
  <c r="F92" i="27"/>
  <c r="F84" i="27"/>
  <c r="F83" i="27"/>
  <c r="F64" i="27"/>
  <c r="F60" i="27"/>
  <c r="F94" i="27"/>
  <c r="F93" i="27"/>
  <c r="F70" i="27"/>
  <c r="F96" i="27"/>
  <c r="F95" i="27"/>
  <c r="F52" i="27"/>
  <c r="F48" i="27"/>
  <c r="F44" i="27"/>
  <c r="F40" i="27"/>
  <c r="F61" i="27"/>
  <c r="F39" i="27"/>
  <c r="F101" i="27"/>
  <c r="F75" i="27"/>
  <c r="F51" i="27"/>
  <c r="F85" i="27"/>
  <c r="F43" i="27"/>
  <c r="F76" i="27"/>
  <c r="F65" i="27"/>
  <c r="F38" i="27"/>
  <c r="F74" i="27"/>
  <c r="F77" i="27"/>
  <c r="F47" i="27"/>
  <c r="R148" i="15"/>
  <c r="X16" i="6"/>
  <c r="P22" i="6"/>
  <c r="F266" i="18"/>
  <c r="F233" i="18"/>
  <c r="F221" i="18"/>
  <c r="F220" i="18"/>
  <c r="F201" i="18"/>
  <c r="F200" i="18"/>
  <c r="F181" i="18"/>
  <c r="F177" i="18"/>
  <c r="F270" i="18"/>
  <c r="F265" i="18"/>
  <c r="F252" i="18"/>
  <c r="F244" i="18"/>
  <c r="F240" i="18"/>
  <c r="F228" i="18"/>
  <c r="F192" i="18"/>
  <c r="F191" i="18"/>
  <c r="F168" i="18"/>
  <c r="F164" i="18"/>
  <c r="F160" i="18"/>
  <c r="F156" i="18"/>
  <c r="F152" i="18"/>
  <c r="F148" i="18"/>
  <c r="F144" i="18"/>
  <c r="F140" i="18"/>
  <c r="F136" i="18"/>
  <c r="F132" i="18"/>
  <c r="F128" i="18"/>
  <c r="F124" i="18"/>
  <c r="F120" i="18"/>
  <c r="F264" i="18"/>
  <c r="F223" i="18"/>
  <c r="F222" i="18"/>
  <c r="F211" i="18"/>
  <c r="F187" i="18"/>
  <c r="F263" i="18"/>
  <c r="F246" i="18"/>
  <c r="F245" i="18"/>
  <c r="F234" i="18"/>
  <c r="F202" i="18"/>
  <c r="F194" i="18"/>
  <c r="F193" i="18"/>
  <c r="F262" i="18"/>
  <c r="F253" i="18"/>
  <c r="F241" i="18"/>
  <c r="F229" i="18"/>
  <c r="F213" i="18"/>
  <c r="F212" i="18"/>
  <c r="F172" i="18"/>
  <c r="F170" i="18"/>
  <c r="F165" i="18"/>
  <c r="F161" i="18"/>
  <c r="F157" i="18"/>
  <c r="F153" i="18"/>
  <c r="F149" i="18"/>
  <c r="F145" i="18"/>
  <c r="F141" i="18"/>
  <c r="F261" i="18"/>
  <c r="F236" i="18"/>
  <c r="F235" i="18"/>
  <c r="F224" i="18"/>
  <c r="F204" i="18"/>
  <c r="F203" i="18"/>
  <c r="F196" i="18"/>
  <c r="F195" i="18"/>
  <c r="F188" i="18"/>
  <c r="F184" i="18"/>
  <c r="F183" i="18"/>
  <c r="F260" i="18"/>
  <c r="F255" i="18"/>
  <c r="F254" i="18"/>
  <c r="F247" i="18"/>
  <c r="F231" i="18"/>
  <c r="F230" i="18"/>
  <c r="F215" i="18"/>
  <c r="F214" i="18"/>
  <c r="F179" i="18"/>
  <c r="F175" i="18"/>
  <c r="F259" i="18"/>
  <c r="F258" i="18"/>
  <c r="F249" i="18"/>
  <c r="F248" i="18"/>
  <c r="F237" i="18"/>
  <c r="F225" i="18"/>
  <c r="F217" i="18"/>
  <c r="F216" i="18"/>
  <c r="F189" i="18"/>
  <c r="F185" i="18"/>
  <c r="F210" i="18"/>
  <c r="F209" i="18"/>
  <c r="F190" i="18"/>
  <c r="F186" i="18"/>
  <c r="F207" i="18"/>
  <c r="F163" i="18"/>
  <c r="F146" i="18"/>
  <c r="F142" i="18"/>
  <c r="F138" i="18"/>
  <c r="F117" i="18"/>
  <c r="F250" i="18"/>
  <c r="F134" i="18"/>
  <c r="F239" i="18"/>
  <c r="F174" i="18"/>
  <c r="F257" i="18"/>
  <c r="F226" i="18"/>
  <c r="F205" i="18"/>
  <c r="F155" i="18"/>
  <c r="F130" i="18"/>
  <c r="F125" i="18"/>
  <c r="F243" i="18"/>
  <c r="F232" i="18"/>
  <c r="F218" i="18"/>
  <c r="F199" i="18"/>
  <c r="F176" i="18"/>
  <c r="F166" i="18"/>
  <c r="F151" i="18"/>
  <c r="F118" i="18"/>
  <c r="F208" i="18"/>
  <c r="F162" i="18"/>
  <c r="F123" i="18"/>
  <c r="F206" i="18"/>
  <c r="F147" i="18"/>
  <c r="F143" i="18"/>
  <c r="F139" i="18"/>
  <c r="F137" i="18"/>
  <c r="F116" i="18"/>
  <c r="F115" i="18"/>
  <c r="F251" i="18"/>
  <c r="F197" i="18"/>
  <c r="F178" i="18"/>
  <c r="F158" i="18"/>
  <c r="F135" i="18"/>
  <c r="F126" i="18"/>
  <c r="F121" i="18"/>
  <c r="F238" i="18"/>
  <c r="F133" i="18"/>
  <c r="F242" i="18"/>
  <c r="F219" i="18"/>
  <c r="F198" i="18"/>
  <c r="D170" i="18"/>
  <c r="F167" i="18"/>
  <c r="F150" i="18"/>
  <c r="F129" i="18"/>
  <c r="L12" i="18"/>
  <c r="N12" i="18" s="1"/>
  <c r="F127" i="18"/>
  <c r="F173" i="18"/>
  <c r="F227" i="18"/>
  <c r="F159" i="18"/>
  <c r="F154" i="18"/>
  <c r="F131" i="18"/>
  <c r="F119" i="18"/>
  <c r="F180" i="18"/>
  <c r="F182" i="18"/>
  <c r="F122" i="18"/>
  <c r="X12" i="21"/>
  <c r="Z12" i="21" s="1"/>
  <c r="X18" i="53"/>
  <c r="P27" i="53"/>
  <c r="D27" i="46"/>
  <c r="L18" i="46"/>
  <c r="X18" i="41"/>
  <c r="P27" i="41"/>
  <c r="L18" i="40"/>
  <c r="D27" i="40"/>
  <c r="P27" i="34"/>
  <c r="X18" i="34"/>
  <c r="H27" i="26"/>
  <c r="N18" i="26"/>
  <c r="H27" i="17"/>
  <c r="N18" i="17"/>
  <c r="H27" i="14"/>
  <c r="N18" i="14"/>
  <c r="H27" i="10"/>
  <c r="N18" i="10"/>
  <c r="H27" i="13"/>
  <c r="N18" i="13"/>
  <c r="L18" i="14"/>
  <c r="D27" i="14"/>
  <c r="P27" i="16"/>
  <c r="X18" i="16"/>
  <c r="L16" i="109"/>
  <c r="D35" i="109"/>
  <c r="N16" i="99"/>
  <c r="H22" i="99"/>
  <c r="P56" i="68"/>
  <c r="X52" i="68"/>
  <c r="Z52" i="68" s="1"/>
  <c r="F83" i="51"/>
  <c r="F59" i="51"/>
  <c r="F55" i="51"/>
  <c r="F90" i="51"/>
  <c r="F85" i="51"/>
  <c r="F84" i="51"/>
  <c r="F65" i="51"/>
  <c r="F88" i="51"/>
  <c r="F47" i="51"/>
  <c r="F43" i="51"/>
  <c r="F39" i="51"/>
  <c r="F87" i="51"/>
  <c r="F78" i="51"/>
  <c r="F77" i="51"/>
  <c r="F66" i="51"/>
  <c r="F61" i="51"/>
  <c r="F57" i="51"/>
  <c r="F53" i="51"/>
  <c r="F52" i="51"/>
  <c r="F89" i="51"/>
  <c r="F68" i="51"/>
  <c r="F56" i="51"/>
  <c r="F54" i="51"/>
  <c r="F46" i="51"/>
  <c r="F51" i="51"/>
  <c r="F41" i="51"/>
  <c r="F81" i="51"/>
  <c r="F63" i="51"/>
  <c r="F44" i="51"/>
  <c r="F94" i="51"/>
  <c r="F75" i="51"/>
  <c r="F71" i="51"/>
  <c r="F36" i="51"/>
  <c r="F72" i="51"/>
  <c r="F42" i="51"/>
  <c r="F82" i="51"/>
  <c r="F76" i="51"/>
  <c r="F69" i="51"/>
  <c r="F37" i="51"/>
  <c r="F79" i="51"/>
  <c r="F64" i="51"/>
  <c r="F40" i="51"/>
  <c r="F45" i="51"/>
  <c r="F74" i="51"/>
  <c r="F60" i="51"/>
  <c r="F58" i="51"/>
  <c r="L12" i="51"/>
  <c r="F80" i="51"/>
  <c r="F38" i="51"/>
  <c r="F73" i="51"/>
  <c r="F49" i="51"/>
  <c r="F70" i="51"/>
  <c r="D49" i="51"/>
  <c r="F62" i="51"/>
  <c r="F67" i="51"/>
  <c r="Z16" i="9"/>
  <c r="T90" i="9"/>
  <c r="T268" i="18"/>
  <c r="Z18" i="50"/>
  <c r="T27" i="50"/>
  <c r="N18" i="43"/>
  <c r="H27" i="43"/>
  <c r="P27" i="23"/>
  <c r="X18" i="23"/>
  <c r="H35" i="109"/>
  <c r="N16" i="109"/>
  <c r="P61" i="110"/>
  <c r="X16" i="109"/>
  <c r="L16" i="107"/>
  <c r="H50" i="103"/>
  <c r="V54" i="101"/>
  <c r="Z40" i="100"/>
  <c r="P84" i="96"/>
  <c r="F20" i="94"/>
  <c r="D32" i="86"/>
  <c r="L28" i="86"/>
  <c r="H68" i="89"/>
  <c r="N20" i="89"/>
  <c r="J104" i="85"/>
  <c r="J98" i="85"/>
  <c r="J90" i="85"/>
  <c r="J78" i="85"/>
  <c r="J105" i="85"/>
  <c r="J91" i="85"/>
  <c r="J79" i="85"/>
  <c r="J106" i="85"/>
  <c r="J92" i="85"/>
  <c r="J80" i="85"/>
  <c r="J68" i="85"/>
  <c r="J107" i="85"/>
  <c r="J99" i="85"/>
  <c r="J81" i="85"/>
  <c r="J69" i="85"/>
  <c r="J63" i="85"/>
  <c r="J59" i="85"/>
  <c r="J82" i="85"/>
  <c r="J70" i="85"/>
  <c r="J64" i="85"/>
  <c r="J50" i="85"/>
  <c r="J46" i="85"/>
  <c r="J42" i="85"/>
  <c r="J38" i="85"/>
  <c r="J109" i="85"/>
  <c r="J93" i="85"/>
  <c r="J83" i="85"/>
  <c r="J71" i="85"/>
  <c r="J65" i="85"/>
  <c r="J55" i="85"/>
  <c r="J113" i="85"/>
  <c r="J85" i="85"/>
  <c r="J73" i="85"/>
  <c r="H52" i="85"/>
  <c r="L52" i="85" s="1"/>
  <c r="J47" i="85"/>
  <c r="J43" i="85"/>
  <c r="J39" i="85"/>
  <c r="J103" i="85"/>
  <c r="J97" i="85"/>
  <c r="J89" i="85"/>
  <c r="J77" i="85"/>
  <c r="J67" i="85"/>
  <c r="J84" i="85"/>
  <c r="J57" i="85"/>
  <c r="J87" i="85"/>
  <c r="J102" i="85"/>
  <c r="J52" i="85"/>
  <c r="J41" i="85"/>
  <c r="J100" i="85"/>
  <c r="J62" i="85"/>
  <c r="J60" i="85"/>
  <c r="J49" i="85"/>
  <c r="J45" i="85"/>
  <c r="J37" i="85"/>
  <c r="N12" i="85"/>
  <c r="J96" i="85"/>
  <c r="J94" i="85"/>
  <c r="J76" i="85"/>
  <c r="J35" i="85"/>
  <c r="J74" i="85"/>
  <c r="J58" i="85"/>
  <c r="J56" i="85"/>
  <c r="J88" i="85"/>
  <c r="J72" i="85"/>
  <c r="J54" i="85"/>
  <c r="J86" i="85"/>
  <c r="J101" i="85"/>
  <c r="J95" i="85"/>
  <c r="J75" i="85"/>
  <c r="J66" i="85"/>
  <c r="J61" i="85"/>
  <c r="J48" i="85"/>
  <c r="J44" i="85"/>
  <c r="J40" i="85"/>
  <c r="J36" i="85"/>
  <c r="P65" i="80"/>
  <c r="X20" i="80"/>
  <c r="T111" i="85"/>
  <c r="Z52" i="85"/>
  <c r="Z53" i="79"/>
  <c r="R20" i="80"/>
  <c r="H65" i="80"/>
  <c r="N25" i="79"/>
  <c r="H59" i="79"/>
  <c r="H66" i="76"/>
  <c r="N28" i="76"/>
  <c r="J28" i="76"/>
  <c r="Z63" i="76"/>
  <c r="Z48" i="75"/>
  <c r="T100" i="75"/>
  <c r="F54" i="71"/>
  <c r="L66" i="76"/>
  <c r="D70" i="76"/>
  <c r="Z106" i="71"/>
  <c r="P91" i="64"/>
  <c r="X16" i="64"/>
  <c r="N16" i="56"/>
  <c r="H69" i="56"/>
  <c r="H67" i="58"/>
  <c r="N16" i="58"/>
  <c r="L16" i="58"/>
  <c r="D67" i="58"/>
  <c r="N16" i="54"/>
  <c r="H22" i="54"/>
  <c r="J90" i="51"/>
  <c r="J84" i="51"/>
  <c r="J74" i="51"/>
  <c r="J46" i="51"/>
  <c r="J42" i="51"/>
  <c r="J38" i="51"/>
  <c r="J94" i="51"/>
  <c r="J88" i="51"/>
  <c r="J76" i="51"/>
  <c r="J60" i="51"/>
  <c r="J56" i="51"/>
  <c r="J78" i="51"/>
  <c r="J66" i="51"/>
  <c r="J52" i="51"/>
  <c r="J79" i="51"/>
  <c r="J67" i="51"/>
  <c r="J61" i="51"/>
  <c r="J57" i="51"/>
  <c r="J53" i="51"/>
  <c r="J51" i="51"/>
  <c r="J49" i="51"/>
  <c r="J80" i="51"/>
  <c r="J68" i="51"/>
  <c r="J62" i="51"/>
  <c r="J83" i="51"/>
  <c r="J85" i="51"/>
  <c r="J81" i="51"/>
  <c r="J65" i="51"/>
  <c r="J41" i="51"/>
  <c r="J75" i="51"/>
  <c r="J71" i="51"/>
  <c r="J63" i="51"/>
  <c r="J44" i="51"/>
  <c r="J36" i="51"/>
  <c r="J39" i="51"/>
  <c r="J72" i="51"/>
  <c r="J69" i="51"/>
  <c r="J47" i="51"/>
  <c r="J87" i="51"/>
  <c r="J82" i="51"/>
  <c r="J37" i="51"/>
  <c r="J64" i="51"/>
  <c r="J59" i="51"/>
  <c r="J40" i="51"/>
  <c r="J73" i="51"/>
  <c r="J55" i="51"/>
  <c r="J45" i="51"/>
  <c r="J70" i="51"/>
  <c r="H49" i="51"/>
  <c r="J54" i="51"/>
  <c r="N12" i="51"/>
  <c r="J58" i="51"/>
  <c r="J77" i="51"/>
  <c r="J43" i="51"/>
  <c r="J89" i="51"/>
  <c r="R53" i="48"/>
  <c r="R46" i="48"/>
  <c r="R45" i="48"/>
  <c r="R25" i="48"/>
  <c r="R21" i="48"/>
  <c r="P17" i="48"/>
  <c r="R48" i="48"/>
  <c r="R47" i="48"/>
  <c r="R36" i="48"/>
  <c r="R35" i="48"/>
  <c r="R31" i="48"/>
  <c r="R50" i="48"/>
  <c r="R49" i="48"/>
  <c r="R38" i="48"/>
  <c r="R37" i="48"/>
  <c r="R59" i="48"/>
  <c r="R56" i="48"/>
  <c r="R32" i="48"/>
  <c r="X12" i="48"/>
  <c r="Z12" i="48" s="1"/>
  <c r="R40" i="48"/>
  <c r="R20" i="48"/>
  <c r="R58" i="48"/>
  <c r="R51" i="48"/>
  <c r="R29" i="48"/>
  <c r="R54" i="48"/>
  <c r="R26" i="48"/>
  <c r="R44" i="48"/>
  <c r="R34" i="48"/>
  <c r="R15" i="48"/>
  <c r="R41" i="48"/>
  <c r="R55" i="48"/>
  <c r="R24" i="48"/>
  <c r="R52" i="48"/>
  <c r="R30" i="48"/>
  <c r="R42" i="48"/>
  <c r="R27" i="48"/>
  <c r="R22" i="48"/>
  <c r="R17" i="48"/>
  <c r="R43" i="48"/>
  <c r="R39" i="48"/>
  <c r="R33" i="48"/>
  <c r="R19" i="48"/>
  <c r="R28" i="48"/>
  <c r="R63" i="48"/>
  <c r="R23" i="48"/>
  <c r="V35" i="39"/>
  <c r="N257" i="18"/>
  <c r="R260" i="18"/>
  <c r="R254" i="18"/>
  <c r="R253" i="18"/>
  <c r="R241" i="18"/>
  <c r="R230" i="18"/>
  <c r="R229" i="18"/>
  <c r="R214" i="18"/>
  <c r="R213" i="18"/>
  <c r="R165" i="18"/>
  <c r="R161" i="18"/>
  <c r="R157" i="18"/>
  <c r="R153" i="18"/>
  <c r="R149" i="18"/>
  <c r="R145" i="18"/>
  <c r="R141" i="18"/>
  <c r="R137" i="18"/>
  <c r="R133" i="18"/>
  <c r="R129" i="18"/>
  <c r="R125" i="18"/>
  <c r="R121" i="18"/>
  <c r="R117" i="18"/>
  <c r="R259" i="18"/>
  <c r="R236" i="18"/>
  <c r="R224" i="18"/>
  <c r="R205" i="18"/>
  <c r="R204" i="18"/>
  <c r="R197" i="18"/>
  <c r="R196" i="18"/>
  <c r="R188" i="18"/>
  <c r="R184" i="18"/>
  <c r="R258" i="18"/>
  <c r="R255" i="18"/>
  <c r="R248" i="18"/>
  <c r="R247" i="18"/>
  <c r="R231" i="18"/>
  <c r="R216" i="18"/>
  <c r="R215" i="18"/>
  <c r="R179" i="18"/>
  <c r="R175" i="18"/>
  <c r="R257" i="18"/>
  <c r="R242" i="18"/>
  <c r="R207" i="18"/>
  <c r="R206" i="18"/>
  <c r="R198" i="18"/>
  <c r="R250" i="18"/>
  <c r="R249" i="18"/>
  <c r="R238" i="18"/>
  <c r="R237" i="18"/>
  <c r="R226" i="18"/>
  <c r="R225" i="18"/>
  <c r="R218" i="18"/>
  <c r="R217" i="18"/>
  <c r="R189" i="18"/>
  <c r="R185" i="18"/>
  <c r="R232" i="18"/>
  <c r="R209" i="18"/>
  <c r="R208" i="18"/>
  <c r="R180" i="18"/>
  <c r="R176" i="18"/>
  <c r="R266" i="18"/>
  <c r="R251" i="18"/>
  <c r="R243" i="18"/>
  <c r="R239" i="18"/>
  <c r="R227" i="18"/>
  <c r="R220" i="18"/>
  <c r="R219" i="18"/>
  <c r="R200" i="18"/>
  <c r="R199" i="18"/>
  <c r="R167" i="18"/>
  <c r="R163" i="18"/>
  <c r="R159" i="18"/>
  <c r="R155" i="18"/>
  <c r="R151" i="18"/>
  <c r="R147" i="18"/>
  <c r="R143" i="18"/>
  <c r="R139" i="18"/>
  <c r="R135" i="18"/>
  <c r="R131" i="18"/>
  <c r="R127" i="18"/>
  <c r="R123" i="18"/>
  <c r="R119" i="18"/>
  <c r="R265" i="18"/>
  <c r="R264" i="18"/>
  <c r="R233" i="18"/>
  <c r="R222" i="18"/>
  <c r="R221" i="18"/>
  <c r="R201" i="18"/>
  <c r="R181" i="18"/>
  <c r="R177" i="18"/>
  <c r="R261" i="18"/>
  <c r="R246" i="18"/>
  <c r="R235" i="18"/>
  <c r="R234" i="18"/>
  <c r="R203" i="18"/>
  <c r="R202" i="18"/>
  <c r="R195" i="18"/>
  <c r="R194" i="18"/>
  <c r="R183" i="18"/>
  <c r="R182" i="18"/>
  <c r="R178" i="18"/>
  <c r="R174" i="18"/>
  <c r="P170" i="18"/>
  <c r="R186" i="18"/>
  <c r="R132" i="18"/>
  <c r="R120" i="18"/>
  <c r="R245" i="18"/>
  <c r="R164" i="18"/>
  <c r="R118" i="18"/>
  <c r="R212" i="18"/>
  <c r="R190" i="18"/>
  <c r="R172" i="18"/>
  <c r="R166" i="18"/>
  <c r="R160" i="18"/>
  <c r="R128" i="18"/>
  <c r="R162" i="18"/>
  <c r="R116" i="18"/>
  <c r="R210" i="18"/>
  <c r="R193" i="18"/>
  <c r="R158" i="18"/>
  <c r="R126" i="18"/>
  <c r="R240" i="18"/>
  <c r="R191" i="18"/>
  <c r="R187" i="18"/>
  <c r="R156" i="18"/>
  <c r="R262" i="18"/>
  <c r="R223" i="18"/>
  <c r="R173" i="18"/>
  <c r="R152" i="18"/>
  <c r="X12" i="18"/>
  <c r="Z12" i="18" s="1"/>
  <c r="R244" i="18"/>
  <c r="R154" i="18"/>
  <c r="R124" i="18"/>
  <c r="R270" i="18"/>
  <c r="R170" i="18"/>
  <c r="R150" i="18"/>
  <c r="R148" i="18"/>
  <c r="R144" i="18"/>
  <c r="R140" i="18"/>
  <c r="R252" i="18"/>
  <c r="R211" i="18"/>
  <c r="R192" i="18"/>
  <c r="R134" i="18"/>
  <c r="R168" i="18"/>
  <c r="R115" i="18"/>
  <c r="R138" i="18"/>
  <c r="R263" i="18"/>
  <c r="R122" i="18"/>
  <c r="R228" i="18"/>
  <c r="R142" i="18"/>
  <c r="R136" i="18"/>
  <c r="R146" i="18"/>
  <c r="R130" i="18"/>
  <c r="Z281" i="3"/>
  <c r="R27" i="21"/>
  <c r="L18" i="112"/>
  <c r="D27" i="112"/>
  <c r="L18" i="111"/>
  <c r="D27" i="111"/>
  <c r="H27" i="44"/>
  <c r="N18" i="44"/>
  <c r="D27" i="43"/>
  <c r="L18" i="43"/>
  <c r="T27" i="41"/>
  <c r="Z18" i="41"/>
  <c r="L18" i="38"/>
  <c r="D27" i="38"/>
  <c r="X18" i="7"/>
  <c r="P27" i="7"/>
  <c r="T81" i="106"/>
  <c r="F55" i="101"/>
  <c r="F33" i="101"/>
  <c r="F32" i="101"/>
  <c r="F17" i="101"/>
  <c r="F16" i="101"/>
  <c r="F49" i="101"/>
  <c r="F28" i="101"/>
  <c r="F27" i="101"/>
  <c r="F44" i="101"/>
  <c r="F35" i="101"/>
  <c r="F34" i="101"/>
  <c r="F18" i="101"/>
  <c r="F50" i="101"/>
  <c r="F37" i="101"/>
  <c r="F36" i="101"/>
  <c r="F29" i="101"/>
  <c r="F45" i="101"/>
  <c r="F24" i="101"/>
  <c r="F23" i="101"/>
  <c r="F59" i="101"/>
  <c r="F52" i="101"/>
  <c r="F51" i="101"/>
  <c r="F46" i="101"/>
  <c r="F39" i="101"/>
  <c r="F38" i="101"/>
  <c r="F41" i="101"/>
  <c r="F40" i="101"/>
  <c r="F25" i="101"/>
  <c r="F48" i="101"/>
  <c r="F47" i="101"/>
  <c r="F54" i="101"/>
  <c r="F43" i="101"/>
  <c r="F26" i="101"/>
  <c r="D20" i="101"/>
  <c r="F20" i="101" s="1"/>
  <c r="F31" i="101"/>
  <c r="L12" i="101"/>
  <c r="N12" i="101" s="1"/>
  <c r="F42" i="101"/>
  <c r="F30" i="101"/>
  <c r="F22" i="101"/>
  <c r="D89" i="33"/>
  <c r="R70" i="108"/>
  <c r="R69" i="108"/>
  <c r="R65" i="108"/>
  <c r="R34" i="108"/>
  <c r="R33" i="108"/>
  <c r="R29" i="108"/>
  <c r="R25" i="108"/>
  <c r="P21" i="108"/>
  <c r="R82" i="108"/>
  <c r="R60" i="108"/>
  <c r="R49" i="108"/>
  <c r="R48" i="108"/>
  <c r="R72" i="108"/>
  <c r="R71" i="108"/>
  <c r="R39" i="108"/>
  <c r="R35" i="108"/>
  <c r="R66" i="108"/>
  <c r="R51" i="108"/>
  <c r="R50" i="108"/>
  <c r="R30" i="108"/>
  <c r="R26" i="108"/>
  <c r="R74" i="108"/>
  <c r="R73" i="108"/>
  <c r="R61" i="108"/>
  <c r="R53" i="108"/>
  <c r="R52" i="108"/>
  <c r="R41" i="108"/>
  <c r="R40" i="108"/>
  <c r="R36" i="108"/>
  <c r="R17" i="108"/>
  <c r="X12" i="108"/>
  <c r="Z12" i="108" s="1"/>
  <c r="R75" i="108"/>
  <c r="R67" i="108"/>
  <c r="R31" i="108"/>
  <c r="R27" i="108"/>
  <c r="R63" i="108"/>
  <c r="R62" i="108"/>
  <c r="R55" i="108"/>
  <c r="R54" i="108"/>
  <c r="R43" i="108"/>
  <c r="R42" i="108"/>
  <c r="R37" i="108"/>
  <c r="R76" i="108"/>
  <c r="R68" i="108"/>
  <c r="R64" i="108"/>
  <c r="R57" i="108"/>
  <c r="R56" i="108"/>
  <c r="R45" i="108"/>
  <c r="R44" i="108"/>
  <c r="R32" i="108"/>
  <c r="R28" i="108"/>
  <c r="R59" i="108"/>
  <c r="R58" i="108"/>
  <c r="R47" i="108"/>
  <c r="R46" i="108"/>
  <c r="R38" i="108"/>
  <c r="R23" i="108"/>
  <c r="R21" i="108"/>
  <c r="R19" i="108"/>
  <c r="R78" i="108"/>
  <c r="R18" i="108"/>
  <c r="R24" i="108"/>
  <c r="T84" i="108"/>
  <c r="J58" i="70"/>
  <c r="J40" i="70"/>
  <c r="J34" i="70"/>
  <c r="J65" i="70"/>
  <c r="J41" i="70"/>
  <c r="J29" i="70"/>
  <c r="J25" i="70"/>
  <c r="J52" i="70"/>
  <c r="J42" i="70"/>
  <c r="J69" i="70"/>
  <c r="J59" i="70"/>
  <c r="J53" i="70"/>
  <c r="J43" i="70"/>
  <c r="J35" i="70"/>
  <c r="J54" i="70"/>
  <c r="J44" i="70"/>
  <c r="J30" i="70"/>
  <c r="J26" i="70"/>
  <c r="J16" i="70"/>
  <c r="J55" i="70"/>
  <c r="J45" i="70"/>
  <c r="J17" i="70"/>
  <c r="J60" i="70"/>
  <c r="J56" i="70"/>
  <c r="J46" i="70"/>
  <c r="J36" i="70"/>
  <c r="J47" i="70"/>
  <c r="J31" i="70"/>
  <c r="J27" i="70"/>
  <c r="J48" i="70"/>
  <c r="J32" i="70"/>
  <c r="J18" i="70"/>
  <c r="J61" i="70"/>
  <c r="J57" i="70"/>
  <c r="J49" i="70"/>
  <c r="J37" i="70"/>
  <c r="J33" i="70"/>
  <c r="J23" i="70"/>
  <c r="J63" i="70"/>
  <c r="J51" i="70"/>
  <c r="J39" i="70"/>
  <c r="H20" i="70"/>
  <c r="J38" i="70"/>
  <c r="J22" i="70"/>
  <c r="J24" i="70"/>
  <c r="J20" i="70"/>
  <c r="J28" i="70"/>
  <c r="J50" i="70"/>
  <c r="J62" i="70"/>
  <c r="V78" i="51"/>
  <c r="V66" i="51"/>
  <c r="V62" i="51"/>
  <c r="T49" i="51"/>
  <c r="V80" i="51"/>
  <c r="V68" i="51"/>
  <c r="V44" i="51"/>
  <c r="V40" i="51"/>
  <c r="V36" i="51"/>
  <c r="V82" i="51"/>
  <c r="V70" i="51"/>
  <c r="V58" i="51"/>
  <c r="V54" i="51"/>
  <c r="V73" i="51"/>
  <c r="V45" i="51"/>
  <c r="V41" i="51"/>
  <c r="V37" i="51"/>
  <c r="V90" i="51"/>
  <c r="V84" i="51"/>
  <c r="V72" i="51"/>
  <c r="V64" i="51"/>
  <c r="V79" i="51"/>
  <c r="V69" i="51"/>
  <c r="V94" i="51"/>
  <c r="V47" i="51"/>
  <c r="V42" i="51"/>
  <c r="V87" i="51"/>
  <c r="V61" i="51"/>
  <c r="V59" i="51"/>
  <c r="V76" i="51"/>
  <c r="V57" i="51"/>
  <c r="V55" i="51"/>
  <c r="V88" i="51"/>
  <c r="V67" i="51"/>
  <c r="V53" i="51"/>
  <c r="V89" i="51"/>
  <c r="V77" i="51"/>
  <c r="V49" i="51"/>
  <c r="V43" i="51"/>
  <c r="V38" i="51"/>
  <c r="V74" i="51"/>
  <c r="V51" i="51"/>
  <c r="V85" i="51"/>
  <c r="V81" i="51"/>
  <c r="V75" i="51"/>
  <c r="V71" i="51"/>
  <c r="V65" i="51"/>
  <c r="V60" i="51"/>
  <c r="V46" i="51"/>
  <c r="V63" i="51"/>
  <c r="V39" i="51"/>
  <c r="V56" i="51"/>
  <c r="V52" i="51"/>
  <c r="V83" i="51"/>
  <c r="N16" i="9"/>
  <c r="H90" i="9"/>
  <c r="H27" i="112"/>
  <c r="N18" i="112"/>
  <c r="L18" i="20"/>
  <c r="D27" i="20"/>
  <c r="L18" i="4"/>
  <c r="D27" i="4"/>
  <c r="H46" i="105"/>
  <c r="N20" i="105"/>
  <c r="D46" i="103"/>
  <c r="L16" i="103"/>
  <c r="F70" i="104"/>
  <c r="F69" i="104"/>
  <c r="F58" i="104"/>
  <c r="F59" i="104"/>
  <c r="F73" i="104"/>
  <c r="F65" i="104"/>
  <c r="F61" i="104"/>
  <c r="F60" i="104"/>
  <c r="F53" i="104"/>
  <c r="F52" i="104"/>
  <c r="F55" i="104"/>
  <c r="F54" i="104"/>
  <c r="F43" i="104"/>
  <c r="F42" i="104"/>
  <c r="F79" i="104"/>
  <c r="F57" i="104"/>
  <c r="F56" i="104"/>
  <c r="F47" i="104"/>
  <c r="F38" i="104"/>
  <c r="F33" i="104"/>
  <c r="F29" i="104"/>
  <c r="F66" i="104"/>
  <c r="F64" i="104"/>
  <c r="F62" i="104"/>
  <c r="F20" i="104"/>
  <c r="F71" i="104"/>
  <c r="F48" i="104"/>
  <c r="F39" i="104"/>
  <c r="F34" i="104"/>
  <c r="F30" i="104"/>
  <c r="F26" i="104"/>
  <c r="F25" i="104"/>
  <c r="F75" i="104"/>
  <c r="F49" i="104"/>
  <c r="F44" i="104"/>
  <c r="F24" i="104"/>
  <c r="F22" i="104"/>
  <c r="F72" i="104"/>
  <c r="F36" i="104"/>
  <c r="F35" i="104"/>
  <c r="D22" i="104"/>
  <c r="L12" i="104"/>
  <c r="N12" i="104" s="1"/>
  <c r="F67" i="104"/>
  <c r="F50" i="104"/>
  <c r="F45" i="104"/>
  <c r="F40" i="104"/>
  <c r="F31" i="104"/>
  <c r="F27" i="104"/>
  <c r="F63" i="104"/>
  <c r="F37" i="104"/>
  <c r="F68" i="104"/>
  <c r="F41" i="104"/>
  <c r="F19" i="104"/>
  <c r="F18" i="104"/>
  <c r="F28" i="104"/>
  <c r="F51" i="104"/>
  <c r="F32" i="104"/>
  <c r="F46" i="104"/>
  <c r="L74" i="102"/>
  <c r="T81" i="104"/>
  <c r="R69" i="98"/>
  <c r="R68" i="98"/>
  <c r="R66" i="98"/>
  <c r="R50" i="98"/>
  <c r="R49" i="98"/>
  <c r="R41" i="98"/>
  <c r="R40" i="98"/>
  <c r="R78" i="98"/>
  <c r="R65" i="98"/>
  <c r="R59" i="98"/>
  <c r="R52" i="98"/>
  <c r="R51" i="98"/>
  <c r="R35" i="98"/>
  <c r="R16" i="98"/>
  <c r="R72" i="98"/>
  <c r="R53" i="98"/>
  <c r="R74" i="98"/>
  <c r="R61" i="98"/>
  <c r="R60" i="98"/>
  <c r="R45" i="98"/>
  <c r="R44" i="98"/>
  <c r="R36" i="98"/>
  <c r="X12" i="98"/>
  <c r="Z12" i="98" s="1"/>
  <c r="R63" i="98"/>
  <c r="R62" i="98"/>
  <c r="R55" i="98"/>
  <c r="R54" i="98"/>
  <c r="R46" i="98"/>
  <c r="R23" i="98"/>
  <c r="R18" i="98"/>
  <c r="R37" i="98"/>
  <c r="R33" i="98"/>
  <c r="R22" i="98"/>
  <c r="R20" i="98"/>
  <c r="R71" i="98"/>
  <c r="R67" i="98"/>
  <c r="R58" i="98"/>
  <c r="R39" i="98"/>
  <c r="R38" i="98"/>
  <c r="R34" i="98"/>
  <c r="R64" i="98"/>
  <c r="R48" i="98"/>
  <c r="R32" i="98"/>
  <c r="R29" i="98"/>
  <c r="R42" i="98"/>
  <c r="R24" i="98"/>
  <c r="P20" i="98"/>
  <c r="R57" i="98"/>
  <c r="R70" i="98"/>
  <c r="R27" i="98"/>
  <c r="R17" i="98"/>
  <c r="R43" i="98"/>
  <c r="R30" i="98"/>
  <c r="R25" i="98"/>
  <c r="R26" i="98"/>
  <c r="R56" i="98"/>
  <c r="R31" i="98"/>
  <c r="R47" i="98"/>
  <c r="R28" i="98"/>
  <c r="V76" i="96"/>
  <c r="V61" i="96"/>
  <c r="V53" i="96"/>
  <c r="V62" i="96"/>
  <c r="V75" i="96"/>
  <c r="V63" i="96"/>
  <c r="V59" i="96"/>
  <c r="V79" i="96"/>
  <c r="V51" i="96"/>
  <c r="V30" i="96"/>
  <c r="V26" i="96"/>
  <c r="V73" i="96"/>
  <c r="V65" i="96"/>
  <c r="V64" i="96"/>
  <c r="V56" i="96"/>
  <c r="V45" i="96"/>
  <c r="V17" i="96"/>
  <c r="V77" i="96"/>
  <c r="V68" i="96"/>
  <c r="V57" i="96"/>
  <c r="V36" i="96"/>
  <c r="V32" i="96"/>
  <c r="Z12" i="96"/>
  <c r="V71" i="96"/>
  <c r="V47" i="96"/>
  <c r="V31" i="96"/>
  <c r="V27" i="96"/>
  <c r="V23" i="96"/>
  <c r="V52" i="96"/>
  <c r="V46" i="96"/>
  <c r="V38" i="96"/>
  <c r="V22" i="96"/>
  <c r="V20" i="96"/>
  <c r="V18" i="96"/>
  <c r="V37" i="96"/>
  <c r="V33" i="96"/>
  <c r="V74" i="96"/>
  <c r="V69" i="96"/>
  <c r="V58" i="96"/>
  <c r="V49" i="96"/>
  <c r="V48" i="96"/>
  <c r="V40" i="96"/>
  <c r="V28" i="96"/>
  <c r="V24" i="96"/>
  <c r="V80" i="96"/>
  <c r="V66" i="96"/>
  <c r="V39" i="96"/>
  <c r="V78" i="96"/>
  <c r="V55" i="96"/>
  <c r="V54" i="96"/>
  <c r="V42" i="96"/>
  <c r="V34" i="96"/>
  <c r="V50" i="96"/>
  <c r="V43" i="96"/>
  <c r="V35" i="96"/>
  <c r="V41" i="96"/>
  <c r="V86" i="96"/>
  <c r="T20" i="96"/>
  <c r="X20" i="96" s="1"/>
  <c r="V70" i="96"/>
  <c r="V44" i="96"/>
  <c r="V67" i="96"/>
  <c r="V25" i="96"/>
  <c r="V82" i="96"/>
  <c r="V72" i="96"/>
  <c r="V16" i="96"/>
  <c r="V60" i="96"/>
  <c r="V29" i="96"/>
  <c r="T77" i="93"/>
  <c r="V73" i="93"/>
  <c r="H82" i="92"/>
  <c r="L82" i="92" s="1"/>
  <c r="N16" i="92"/>
  <c r="V23" i="86"/>
  <c r="T18" i="86"/>
  <c r="V22" i="86"/>
  <c r="V26" i="86"/>
  <c r="V24" i="86"/>
  <c r="Z12" i="86"/>
  <c r="V30" i="86"/>
  <c r="V20" i="86"/>
  <c r="V16" i="86"/>
  <c r="V15" i="86"/>
  <c r="V21" i="86"/>
  <c r="R21" i="86"/>
  <c r="R16" i="86"/>
  <c r="R20" i="86"/>
  <c r="R23" i="86"/>
  <c r="R22" i="86"/>
  <c r="P18" i="86"/>
  <c r="R24" i="86"/>
  <c r="X12" i="86"/>
  <c r="R26" i="86"/>
  <c r="R15" i="86"/>
  <c r="R30" i="86"/>
  <c r="V46" i="79"/>
  <c r="V38" i="79"/>
  <c r="T25" i="79"/>
  <c r="V33" i="79"/>
  <c r="V29" i="79"/>
  <c r="V48" i="79"/>
  <c r="V40" i="79"/>
  <c r="V20" i="79"/>
  <c r="V57" i="79"/>
  <c r="V39" i="79"/>
  <c r="V56" i="79"/>
  <c r="V50" i="79"/>
  <c r="V42" i="79"/>
  <c r="V34" i="79"/>
  <c r="V30" i="79"/>
  <c r="V55" i="79"/>
  <c r="V49" i="79"/>
  <c r="V41" i="79"/>
  <c r="V21" i="79"/>
  <c r="V54" i="79"/>
  <c r="V36" i="79"/>
  <c r="Z12" i="79"/>
  <c r="V61" i="79"/>
  <c r="V53" i="79"/>
  <c r="V51" i="79"/>
  <c r="V43" i="79"/>
  <c r="V35" i="79"/>
  <c r="V31" i="79"/>
  <c r="V22" i="79"/>
  <c r="V18" i="79"/>
  <c r="V45" i="79"/>
  <c r="V37" i="79"/>
  <c r="V44" i="79"/>
  <c r="V32" i="79"/>
  <c r="V28" i="79"/>
  <c r="V47" i="79"/>
  <c r="V27" i="79"/>
  <c r="V25" i="79"/>
  <c r="V23" i="79"/>
  <c r="V19" i="79"/>
  <c r="X20" i="70"/>
  <c r="R20" i="70"/>
  <c r="P67" i="70"/>
  <c r="R97" i="75"/>
  <c r="V99" i="71"/>
  <c r="V91" i="71"/>
  <c r="V83" i="71"/>
  <c r="V75" i="71"/>
  <c r="V63" i="71"/>
  <c r="V59" i="71"/>
  <c r="V94" i="71"/>
  <c r="V74" i="71"/>
  <c r="V50" i="71"/>
  <c r="V46" i="71"/>
  <c r="V42" i="71"/>
  <c r="V38" i="71"/>
  <c r="V101" i="71"/>
  <c r="V93" i="71"/>
  <c r="V85" i="71"/>
  <c r="V69" i="71"/>
  <c r="V100" i="71"/>
  <c r="V84" i="71"/>
  <c r="V76" i="71"/>
  <c r="V64" i="71"/>
  <c r="V60" i="71"/>
  <c r="V103" i="71"/>
  <c r="V95" i="71"/>
  <c r="V87" i="71"/>
  <c r="V51" i="71"/>
  <c r="V47" i="71"/>
  <c r="V43" i="71"/>
  <c r="V39" i="71"/>
  <c r="V108" i="71"/>
  <c r="V102" i="71"/>
  <c r="V86" i="71"/>
  <c r="V78" i="71"/>
  <c r="V70" i="71"/>
  <c r="V107" i="71"/>
  <c r="V89" i="71"/>
  <c r="V77" i="71"/>
  <c r="V65" i="71"/>
  <c r="V61" i="71"/>
  <c r="V57" i="71"/>
  <c r="V106" i="71"/>
  <c r="V104" i="71"/>
  <c r="V96" i="71"/>
  <c r="V88" i="71"/>
  <c r="V80" i="71"/>
  <c r="V56" i="71"/>
  <c r="V52" i="71"/>
  <c r="V48" i="71"/>
  <c r="V44" i="71"/>
  <c r="V40" i="71"/>
  <c r="V79" i="71"/>
  <c r="V71" i="71"/>
  <c r="V67" i="71"/>
  <c r="T54" i="71"/>
  <c r="V112" i="71"/>
  <c r="V98" i="71"/>
  <c r="V90" i="71"/>
  <c r="V82" i="71"/>
  <c r="V66" i="71"/>
  <c r="V62" i="71"/>
  <c r="V58" i="71"/>
  <c r="V92" i="71"/>
  <c r="V72" i="71"/>
  <c r="V68" i="71"/>
  <c r="Z12" i="71"/>
  <c r="V41" i="71"/>
  <c r="V37" i="71"/>
  <c r="V49" i="71"/>
  <c r="V81" i="71"/>
  <c r="V97" i="71"/>
  <c r="V73" i="71"/>
  <c r="V45" i="71"/>
  <c r="L16" i="57"/>
  <c r="D57" i="57"/>
  <c r="Z16" i="59"/>
  <c r="T62" i="59"/>
  <c r="D61" i="48"/>
  <c r="L17" i="48"/>
  <c r="X49" i="51"/>
  <c r="P92" i="51"/>
  <c r="Z121" i="39"/>
  <c r="R122" i="36"/>
  <c r="R115" i="36"/>
  <c r="R100" i="36"/>
  <c r="R96" i="36"/>
  <c r="R65" i="36"/>
  <c r="R64" i="36"/>
  <c r="R57" i="36"/>
  <c r="R56" i="36"/>
  <c r="R48" i="36"/>
  <c r="R44" i="36"/>
  <c r="X12" i="36"/>
  <c r="Z12" i="36" s="1"/>
  <c r="R108" i="36"/>
  <c r="R107" i="36"/>
  <c r="R84" i="36"/>
  <c r="R83" i="36"/>
  <c r="R76" i="36"/>
  <c r="R75" i="36"/>
  <c r="R39" i="36"/>
  <c r="R35" i="36"/>
  <c r="R90" i="36"/>
  <c r="R67" i="36"/>
  <c r="R66" i="36"/>
  <c r="R58" i="36"/>
  <c r="R109" i="36"/>
  <c r="R101" i="36"/>
  <c r="R97" i="36"/>
  <c r="R85" i="36"/>
  <c r="R78" i="36"/>
  <c r="R77" i="36"/>
  <c r="R49" i="36"/>
  <c r="R45" i="36"/>
  <c r="R26" i="36"/>
  <c r="R91" i="36"/>
  <c r="R80" i="36"/>
  <c r="R79" i="36"/>
  <c r="R59" i="36"/>
  <c r="R27" i="36"/>
  <c r="R110" i="36"/>
  <c r="R81" i="36"/>
  <c r="R70" i="36"/>
  <c r="R69" i="36"/>
  <c r="R41" i="36"/>
  <c r="R37" i="36"/>
  <c r="R118" i="36"/>
  <c r="R112" i="36"/>
  <c r="R111" i="36"/>
  <c r="R104" i="36"/>
  <c r="R103" i="36"/>
  <c r="R99" i="36"/>
  <c r="R72" i="36"/>
  <c r="R71" i="36"/>
  <c r="R47" i="36"/>
  <c r="R32" i="36"/>
  <c r="R116" i="36"/>
  <c r="R113" i="36"/>
  <c r="R106" i="36"/>
  <c r="R105" i="36"/>
  <c r="R89" i="36"/>
  <c r="R74" i="36"/>
  <c r="R73" i="36"/>
  <c r="R55" i="36"/>
  <c r="R50" i="36"/>
  <c r="R40" i="36"/>
  <c r="R62" i="36"/>
  <c r="R98" i="36"/>
  <c r="R94" i="36"/>
  <c r="R88" i="36"/>
  <c r="R82" i="36"/>
  <c r="R53" i="36"/>
  <c r="R86" i="36"/>
  <c r="R60" i="36"/>
  <c r="R51" i="36"/>
  <c r="R43" i="36"/>
  <c r="R102" i="36"/>
  <c r="R92" i="36"/>
  <c r="R33" i="36"/>
  <c r="R68" i="36"/>
  <c r="R63" i="36"/>
  <c r="P30" i="36"/>
  <c r="R95" i="36"/>
  <c r="R54" i="36"/>
  <c r="R61" i="36"/>
  <c r="R34" i="36"/>
  <c r="R28" i="36"/>
  <c r="R117" i="36"/>
  <c r="R42" i="36"/>
  <c r="R36" i="36"/>
  <c r="R52" i="36"/>
  <c r="R46" i="36"/>
  <c r="R38" i="36"/>
  <c r="R87" i="36"/>
  <c r="R93" i="36"/>
  <c r="R54" i="33"/>
  <c r="R53" i="33"/>
  <c r="R30" i="33"/>
  <c r="R72" i="33"/>
  <c r="R65" i="33"/>
  <c r="R64" i="33"/>
  <c r="R49" i="33"/>
  <c r="R48" i="33"/>
  <c r="R44" i="33"/>
  <c r="R56" i="33"/>
  <c r="R55" i="33"/>
  <c r="R40" i="33"/>
  <c r="R35" i="33"/>
  <c r="R31" i="33"/>
  <c r="R67" i="33"/>
  <c r="R66" i="33"/>
  <c r="R50" i="33"/>
  <c r="R39" i="33"/>
  <c r="R73" i="33"/>
  <c r="R58" i="33"/>
  <c r="R57" i="33"/>
  <c r="R45" i="33"/>
  <c r="R41" i="33"/>
  <c r="P37" i="33"/>
  <c r="R37" i="33" s="1"/>
  <c r="R83" i="33"/>
  <c r="R69" i="33"/>
  <c r="R68" i="33"/>
  <c r="R32" i="33"/>
  <c r="R82" i="33"/>
  <c r="R60" i="33"/>
  <c r="R59" i="33"/>
  <c r="R51" i="33"/>
  <c r="R81" i="33"/>
  <c r="R75" i="33"/>
  <c r="R74" i="33"/>
  <c r="R70" i="33"/>
  <c r="R46" i="33"/>
  <c r="R42" i="33"/>
  <c r="R79" i="33"/>
  <c r="R76" i="33"/>
  <c r="R52" i="33"/>
  <c r="X12" i="33"/>
  <c r="R63" i="33"/>
  <c r="R62" i="33"/>
  <c r="R34" i="33"/>
  <c r="R78" i="33"/>
  <c r="R61" i="33"/>
  <c r="R33" i="33"/>
  <c r="R43" i="33"/>
  <c r="R47" i="33"/>
  <c r="R80" i="33"/>
  <c r="R71" i="33"/>
  <c r="R87" i="33"/>
  <c r="J80" i="33"/>
  <c r="J76" i="33"/>
  <c r="J52" i="33"/>
  <c r="N12" i="33"/>
  <c r="J79" i="33"/>
  <c r="J71" i="33"/>
  <c r="J47" i="33"/>
  <c r="J43" i="33"/>
  <c r="J78" i="33"/>
  <c r="J62" i="33"/>
  <c r="J34" i="33"/>
  <c r="J63" i="33"/>
  <c r="J53" i="33"/>
  <c r="J72" i="33"/>
  <c r="J64" i="33"/>
  <c r="J54" i="33"/>
  <c r="J48" i="33"/>
  <c r="J44" i="33"/>
  <c r="J30" i="33"/>
  <c r="J65" i="33"/>
  <c r="J55" i="33"/>
  <c r="J49" i="33"/>
  <c r="J35" i="33"/>
  <c r="J31" i="33"/>
  <c r="J66" i="33"/>
  <c r="J56" i="33"/>
  <c r="J50" i="33"/>
  <c r="J40" i="33"/>
  <c r="J73" i="33"/>
  <c r="J67" i="33"/>
  <c r="J57" i="33"/>
  <c r="J45" i="33"/>
  <c r="J41" i="33"/>
  <c r="J39" i="33"/>
  <c r="J83" i="33"/>
  <c r="J69" i="33"/>
  <c r="J59" i="33"/>
  <c r="J51" i="33"/>
  <c r="J87" i="33"/>
  <c r="J81" i="33"/>
  <c r="J75" i="33"/>
  <c r="J61" i="33"/>
  <c r="J33" i="33"/>
  <c r="J42" i="33"/>
  <c r="J68" i="33"/>
  <c r="J70" i="33"/>
  <c r="J46" i="33"/>
  <c r="J74" i="33"/>
  <c r="J60" i="33"/>
  <c r="J58" i="33"/>
  <c r="L12" i="33"/>
  <c r="H37" i="33"/>
  <c r="J37" i="33" s="1"/>
  <c r="J82" i="33"/>
  <c r="J32" i="33"/>
  <c r="P111" i="27"/>
  <c r="X55" i="27"/>
  <c r="X235" i="15"/>
  <c r="Z235" i="15" s="1"/>
  <c r="Z148" i="15"/>
  <c r="T244" i="15"/>
  <c r="F248" i="12"/>
  <c r="F243" i="12"/>
  <c r="F242" i="12"/>
  <c r="F235" i="12"/>
  <c r="F219" i="12"/>
  <c r="F207" i="12"/>
  <c r="F206" i="12"/>
  <c r="F195" i="12"/>
  <c r="F171" i="12"/>
  <c r="F246" i="12"/>
  <c r="F237" i="12"/>
  <c r="F236" i="12"/>
  <c r="F209" i="12"/>
  <c r="F208" i="12"/>
  <c r="F197" i="12"/>
  <c r="F196" i="12"/>
  <c r="F156" i="12"/>
  <c r="F149" i="12"/>
  <c r="F145" i="12"/>
  <c r="F141" i="12"/>
  <c r="F137" i="12"/>
  <c r="F133" i="12"/>
  <c r="F129" i="12"/>
  <c r="F125" i="12"/>
  <c r="F121" i="12"/>
  <c r="F117" i="12"/>
  <c r="F113" i="12"/>
  <c r="F245" i="12"/>
  <c r="F220" i="12"/>
  <c r="F188" i="12"/>
  <c r="F187" i="12"/>
  <c r="F180" i="12"/>
  <c r="F179" i="12"/>
  <c r="F172" i="12"/>
  <c r="F168" i="12"/>
  <c r="F167" i="12"/>
  <c r="D154" i="12"/>
  <c r="F154" i="12" s="1"/>
  <c r="F239" i="12"/>
  <c r="F238" i="12"/>
  <c r="F231" i="12"/>
  <c r="F227" i="12"/>
  <c r="F215" i="12"/>
  <c r="F199" i="12"/>
  <c r="F198" i="12"/>
  <c r="F163" i="12"/>
  <c r="F159" i="12"/>
  <c r="F210" i="12"/>
  <c r="F190" i="12"/>
  <c r="F189" i="12"/>
  <c r="F182" i="12"/>
  <c r="F181" i="12"/>
  <c r="F150" i="12"/>
  <c r="F146" i="12"/>
  <c r="F142" i="12"/>
  <c r="F138" i="12"/>
  <c r="F134" i="12"/>
  <c r="F130" i="12"/>
  <c r="F126" i="12"/>
  <c r="F122" i="12"/>
  <c r="F118" i="12"/>
  <c r="F114" i="12"/>
  <c r="F110" i="12"/>
  <c r="F221" i="12"/>
  <c r="F217" i="12"/>
  <c r="F216" i="12"/>
  <c r="F201" i="12"/>
  <c r="F200" i="12"/>
  <c r="F173" i="12"/>
  <c r="F169" i="12"/>
  <c r="F240" i="12"/>
  <c r="F232" i="12"/>
  <c r="F228" i="12"/>
  <c r="F192" i="12"/>
  <c r="F191" i="12"/>
  <c r="F164" i="12"/>
  <c r="F160" i="12"/>
  <c r="F252" i="12"/>
  <c r="F223" i="12"/>
  <c r="F222" i="12"/>
  <c r="F211" i="12"/>
  <c r="F203" i="12"/>
  <c r="F202" i="12"/>
  <c r="F183" i="12"/>
  <c r="F151" i="12"/>
  <c r="F147" i="12"/>
  <c r="F143" i="12"/>
  <c r="F139" i="12"/>
  <c r="F135" i="12"/>
  <c r="F131" i="12"/>
  <c r="F127" i="12"/>
  <c r="F123" i="12"/>
  <c r="F119" i="12"/>
  <c r="F115" i="12"/>
  <c r="F111" i="12"/>
  <c r="F256" i="12"/>
  <c r="F251" i="12"/>
  <c r="F234" i="12"/>
  <c r="F233" i="12"/>
  <c r="F218" i="12"/>
  <c r="F194" i="12"/>
  <c r="F193" i="12"/>
  <c r="F174" i="12"/>
  <c r="F170" i="12"/>
  <c r="F249" i="12"/>
  <c r="F224" i="12"/>
  <c r="F176" i="12"/>
  <c r="F175" i="12"/>
  <c r="F152" i="12"/>
  <c r="F148" i="12"/>
  <c r="F144" i="12"/>
  <c r="F140" i="12"/>
  <c r="F136" i="12"/>
  <c r="F132" i="12"/>
  <c r="F128" i="12"/>
  <c r="F124" i="12"/>
  <c r="F120" i="12"/>
  <c r="F116" i="12"/>
  <c r="F112" i="12"/>
  <c r="F177" i="12"/>
  <c r="F165" i="12"/>
  <c r="F109" i="12"/>
  <c r="F162" i="12"/>
  <c r="F106" i="12"/>
  <c r="F225" i="12"/>
  <c r="F213" i="12"/>
  <c r="F230" i="12"/>
  <c r="F185" i="12"/>
  <c r="F161" i="12"/>
  <c r="F158" i="12"/>
  <c r="F204" i="12"/>
  <c r="F178" i="12"/>
  <c r="F247" i="12"/>
  <c r="F229" i="12"/>
  <c r="F166" i="12"/>
  <c r="F108" i="12"/>
  <c r="F104" i="12"/>
  <c r="F241" i="12"/>
  <c r="F226" i="12"/>
  <c r="F214" i="12"/>
  <c r="F212" i="12"/>
  <c r="F250" i="12"/>
  <c r="F184" i="12"/>
  <c r="F205" i="12"/>
  <c r="F157" i="12"/>
  <c r="L12" i="12"/>
  <c r="N12" i="12" s="1"/>
  <c r="F103" i="12"/>
  <c r="F186" i="12"/>
  <c r="F105" i="12"/>
  <c r="F102" i="12"/>
  <c r="F107" i="12"/>
  <c r="X16" i="9"/>
  <c r="X185" i="3"/>
  <c r="Z185" i="3" s="1"/>
  <c r="P293" i="3"/>
  <c r="L18" i="113"/>
  <c r="D27" i="113"/>
  <c r="L18" i="53"/>
  <c r="D27" i="53"/>
  <c r="H27" i="47"/>
  <c r="N18" i="47"/>
  <c r="X18" i="49"/>
  <c r="P27" i="49"/>
  <c r="X18" i="46"/>
  <c r="P27" i="46"/>
  <c r="P27" i="52"/>
  <c r="X18" i="52"/>
  <c r="X18" i="43"/>
  <c r="P27" i="43"/>
  <c r="H27" i="40"/>
  <c r="N18" i="40"/>
  <c r="X18" i="35"/>
  <c r="P27" i="35"/>
  <c r="L18" i="32"/>
  <c r="D27" i="32"/>
  <c r="P27" i="32"/>
  <c r="X18" i="32"/>
  <c r="H27" i="22"/>
  <c r="N18" i="22"/>
  <c r="X18" i="29"/>
  <c r="P27" i="29"/>
  <c r="L18" i="26"/>
  <c r="D27" i="26"/>
  <c r="D27" i="10"/>
  <c r="L18" i="10"/>
  <c r="T27" i="8"/>
  <c r="Z18" i="8"/>
  <c r="Z20" i="84"/>
  <c r="T77" i="84"/>
  <c r="X18" i="22"/>
  <c r="P27" i="22"/>
  <c r="V53" i="110"/>
  <c r="V45" i="110"/>
  <c r="V25" i="110"/>
  <c r="V21" i="110"/>
  <c r="V48" i="110"/>
  <c r="V36" i="110"/>
  <c r="V55" i="110"/>
  <c r="V47" i="110"/>
  <c r="V35" i="110"/>
  <c r="V31" i="110"/>
  <c r="V54" i="110"/>
  <c r="V50" i="110"/>
  <c r="V38" i="110"/>
  <c r="V26" i="110"/>
  <c r="V22" i="110"/>
  <c r="V59" i="110"/>
  <c r="V49" i="110"/>
  <c r="V37" i="110"/>
  <c r="V58" i="110"/>
  <c r="V56" i="110"/>
  <c r="V40" i="110"/>
  <c r="V32" i="110"/>
  <c r="V42" i="110"/>
  <c r="V63" i="110"/>
  <c r="V41" i="110"/>
  <c r="V33" i="110"/>
  <c r="V29" i="110"/>
  <c r="V46" i="110"/>
  <c r="V34" i="110"/>
  <c r="V30" i="110"/>
  <c r="T17" i="110"/>
  <c r="V19" i="110"/>
  <c r="V15" i="110"/>
  <c r="V39" i="110"/>
  <c r="Z12" i="110"/>
  <c r="V52" i="110"/>
  <c r="V44" i="110"/>
  <c r="V28" i="110"/>
  <c r="V23" i="110"/>
  <c r="V20" i="110"/>
  <c r="V43" i="110"/>
  <c r="V24" i="110"/>
  <c r="V27" i="110"/>
  <c r="V51" i="110"/>
  <c r="L17" i="100"/>
  <c r="D43" i="100"/>
  <c r="D22" i="99"/>
  <c r="L16" i="99"/>
  <c r="D80" i="98"/>
  <c r="L76" i="98"/>
  <c r="N76" i="98" s="1"/>
  <c r="D84" i="96"/>
  <c r="L20" i="96"/>
  <c r="H84" i="96"/>
  <c r="N20" i="96"/>
  <c r="J20" i="96"/>
  <c r="D80" i="88"/>
  <c r="L20" i="88"/>
  <c r="N20" i="88" s="1"/>
  <c r="R52" i="85"/>
  <c r="V20" i="81"/>
  <c r="H100" i="75"/>
  <c r="F67" i="70"/>
  <c r="N87" i="64"/>
  <c r="D81" i="74"/>
  <c r="L51" i="74"/>
  <c r="N51" i="74" s="1"/>
  <c r="P47" i="60"/>
  <c r="X16" i="60"/>
  <c r="X16" i="57"/>
  <c r="P57" i="57"/>
  <c r="D34" i="55"/>
  <c r="L30" i="55"/>
  <c r="N30" i="55" s="1"/>
  <c r="Z31" i="54"/>
  <c r="H61" i="48"/>
  <c r="N17" i="48"/>
  <c r="J17" i="48"/>
  <c r="R109" i="42"/>
  <c r="V107" i="36"/>
  <c r="V83" i="36"/>
  <c r="V75" i="36"/>
  <c r="V67" i="36"/>
  <c r="V39" i="36"/>
  <c r="V35" i="36"/>
  <c r="V90" i="36"/>
  <c r="V78" i="36"/>
  <c r="V66" i="36"/>
  <c r="V58" i="36"/>
  <c r="V26" i="36"/>
  <c r="V109" i="36"/>
  <c r="V101" i="36"/>
  <c r="V97" i="36"/>
  <c r="V85" i="36"/>
  <c r="V77" i="36"/>
  <c r="V49" i="36"/>
  <c r="V45" i="36"/>
  <c r="V80" i="36"/>
  <c r="V68" i="36"/>
  <c r="V40" i="36"/>
  <c r="V36" i="36"/>
  <c r="V110" i="36"/>
  <c r="V102" i="36"/>
  <c r="V98" i="36"/>
  <c r="V86" i="36"/>
  <c r="V70" i="36"/>
  <c r="V50" i="36"/>
  <c r="V46" i="36"/>
  <c r="V118" i="36"/>
  <c r="V112" i="36"/>
  <c r="V104" i="36"/>
  <c r="V92" i="36"/>
  <c r="V88" i="36"/>
  <c r="V72" i="36"/>
  <c r="V60" i="36"/>
  <c r="V52" i="36"/>
  <c r="V32" i="36"/>
  <c r="V28" i="36"/>
  <c r="V116" i="36"/>
  <c r="V106" i="36"/>
  <c r="V94" i="36"/>
  <c r="V82" i="36"/>
  <c r="V74" i="36"/>
  <c r="V62" i="36"/>
  <c r="V54" i="36"/>
  <c r="V42" i="36"/>
  <c r="V38" i="36"/>
  <c r="V34" i="36"/>
  <c r="V122" i="36"/>
  <c r="V108" i="36"/>
  <c r="V100" i="36"/>
  <c r="V96" i="36"/>
  <c r="V84" i="36"/>
  <c r="V76" i="36"/>
  <c r="V64" i="36"/>
  <c r="V56" i="36"/>
  <c r="V48" i="36"/>
  <c r="V44" i="36"/>
  <c r="V115" i="36"/>
  <c r="V105" i="36"/>
  <c r="V103" i="36"/>
  <c r="V69" i="36"/>
  <c r="V53" i="36"/>
  <c r="V27" i="36"/>
  <c r="V65" i="36"/>
  <c r="V51" i="36"/>
  <c r="V43" i="36"/>
  <c r="V111" i="36"/>
  <c r="V33" i="36"/>
  <c r="V113" i="36"/>
  <c r="V63" i="36"/>
  <c r="V37" i="36"/>
  <c r="V95" i="36"/>
  <c r="V47" i="36"/>
  <c r="V41" i="36"/>
  <c r="T30" i="36"/>
  <c r="V30" i="36" s="1"/>
  <c r="V87" i="36"/>
  <c r="V61" i="36"/>
  <c r="V57" i="36"/>
  <c r="V117" i="36"/>
  <c r="V99" i="36"/>
  <c r="V91" i="36"/>
  <c r="V89" i="36"/>
  <c r="V81" i="36"/>
  <c r="V79" i="36"/>
  <c r="V73" i="36"/>
  <c r="V71" i="36"/>
  <c r="V59" i="36"/>
  <c r="V93" i="36"/>
  <c r="V55" i="36"/>
  <c r="L78" i="33"/>
  <c r="N78" i="33" s="1"/>
  <c r="V72" i="33"/>
  <c r="V64" i="33"/>
  <c r="V56" i="33"/>
  <c r="V48" i="33"/>
  <c r="V44" i="33"/>
  <c r="V40" i="33"/>
  <c r="V67" i="33"/>
  <c r="V55" i="33"/>
  <c r="V39" i="33"/>
  <c r="V35" i="33"/>
  <c r="V31" i="33"/>
  <c r="V66" i="33"/>
  <c r="V58" i="33"/>
  <c r="V50" i="33"/>
  <c r="T37" i="33"/>
  <c r="V37" i="33" s="1"/>
  <c r="V83" i="33"/>
  <c r="V73" i="33"/>
  <c r="V69" i="33"/>
  <c r="V57" i="33"/>
  <c r="V45" i="33"/>
  <c r="V41" i="33"/>
  <c r="V82" i="33"/>
  <c r="V68" i="33"/>
  <c r="V60" i="33"/>
  <c r="V32" i="33"/>
  <c r="V81" i="33"/>
  <c r="V75" i="33"/>
  <c r="V59" i="33"/>
  <c r="V51" i="33"/>
  <c r="V80" i="33"/>
  <c r="V74" i="33"/>
  <c r="V70" i="33"/>
  <c r="V46" i="33"/>
  <c r="V42" i="33"/>
  <c r="V87" i="33"/>
  <c r="V79" i="33"/>
  <c r="V61" i="33"/>
  <c r="V33" i="33"/>
  <c r="V71" i="33"/>
  <c r="V63" i="33"/>
  <c r="V47" i="33"/>
  <c r="V43" i="33"/>
  <c r="V65" i="33"/>
  <c r="V53" i="33"/>
  <c r="V49" i="33"/>
  <c r="V78" i="33"/>
  <c r="V76" i="33"/>
  <c r="V30" i="33"/>
  <c r="Z12" i="33"/>
  <c r="V54" i="33"/>
  <c r="V52" i="33"/>
  <c r="V62" i="33"/>
  <c r="V34" i="33"/>
  <c r="R107" i="27"/>
  <c r="R133" i="30"/>
  <c r="L245" i="12"/>
  <c r="V257" i="18"/>
  <c r="Z154" i="12"/>
  <c r="T254" i="12"/>
  <c r="H27" i="49"/>
  <c r="N18" i="49"/>
  <c r="X18" i="38"/>
  <c r="P27" i="38"/>
  <c r="H27" i="34"/>
  <c r="N18" i="34"/>
  <c r="H27" i="32"/>
  <c r="N18" i="32"/>
  <c r="T27" i="34"/>
  <c r="Z18" i="34"/>
  <c r="T27" i="31"/>
  <c r="Z18" i="31"/>
  <c r="H27" i="25"/>
  <c r="N18" i="25"/>
  <c r="X18" i="13"/>
  <c r="P27" i="13"/>
  <c r="T27" i="17"/>
  <c r="Z18" i="17"/>
  <c r="T27" i="5"/>
  <c r="Z18" i="5"/>
  <c r="X18" i="5"/>
  <c r="P27" i="5"/>
  <c r="H77" i="104"/>
  <c r="Z31" i="109"/>
  <c r="V20" i="105"/>
  <c r="P46" i="105"/>
  <c r="X20" i="105"/>
  <c r="Z20" i="105" s="1"/>
  <c r="P46" i="103"/>
  <c r="X16" i="103"/>
  <c r="X20" i="94"/>
  <c r="P63" i="94"/>
  <c r="X78" i="92"/>
  <c r="H77" i="84"/>
  <c r="N20" i="84"/>
  <c r="J20" i="81"/>
  <c r="V20" i="84"/>
  <c r="P66" i="76"/>
  <c r="P114" i="71"/>
  <c r="V54" i="70"/>
  <c r="V46" i="70"/>
  <c r="V30" i="70"/>
  <c r="V26" i="70"/>
  <c r="V45" i="70"/>
  <c r="V60" i="70"/>
  <c r="V56" i="70"/>
  <c r="V48" i="70"/>
  <c r="V36" i="70"/>
  <c r="V32" i="70"/>
  <c r="Z12" i="70"/>
  <c r="V47" i="70"/>
  <c r="V31" i="70"/>
  <c r="V27" i="70"/>
  <c r="V23" i="70"/>
  <c r="V62" i="70"/>
  <c r="V50" i="70"/>
  <c r="V38" i="70"/>
  <c r="V22" i="70"/>
  <c r="V18" i="70"/>
  <c r="V61" i="70"/>
  <c r="V57" i="70"/>
  <c r="V49" i="70"/>
  <c r="V37" i="70"/>
  <c r="V33" i="70"/>
  <c r="T20" i="70"/>
  <c r="V20" i="70" s="1"/>
  <c r="V40" i="70"/>
  <c r="V28" i="70"/>
  <c r="V24" i="70"/>
  <c r="V65" i="70"/>
  <c r="V63" i="70"/>
  <c r="V51" i="70"/>
  <c r="V39" i="70"/>
  <c r="V58" i="70"/>
  <c r="V42" i="70"/>
  <c r="V34" i="70"/>
  <c r="V53" i="70"/>
  <c r="V41" i="70"/>
  <c r="V29" i="70"/>
  <c r="V25" i="70"/>
  <c r="V69" i="70"/>
  <c r="V59" i="70"/>
  <c r="V55" i="70"/>
  <c r="V43" i="70"/>
  <c r="V35" i="70"/>
  <c r="V17" i="70"/>
  <c r="V52" i="70"/>
  <c r="V16" i="70"/>
  <c r="V44" i="70"/>
  <c r="D62" i="59"/>
  <c r="L16" i="59"/>
  <c r="D95" i="64"/>
  <c r="L91" i="64"/>
  <c r="T54" i="60"/>
  <c r="N58" i="48"/>
  <c r="F17" i="48"/>
  <c r="L109" i="42"/>
  <c r="V101" i="42"/>
  <c r="V77" i="42"/>
  <c r="V69" i="42"/>
  <c r="V61" i="42"/>
  <c r="V53" i="42"/>
  <c r="V45" i="42"/>
  <c r="V41" i="42"/>
  <c r="T28" i="42"/>
  <c r="V84" i="42"/>
  <c r="V72" i="42"/>
  <c r="V60" i="42"/>
  <c r="V52" i="42"/>
  <c r="V40" i="42"/>
  <c r="V36" i="42"/>
  <c r="V32" i="42"/>
  <c r="V103" i="42"/>
  <c r="V95" i="42"/>
  <c r="V91" i="42"/>
  <c r="V79" i="42"/>
  <c r="V71" i="42"/>
  <c r="V63" i="42"/>
  <c r="V55" i="42"/>
  <c r="V74" i="42"/>
  <c r="V62" i="42"/>
  <c r="V54" i="42"/>
  <c r="V46" i="42"/>
  <c r="V42" i="42"/>
  <c r="V85" i="42"/>
  <c r="V81" i="42"/>
  <c r="V104" i="42"/>
  <c r="V96" i="42"/>
  <c r="V92" i="42"/>
  <c r="V80" i="42"/>
  <c r="V64" i="42"/>
  <c r="V56" i="42"/>
  <c r="V24" i="42"/>
  <c r="V87" i="42"/>
  <c r="V75" i="42"/>
  <c r="V47" i="42"/>
  <c r="V43" i="42"/>
  <c r="V112" i="42"/>
  <c r="V106" i="42"/>
  <c r="V98" i="42"/>
  <c r="V86" i="42"/>
  <c r="V82" i="42"/>
  <c r="V66" i="42"/>
  <c r="V38" i="42"/>
  <c r="V34" i="42"/>
  <c r="V110" i="42"/>
  <c r="V100" i="42"/>
  <c r="V88" i="42"/>
  <c r="V76" i="42"/>
  <c r="V68" i="42"/>
  <c r="V48" i="42"/>
  <c r="V44" i="42"/>
  <c r="Z12" i="42"/>
  <c r="V116" i="42"/>
  <c r="V102" i="42"/>
  <c r="V94" i="42"/>
  <c r="V90" i="42"/>
  <c r="V78" i="42"/>
  <c r="V70" i="42"/>
  <c r="V58" i="42"/>
  <c r="V50" i="42"/>
  <c r="V30" i="42"/>
  <c r="V28" i="42"/>
  <c r="V26" i="42"/>
  <c r="V67" i="42"/>
  <c r="V59" i="42"/>
  <c r="V111" i="42"/>
  <c r="V73" i="42"/>
  <c r="V57" i="42"/>
  <c r="V35" i="42"/>
  <c r="V109" i="42"/>
  <c r="V51" i="42"/>
  <c r="V49" i="42"/>
  <c r="V37" i="42"/>
  <c r="V105" i="42"/>
  <c r="V93" i="42"/>
  <c r="V107" i="42"/>
  <c r="V39" i="42"/>
  <c r="V25" i="42"/>
  <c r="V31" i="42"/>
  <c r="V99" i="42"/>
  <c r="V65" i="42"/>
  <c r="V33" i="42"/>
  <c r="V97" i="42"/>
  <c r="X12" i="42"/>
  <c r="V83" i="42"/>
  <c r="V89" i="42"/>
  <c r="F92" i="36"/>
  <c r="F88" i="36"/>
  <c r="F87" i="36"/>
  <c r="F60" i="36"/>
  <c r="F52" i="36"/>
  <c r="F51" i="36"/>
  <c r="F28" i="36"/>
  <c r="F111" i="36"/>
  <c r="F103" i="36"/>
  <c r="F99" i="36"/>
  <c r="F71" i="36"/>
  <c r="F70" i="36"/>
  <c r="F47" i="36"/>
  <c r="F94" i="36"/>
  <c r="F93" i="36"/>
  <c r="F82" i="36"/>
  <c r="F62" i="36"/>
  <c r="F61" i="36"/>
  <c r="F54" i="36"/>
  <c r="F53" i="36"/>
  <c r="F42" i="36"/>
  <c r="F38" i="36"/>
  <c r="F34" i="36"/>
  <c r="F33" i="36"/>
  <c r="F118" i="36"/>
  <c r="F113" i="36"/>
  <c r="F112" i="36"/>
  <c r="F105" i="36"/>
  <c r="F104" i="36"/>
  <c r="F89" i="36"/>
  <c r="F73" i="36"/>
  <c r="F72" i="36"/>
  <c r="F32" i="36"/>
  <c r="F116" i="36"/>
  <c r="F107" i="36"/>
  <c r="F106" i="36"/>
  <c r="F83" i="36"/>
  <c r="F75" i="36"/>
  <c r="F74" i="36"/>
  <c r="F39" i="36"/>
  <c r="F35" i="36"/>
  <c r="F115" i="36"/>
  <c r="F109" i="36"/>
  <c r="F108" i="36"/>
  <c r="F101" i="36"/>
  <c r="F97" i="36"/>
  <c r="F85" i="36"/>
  <c r="F84" i="36"/>
  <c r="F77" i="36"/>
  <c r="F76" i="36"/>
  <c r="F49" i="36"/>
  <c r="F45" i="36"/>
  <c r="F91" i="36"/>
  <c r="F79" i="36"/>
  <c r="F78" i="36"/>
  <c r="F59" i="36"/>
  <c r="F27" i="36"/>
  <c r="F26" i="36"/>
  <c r="F81" i="36"/>
  <c r="F80" i="36"/>
  <c r="F69" i="36"/>
  <c r="F41" i="36"/>
  <c r="F37" i="36"/>
  <c r="F122" i="36"/>
  <c r="F46" i="36"/>
  <c r="F64" i="36"/>
  <c r="F57" i="36"/>
  <c r="F48" i="36"/>
  <c r="F36" i="36"/>
  <c r="F117" i="36"/>
  <c r="F96" i="36"/>
  <c r="F50" i="36"/>
  <c r="F40" i="36"/>
  <c r="F55" i="36"/>
  <c r="F98" i="36"/>
  <c r="F58" i="36"/>
  <c r="F100" i="36"/>
  <c r="F90" i="36"/>
  <c r="F67" i="36"/>
  <c r="F86" i="36"/>
  <c r="L12" i="36"/>
  <c r="F102" i="36"/>
  <c r="F56" i="36"/>
  <c r="F43" i="36"/>
  <c r="D30" i="36"/>
  <c r="F30" i="36" s="1"/>
  <c r="F110" i="36"/>
  <c r="F63" i="36"/>
  <c r="F66" i="36"/>
  <c r="F44" i="36"/>
  <c r="F68" i="36"/>
  <c r="F95" i="36"/>
  <c r="F65" i="36"/>
  <c r="F85" i="33"/>
  <c r="N115" i="36"/>
  <c r="J245" i="12"/>
  <c r="P254" i="12"/>
  <c r="X154" i="12"/>
  <c r="H22" i="6"/>
  <c r="N16" i="6"/>
  <c r="H268" i="18"/>
  <c r="V281" i="3"/>
  <c r="H27" i="37"/>
  <c r="N18" i="37"/>
  <c r="X18" i="31"/>
  <c r="P27" i="31"/>
  <c r="T27" i="26"/>
  <c r="Z18" i="26"/>
  <c r="N18" i="28"/>
  <c r="H27" i="28"/>
  <c r="D27" i="28"/>
  <c r="L18" i="28"/>
  <c r="H27" i="19"/>
  <c r="N18" i="19"/>
  <c r="P27" i="19"/>
  <c r="X18" i="19"/>
  <c r="T27" i="13"/>
  <c r="Z18" i="13"/>
  <c r="H27" i="11"/>
  <c r="N18" i="11"/>
  <c r="T27" i="7"/>
  <c r="Z18" i="7"/>
  <c r="H27" i="8"/>
  <c r="N18" i="8"/>
  <c r="L18" i="5"/>
  <c r="D27" i="5"/>
  <c r="L18" i="8"/>
  <c r="D27" i="8"/>
  <c r="F68" i="102"/>
  <c r="F67" i="102"/>
  <c r="F56" i="102"/>
  <c r="F55" i="102"/>
  <c r="F70" i="102"/>
  <c r="F69" i="102"/>
  <c r="F58" i="102"/>
  <c r="F57" i="102"/>
  <c r="F46" i="102"/>
  <c r="F45" i="102"/>
  <c r="F18" i="102"/>
  <c r="F17" i="102"/>
  <c r="F37" i="102"/>
  <c r="F72" i="102"/>
  <c r="F71" i="102"/>
  <c r="F64" i="102"/>
  <c r="F48" i="102"/>
  <c r="F47" i="102"/>
  <c r="F75" i="102"/>
  <c r="F52" i="102"/>
  <c r="F51" i="102"/>
  <c r="F40" i="102"/>
  <c r="F39" i="102"/>
  <c r="F23" i="102"/>
  <c r="F66" i="102"/>
  <c r="F62" i="102"/>
  <c r="F50" i="102"/>
  <c r="F43" i="102"/>
  <c r="F34" i="102"/>
  <c r="F25" i="102"/>
  <c r="F59" i="102"/>
  <c r="F28" i="102"/>
  <c r="F54" i="102"/>
  <c r="F31" i="102"/>
  <c r="L12" i="102"/>
  <c r="N12" i="102" s="1"/>
  <c r="F19" i="102"/>
  <c r="F44" i="102"/>
  <c r="F35" i="102"/>
  <c r="F29" i="102"/>
  <c r="F26" i="102"/>
  <c r="F60" i="102"/>
  <c r="F41" i="102"/>
  <c r="F32" i="102"/>
  <c r="F38" i="102"/>
  <c r="F61" i="102"/>
  <c r="F49" i="102"/>
  <c r="D21" i="102"/>
  <c r="F63" i="102"/>
  <c r="F42" i="102"/>
  <c r="F36" i="102"/>
  <c r="F33" i="102"/>
  <c r="F27" i="102"/>
  <c r="F74" i="102"/>
  <c r="F53" i="102"/>
  <c r="F24" i="102"/>
  <c r="F30" i="102"/>
  <c r="F65" i="102"/>
  <c r="F79" i="102"/>
  <c r="F67" i="95"/>
  <c r="F66" i="95"/>
  <c r="F55" i="95"/>
  <c r="F54" i="95"/>
  <c r="F43" i="95"/>
  <c r="F42" i="95"/>
  <c r="F35" i="95"/>
  <c r="F62" i="95"/>
  <c r="F30" i="95"/>
  <c r="F26" i="95"/>
  <c r="F69" i="95"/>
  <c r="F68" i="95"/>
  <c r="F57" i="95"/>
  <c r="F56" i="95"/>
  <c r="F45" i="95"/>
  <c r="F44" i="95"/>
  <c r="F36" i="95"/>
  <c r="F71" i="95"/>
  <c r="F18" i="95"/>
  <c r="F75" i="95"/>
  <c r="F49" i="95"/>
  <c r="F48" i="95"/>
  <c r="F37" i="95"/>
  <c r="F33" i="95"/>
  <c r="F32" i="95"/>
  <c r="F64" i="95"/>
  <c r="F60" i="95"/>
  <c r="F28" i="95"/>
  <c r="F24" i="95"/>
  <c r="F23" i="95"/>
  <c r="F65" i="95"/>
  <c r="F38" i="95"/>
  <c r="F50" i="95"/>
  <c r="F16" i="95"/>
  <c r="F41" i="95"/>
  <c r="F34" i="95"/>
  <c r="F46" i="95"/>
  <c r="F20" i="95"/>
  <c r="F53" i="95"/>
  <c r="F39" i="95"/>
  <c r="D20" i="95"/>
  <c r="F17" i="95"/>
  <c r="F58" i="95"/>
  <c r="F51" i="95"/>
  <c r="F47" i="95"/>
  <c r="L12" i="95"/>
  <c r="N12" i="95" s="1"/>
  <c r="F63" i="95"/>
  <c r="F61" i="95"/>
  <c r="F52" i="95"/>
  <c r="F59" i="95"/>
  <c r="F29" i="95"/>
  <c r="F40" i="95"/>
  <c r="F31" i="95"/>
  <c r="F25" i="95"/>
  <c r="F27" i="95"/>
  <c r="F22" i="95"/>
  <c r="D27" i="37"/>
  <c r="L18" i="37"/>
  <c r="X18" i="26"/>
  <c r="P27" i="26"/>
  <c r="V80" i="108"/>
  <c r="H81" i="106"/>
  <c r="P77" i="104"/>
  <c r="X22" i="104"/>
  <c r="Z22" i="104" s="1"/>
  <c r="Z16" i="99"/>
  <c r="T22" i="99"/>
  <c r="X16" i="99"/>
  <c r="P71" i="81"/>
  <c r="X20" i="81"/>
  <c r="Z20" i="81" s="1"/>
  <c r="X21" i="83"/>
  <c r="Z21" i="83" s="1"/>
  <c r="P29" i="83"/>
  <c r="L87" i="77"/>
  <c r="N87" i="77" s="1"/>
  <c r="L20" i="80"/>
  <c r="N20" i="80" s="1"/>
  <c r="D65" i="80"/>
  <c r="V57" i="76"/>
  <c r="V49" i="76"/>
  <c r="V41" i="76"/>
  <c r="T28" i="76"/>
  <c r="X28" i="76" s="1"/>
  <c r="V48" i="76"/>
  <c r="V36" i="76"/>
  <c r="V32" i="76"/>
  <c r="V51" i="76"/>
  <c r="V58" i="76"/>
  <c r="V50" i="76"/>
  <c r="V42" i="76"/>
  <c r="V53" i="76"/>
  <c r="V37" i="76"/>
  <c r="V33" i="76"/>
  <c r="V60" i="76"/>
  <c r="V52" i="76"/>
  <c r="V59" i="76"/>
  <c r="V55" i="76"/>
  <c r="V43" i="76"/>
  <c r="V64" i="76"/>
  <c r="V54" i="76"/>
  <c r="V38" i="76"/>
  <c r="V34" i="76"/>
  <c r="V56" i="76"/>
  <c r="V44" i="76"/>
  <c r="V40" i="76"/>
  <c r="Z12" i="76"/>
  <c r="V47" i="76"/>
  <c r="V39" i="76"/>
  <c r="V35" i="76"/>
  <c r="V31" i="76"/>
  <c r="V68" i="76"/>
  <c r="V46" i="76"/>
  <c r="V30" i="76"/>
  <c r="V28" i="76"/>
  <c r="V26" i="76"/>
  <c r="V45" i="76"/>
  <c r="V63" i="76"/>
  <c r="V61" i="76"/>
  <c r="T81" i="74"/>
  <c r="F62" i="75"/>
  <c r="D48" i="75"/>
  <c r="F48" i="75" s="1"/>
  <c r="F98" i="75"/>
  <c r="F81" i="75"/>
  <c r="F80" i="75"/>
  <c r="F69" i="75"/>
  <c r="F68" i="75"/>
  <c r="F57" i="75"/>
  <c r="F53" i="75"/>
  <c r="F102" i="75"/>
  <c r="F97" i="75"/>
  <c r="F88" i="75"/>
  <c r="F44" i="75"/>
  <c r="F40" i="75"/>
  <c r="F36" i="75"/>
  <c r="F71" i="75"/>
  <c r="F70" i="75"/>
  <c r="F63" i="75"/>
  <c r="F82" i="75"/>
  <c r="F58" i="75"/>
  <c r="F54" i="75"/>
  <c r="F89" i="75"/>
  <c r="F73" i="75"/>
  <c r="F72" i="75"/>
  <c r="F45" i="75"/>
  <c r="F41" i="75"/>
  <c r="F37" i="75"/>
  <c r="F33" i="75"/>
  <c r="F32" i="75"/>
  <c r="F84" i="75"/>
  <c r="F83" i="75"/>
  <c r="F64" i="75"/>
  <c r="L12" i="75"/>
  <c r="N12" i="75" s="1"/>
  <c r="F91" i="75"/>
  <c r="F90" i="75"/>
  <c r="F75" i="75"/>
  <c r="F74" i="75"/>
  <c r="F59" i="75"/>
  <c r="F55" i="75"/>
  <c r="F93" i="75"/>
  <c r="F92" i="75"/>
  <c r="F77" i="75"/>
  <c r="F76" i="75"/>
  <c r="F65" i="75"/>
  <c r="F61" i="75"/>
  <c r="F60" i="75"/>
  <c r="F56" i="75"/>
  <c r="F52" i="75"/>
  <c r="F51" i="75"/>
  <c r="F95" i="75"/>
  <c r="F94" i="75"/>
  <c r="F87" i="75"/>
  <c r="F79" i="75"/>
  <c r="F78" i="75"/>
  <c r="F67" i="75"/>
  <c r="F66" i="75"/>
  <c r="F50" i="75"/>
  <c r="F43" i="75"/>
  <c r="F39" i="75"/>
  <c r="F35" i="75"/>
  <c r="F46" i="75"/>
  <c r="F38" i="75"/>
  <c r="F85" i="75"/>
  <c r="F34" i="75"/>
  <c r="F42" i="75"/>
  <c r="F86" i="75"/>
  <c r="H49" i="61"/>
  <c r="N16" i="61"/>
  <c r="L12" i="70"/>
  <c r="N12" i="70" s="1"/>
  <c r="F82" i="69"/>
  <c r="F74" i="69"/>
  <c r="F95" i="69"/>
  <c r="F94" i="69"/>
  <c r="F75" i="69"/>
  <c r="F101" i="69"/>
  <c r="F79" i="69"/>
  <c r="F78" i="69"/>
  <c r="F71" i="69"/>
  <c r="F67" i="69"/>
  <c r="F90" i="69"/>
  <c r="F89" i="69"/>
  <c r="F58" i="69"/>
  <c r="F54" i="69"/>
  <c r="F50" i="69"/>
  <c r="F46" i="69"/>
  <c r="F42" i="69"/>
  <c r="F41" i="69"/>
  <c r="F81" i="69"/>
  <c r="F80" i="69"/>
  <c r="F73" i="69"/>
  <c r="F72" i="69"/>
  <c r="F91" i="69"/>
  <c r="F62" i="69"/>
  <c r="F55" i="69"/>
  <c r="F51" i="69"/>
  <c r="F47" i="69"/>
  <c r="F43" i="69"/>
  <c r="F70" i="69"/>
  <c r="F66" i="69"/>
  <c r="F56" i="69"/>
  <c r="F68" i="69"/>
  <c r="F64" i="69"/>
  <c r="F93" i="69"/>
  <c r="F88" i="69"/>
  <c r="F85" i="69"/>
  <c r="D60" i="69"/>
  <c r="F49" i="69"/>
  <c r="F44" i="69"/>
  <c r="F86" i="69"/>
  <c r="F77" i="69"/>
  <c r="F57" i="69"/>
  <c r="F52" i="69"/>
  <c r="F69" i="69"/>
  <c r="F65" i="69"/>
  <c r="F92" i="69"/>
  <c r="L12" i="69"/>
  <c r="N12" i="69" s="1"/>
  <c r="F87" i="69"/>
  <c r="F53" i="69"/>
  <c r="F48" i="69"/>
  <c r="F84" i="69"/>
  <c r="F76" i="69"/>
  <c r="F63" i="69"/>
  <c r="F97" i="69"/>
  <c r="F83" i="69"/>
  <c r="F45" i="69"/>
  <c r="T95" i="64"/>
  <c r="X16" i="61"/>
  <c r="P49" i="61"/>
  <c r="D49" i="61"/>
  <c r="L16" i="61"/>
  <c r="L16" i="64"/>
  <c r="R78" i="45"/>
  <c r="R77" i="45"/>
  <c r="R73" i="45"/>
  <c r="R41" i="45"/>
  <c r="R26" i="45"/>
  <c r="R80" i="45"/>
  <c r="R79" i="45"/>
  <c r="R74" i="45"/>
  <c r="R63" i="45"/>
  <c r="R62" i="45"/>
  <c r="R51" i="45"/>
  <c r="R50" i="45"/>
  <c r="R42" i="45"/>
  <c r="R38" i="45"/>
  <c r="R82" i="45"/>
  <c r="R81" i="45"/>
  <c r="R70" i="45"/>
  <c r="R69" i="45"/>
  <c r="R33" i="45"/>
  <c r="R29" i="45"/>
  <c r="R64" i="45"/>
  <c r="R53" i="45"/>
  <c r="R52" i="45"/>
  <c r="R83" i="45"/>
  <c r="R75" i="45"/>
  <c r="R71" i="45"/>
  <c r="R43" i="45"/>
  <c r="R39" i="45"/>
  <c r="R20" i="45"/>
  <c r="R55" i="45"/>
  <c r="R54" i="45"/>
  <c r="R34" i="45"/>
  <c r="R30" i="45"/>
  <c r="R66" i="45"/>
  <c r="R65" i="45"/>
  <c r="R59" i="45"/>
  <c r="R58" i="45"/>
  <c r="R47" i="45"/>
  <c r="R46" i="45"/>
  <c r="R27" i="45"/>
  <c r="R22" i="45"/>
  <c r="R49" i="45"/>
  <c r="R45" i="45"/>
  <c r="R67" i="45"/>
  <c r="R28" i="45"/>
  <c r="R86" i="45"/>
  <c r="R32" i="45"/>
  <c r="R60" i="45"/>
  <c r="R56" i="45"/>
  <c r="R40" i="45"/>
  <c r="R36" i="45"/>
  <c r="X12" i="45"/>
  <c r="Z12" i="45" s="1"/>
  <c r="R21" i="45"/>
  <c r="R72" i="45"/>
  <c r="R48" i="45"/>
  <c r="R90" i="45"/>
  <c r="R84" i="45"/>
  <c r="R31" i="45"/>
  <c r="R35" i="45"/>
  <c r="R44" i="45"/>
  <c r="R68" i="45"/>
  <c r="R57" i="45"/>
  <c r="P24" i="45"/>
  <c r="R61" i="45"/>
  <c r="R37" i="45"/>
  <c r="R76" i="45"/>
  <c r="X12" i="51"/>
  <c r="Z12" i="51" s="1"/>
  <c r="R87" i="51"/>
  <c r="N87" i="51"/>
  <c r="N109" i="42"/>
  <c r="J28" i="42"/>
  <c r="V90" i="45"/>
  <c r="V80" i="45"/>
  <c r="V68" i="45"/>
  <c r="V60" i="45"/>
  <c r="V48" i="45"/>
  <c r="V36" i="45"/>
  <c r="V32" i="45"/>
  <c r="V28" i="45"/>
  <c r="V82" i="45"/>
  <c r="V74" i="45"/>
  <c r="V70" i="45"/>
  <c r="V62" i="45"/>
  <c r="V50" i="45"/>
  <c r="V42" i="45"/>
  <c r="V38" i="45"/>
  <c r="V81" i="45"/>
  <c r="V69" i="45"/>
  <c r="V53" i="45"/>
  <c r="V33" i="45"/>
  <c r="V29" i="45"/>
  <c r="V64" i="45"/>
  <c r="V52" i="45"/>
  <c r="V20" i="45"/>
  <c r="V83" i="45"/>
  <c r="V75" i="45"/>
  <c r="V71" i="45"/>
  <c r="V55" i="45"/>
  <c r="V43" i="45"/>
  <c r="V39" i="45"/>
  <c r="V66" i="45"/>
  <c r="V54" i="45"/>
  <c r="V34" i="45"/>
  <c r="V30" i="45"/>
  <c r="V65" i="45"/>
  <c r="V57" i="45"/>
  <c r="V45" i="45"/>
  <c r="V21" i="45"/>
  <c r="V86" i="45"/>
  <c r="V84" i="45"/>
  <c r="V76" i="45"/>
  <c r="V72" i="45"/>
  <c r="V56" i="45"/>
  <c r="V44" i="45"/>
  <c r="V40" i="45"/>
  <c r="V77" i="45"/>
  <c r="V73" i="45"/>
  <c r="V61" i="45"/>
  <c r="V49" i="45"/>
  <c r="V41" i="45"/>
  <c r="V37" i="45"/>
  <c r="T24" i="45"/>
  <c r="V67" i="45"/>
  <c r="V22" i="45"/>
  <c r="V26" i="45"/>
  <c r="V79" i="45"/>
  <c r="V27" i="45"/>
  <c r="V58" i="45"/>
  <c r="V78" i="45"/>
  <c r="V63" i="45"/>
  <c r="V59" i="45"/>
  <c r="V24" i="45"/>
  <c r="V51" i="45"/>
  <c r="V47" i="45"/>
  <c r="V31" i="45"/>
  <c r="V46" i="45"/>
  <c r="V35" i="45"/>
  <c r="J124" i="39"/>
  <c r="J118" i="39"/>
  <c r="J110" i="39"/>
  <c r="J100" i="39"/>
  <c r="J88" i="39"/>
  <c r="J123" i="39"/>
  <c r="J119" i="39"/>
  <c r="J111" i="39"/>
  <c r="J101" i="39"/>
  <c r="J95" i="39"/>
  <c r="J89" i="39"/>
  <c r="J81" i="39"/>
  <c r="J71" i="39"/>
  <c r="J128" i="39"/>
  <c r="J122" i="39"/>
  <c r="J112" i="39"/>
  <c r="J106" i="39"/>
  <c r="J102" i="39"/>
  <c r="J90" i="39"/>
  <c r="J82" i="39"/>
  <c r="J121" i="39"/>
  <c r="J113" i="39"/>
  <c r="J83" i="39"/>
  <c r="J115" i="39"/>
  <c r="J107" i="39"/>
  <c r="J103" i="39"/>
  <c r="J97" i="39"/>
  <c r="J93" i="39"/>
  <c r="J99" i="39"/>
  <c r="J87" i="39"/>
  <c r="J77" i="39"/>
  <c r="J117" i="39"/>
  <c r="J109" i="39"/>
  <c r="J105" i="39"/>
  <c r="J108" i="39"/>
  <c r="J56" i="39"/>
  <c r="J46" i="39"/>
  <c r="J42" i="39"/>
  <c r="J96" i="39"/>
  <c r="J91" i="39"/>
  <c r="J73" i="39"/>
  <c r="J65" i="39"/>
  <c r="J57" i="39"/>
  <c r="J33" i="39"/>
  <c r="J94" i="39"/>
  <c r="J84" i="39"/>
  <c r="J66" i="39"/>
  <c r="J58" i="39"/>
  <c r="J52" i="39"/>
  <c r="J38" i="39"/>
  <c r="N12" i="39"/>
  <c r="J67" i="39"/>
  <c r="J59" i="39"/>
  <c r="J47" i="39"/>
  <c r="J43" i="39"/>
  <c r="J39" i="39"/>
  <c r="J37" i="39"/>
  <c r="J78" i="39"/>
  <c r="J74" i="39"/>
  <c r="J68" i="39"/>
  <c r="J60" i="39"/>
  <c r="J48" i="39"/>
  <c r="H35" i="39"/>
  <c r="J35" i="39" s="1"/>
  <c r="J92" i="39"/>
  <c r="J69" i="39"/>
  <c r="J61" i="39"/>
  <c r="J53" i="39"/>
  <c r="J49" i="39"/>
  <c r="J116" i="39"/>
  <c r="J114" i="39"/>
  <c r="J85" i="39"/>
  <c r="J75" i="39"/>
  <c r="J62" i="39"/>
  <c r="J44" i="39"/>
  <c r="J40" i="39"/>
  <c r="J79" i="39"/>
  <c r="J70" i="39"/>
  <c r="J63" i="39"/>
  <c r="J45" i="39"/>
  <c r="J41" i="39"/>
  <c r="J31" i="39"/>
  <c r="J86" i="39"/>
  <c r="J80" i="39"/>
  <c r="J76" i="39"/>
  <c r="J72" i="39"/>
  <c r="J55" i="39"/>
  <c r="J51" i="39"/>
  <c r="J32" i="39"/>
  <c r="J104" i="39"/>
  <c r="J54" i="39"/>
  <c r="J98" i="39"/>
  <c r="J64" i="39"/>
  <c r="J50" i="39"/>
  <c r="F122" i="30"/>
  <c r="F110" i="30"/>
  <c r="F109" i="30"/>
  <c r="F74" i="30"/>
  <c r="F70" i="30"/>
  <c r="F138" i="30"/>
  <c r="F133" i="30"/>
  <c r="F80" i="30"/>
  <c r="F123" i="30"/>
  <c r="F119" i="30"/>
  <c r="F118" i="30"/>
  <c r="F111" i="30"/>
  <c r="F103" i="30"/>
  <c r="F102" i="30"/>
  <c r="F91" i="30"/>
  <c r="F90" i="30"/>
  <c r="F75" i="30"/>
  <c r="F71" i="30"/>
  <c r="F62" i="30"/>
  <c r="F58" i="30"/>
  <c r="F54" i="30"/>
  <c r="F50" i="30"/>
  <c r="F46" i="30"/>
  <c r="F42" i="30"/>
  <c r="F41" i="30"/>
  <c r="F125" i="30"/>
  <c r="F124" i="30"/>
  <c r="F113" i="30"/>
  <c r="F112" i="30"/>
  <c r="F105" i="30"/>
  <c r="F104" i="30"/>
  <c r="F93" i="30"/>
  <c r="F92" i="30"/>
  <c r="F81" i="30"/>
  <c r="F77" i="30"/>
  <c r="F76" i="30"/>
  <c r="F120" i="30"/>
  <c r="F72" i="30"/>
  <c r="F68" i="30"/>
  <c r="F67" i="30"/>
  <c r="F127" i="30"/>
  <c r="F126" i="30"/>
  <c r="F107" i="30"/>
  <c r="F106" i="30"/>
  <c r="F95" i="30"/>
  <c r="F94" i="30"/>
  <c r="F83" i="30"/>
  <c r="F82" i="30"/>
  <c r="F66" i="30"/>
  <c r="F64" i="30"/>
  <c r="F59" i="30"/>
  <c r="F55" i="30"/>
  <c r="F51" i="30"/>
  <c r="F47" i="30"/>
  <c r="F43" i="30"/>
  <c r="F129" i="30"/>
  <c r="F128" i="30"/>
  <c r="F121" i="30"/>
  <c r="F97" i="30"/>
  <c r="F96" i="30"/>
  <c r="F85" i="30"/>
  <c r="F84" i="30"/>
  <c r="F73" i="30"/>
  <c r="F69" i="30"/>
  <c r="F131" i="30"/>
  <c r="F130" i="30"/>
  <c r="F115" i="30"/>
  <c r="F99" i="30"/>
  <c r="F98" i="30"/>
  <c r="F87" i="30"/>
  <c r="F86" i="30"/>
  <c r="F79" i="30"/>
  <c r="F117" i="30"/>
  <c r="F101" i="30"/>
  <c r="F61" i="30"/>
  <c r="F56" i="30"/>
  <c r="F89" i="30"/>
  <c r="D64" i="30"/>
  <c r="F53" i="30"/>
  <c r="F48" i="30"/>
  <c r="F78" i="30"/>
  <c r="F108" i="30"/>
  <c r="L12" i="30"/>
  <c r="N12" i="30" s="1"/>
  <c r="F134" i="30"/>
  <c r="F116" i="30"/>
  <c r="F114" i="30"/>
  <c r="F100" i="30"/>
  <c r="F60" i="30"/>
  <c r="F45" i="30"/>
  <c r="F88" i="30"/>
  <c r="F44" i="30"/>
  <c r="F52" i="30"/>
  <c r="F49" i="30"/>
  <c r="F57" i="30"/>
  <c r="J104" i="27"/>
  <c r="J88" i="27"/>
  <c r="J78" i="27"/>
  <c r="J66" i="27"/>
  <c r="J62" i="27"/>
  <c r="J109" i="27"/>
  <c r="J105" i="27"/>
  <c r="J97" i="27"/>
  <c r="J89" i="27"/>
  <c r="J79" i="27"/>
  <c r="J53" i="27"/>
  <c r="J49" i="27"/>
  <c r="J45" i="27"/>
  <c r="J41" i="27"/>
  <c r="J108" i="27"/>
  <c r="J90" i="27"/>
  <c r="J80" i="27"/>
  <c r="J72" i="27"/>
  <c r="J58" i="27"/>
  <c r="N12" i="27"/>
  <c r="J113" i="27"/>
  <c r="J107" i="27"/>
  <c r="J91" i="27"/>
  <c r="J81" i="27"/>
  <c r="J67" i="27"/>
  <c r="J63" i="27"/>
  <c r="J59" i="27"/>
  <c r="J57" i="27"/>
  <c r="J98" i="27"/>
  <c r="J82" i="27"/>
  <c r="J68" i="27"/>
  <c r="H55" i="27"/>
  <c r="J50" i="27"/>
  <c r="J46" i="27"/>
  <c r="J42" i="27"/>
  <c r="J99" i="27"/>
  <c r="J83" i="27"/>
  <c r="J73" i="27"/>
  <c r="J69" i="27"/>
  <c r="J100" i="27"/>
  <c r="J92" i="27"/>
  <c r="J84" i="27"/>
  <c r="J74" i="27"/>
  <c r="J64" i="27"/>
  <c r="J60" i="27"/>
  <c r="J38" i="27"/>
  <c r="J93" i="27"/>
  <c r="J75" i="27"/>
  <c r="J51" i="27"/>
  <c r="J47" i="27"/>
  <c r="J43" i="27"/>
  <c r="J39" i="27"/>
  <c r="J101" i="27"/>
  <c r="J95" i="27"/>
  <c r="J85" i="27"/>
  <c r="J77" i="27"/>
  <c r="J65" i="27"/>
  <c r="J61" i="27"/>
  <c r="J103" i="27"/>
  <c r="J87" i="27"/>
  <c r="J71" i="27"/>
  <c r="J96" i="27"/>
  <c r="J94" i="27"/>
  <c r="J76" i="27"/>
  <c r="J48" i="27"/>
  <c r="J70" i="27"/>
  <c r="J40" i="27"/>
  <c r="J102" i="27"/>
  <c r="J52" i="27"/>
  <c r="J44" i="27"/>
  <c r="J86" i="27"/>
  <c r="Z55" i="27"/>
  <c r="T111" i="27"/>
  <c r="V55" i="27"/>
  <c r="R154" i="12"/>
  <c r="D90" i="9"/>
  <c r="L16" i="9"/>
  <c r="H293" i="3"/>
  <c r="T27" i="112"/>
  <c r="Z18" i="112"/>
  <c r="P27" i="111"/>
  <c r="X18" i="111"/>
  <c r="T27" i="111"/>
  <c r="Z18" i="111"/>
  <c r="D27" i="47"/>
  <c r="L18" i="47"/>
  <c r="T27" i="38"/>
  <c r="Z18" i="38"/>
  <c r="L18" i="23"/>
  <c r="D27" i="23"/>
  <c r="T27" i="22"/>
  <c r="Z18" i="22"/>
  <c r="L18" i="16"/>
  <c r="D27" i="16"/>
  <c r="X18" i="11"/>
  <c r="P27" i="11"/>
  <c r="T27" i="10"/>
  <c r="Z18" i="10"/>
  <c r="H27" i="7"/>
  <c r="N18" i="7"/>
  <c r="P31" i="107" l="1"/>
  <c r="T115" i="27"/>
  <c r="V111" i="27"/>
  <c r="Z27" i="111"/>
  <c r="T31" i="111"/>
  <c r="D31" i="16"/>
  <c r="L27" i="16"/>
  <c r="X27" i="111"/>
  <c r="P31" i="111"/>
  <c r="Z27" i="13"/>
  <c r="T31" i="13"/>
  <c r="T258" i="12"/>
  <c r="V254" i="12"/>
  <c r="X57" i="57"/>
  <c r="P61" i="57"/>
  <c r="H104" i="75"/>
  <c r="J100" i="75"/>
  <c r="L27" i="20"/>
  <c r="D31" i="20"/>
  <c r="Z49" i="51"/>
  <c r="T92" i="51"/>
  <c r="X92" i="51" s="1"/>
  <c r="H31" i="44"/>
  <c r="N27" i="44"/>
  <c r="H73" i="56"/>
  <c r="T104" i="75"/>
  <c r="V100" i="75"/>
  <c r="H31" i="17"/>
  <c r="N27" i="17"/>
  <c r="X69" i="56"/>
  <c r="P73" i="56"/>
  <c r="H80" i="93"/>
  <c r="J77" i="93"/>
  <c r="P66" i="59"/>
  <c r="X62" i="59"/>
  <c r="V24" i="73"/>
  <c r="L77" i="84"/>
  <c r="D81" i="84"/>
  <c r="F77" i="84"/>
  <c r="D67" i="94"/>
  <c r="L63" i="94"/>
  <c r="F63" i="94"/>
  <c r="Z27" i="43"/>
  <c r="T31" i="43"/>
  <c r="T73" i="95"/>
  <c r="Z20" i="95"/>
  <c r="T77" i="102"/>
  <c r="X27" i="4"/>
  <c r="P31" i="4"/>
  <c r="L27" i="34"/>
  <c r="D31" i="34"/>
  <c r="D244" i="15"/>
  <c r="L148" i="15"/>
  <c r="N148" i="15" s="1"/>
  <c r="L47" i="60"/>
  <c r="D51" i="60"/>
  <c r="P81" i="74"/>
  <c r="X51" i="74"/>
  <c r="Z51" i="74" s="1"/>
  <c r="L27" i="19"/>
  <c r="D31" i="19"/>
  <c r="T26" i="6"/>
  <c r="Z22" i="6"/>
  <c r="Z27" i="23"/>
  <c r="T31" i="23"/>
  <c r="D114" i="71"/>
  <c r="F110" i="71"/>
  <c r="P72" i="89"/>
  <c r="R68" i="89"/>
  <c r="X27" i="22"/>
  <c r="P31" i="22"/>
  <c r="T115" i="85"/>
  <c r="V111" i="85"/>
  <c r="D31" i="13"/>
  <c r="L27" i="13"/>
  <c r="L27" i="52"/>
  <c r="D31" i="52"/>
  <c r="H104" i="21"/>
  <c r="J100" i="21"/>
  <c r="T96" i="77"/>
  <c r="V92" i="77"/>
  <c r="H83" i="98"/>
  <c r="J80" i="98"/>
  <c r="T297" i="3"/>
  <c r="V293" i="3"/>
  <c r="H75" i="81"/>
  <c r="N71" i="81"/>
  <c r="J71" i="81"/>
  <c r="H77" i="95"/>
  <c r="J73" i="95"/>
  <c r="P31" i="25"/>
  <c r="X27" i="25"/>
  <c r="Z27" i="22"/>
  <c r="T31" i="22"/>
  <c r="Z27" i="112"/>
  <c r="T31" i="112"/>
  <c r="H53" i="61"/>
  <c r="T85" i="74"/>
  <c r="V81" i="74"/>
  <c r="P33" i="83"/>
  <c r="X29" i="83"/>
  <c r="Z29" i="83" s="1"/>
  <c r="R29" i="83"/>
  <c r="P31" i="19"/>
  <c r="X27" i="19"/>
  <c r="H31" i="37"/>
  <c r="N27" i="37"/>
  <c r="Z28" i="42"/>
  <c r="T114" i="42"/>
  <c r="P31" i="5"/>
  <c r="X27" i="5"/>
  <c r="H88" i="96"/>
  <c r="J84" i="96"/>
  <c r="H31" i="22"/>
  <c r="N27" i="22"/>
  <c r="P31" i="52"/>
  <c r="X27" i="52"/>
  <c r="T248" i="15"/>
  <c r="V244" i="15"/>
  <c r="P76" i="98"/>
  <c r="X20" i="98"/>
  <c r="T85" i="106"/>
  <c r="V81" i="106"/>
  <c r="X17" i="48"/>
  <c r="Z17" i="48" s="1"/>
  <c r="P61" i="48"/>
  <c r="H92" i="51"/>
  <c r="X27" i="16"/>
  <c r="P31" i="16"/>
  <c r="N27" i="26"/>
  <c r="H31" i="26"/>
  <c r="D118" i="24"/>
  <c r="F114" i="24"/>
  <c r="H114" i="24"/>
  <c r="N72" i="24"/>
  <c r="T74" i="58"/>
  <c r="P92" i="77"/>
  <c r="X49" i="77"/>
  <c r="Z49" i="77" s="1"/>
  <c r="N27" i="111"/>
  <c r="H31" i="111"/>
  <c r="T53" i="61"/>
  <c r="P84" i="88"/>
  <c r="R80" i="88"/>
  <c r="X20" i="101"/>
  <c r="Z20" i="101" s="1"/>
  <c r="P57" i="101"/>
  <c r="P118" i="42"/>
  <c r="X114" i="42"/>
  <c r="R114" i="42"/>
  <c r="P77" i="95"/>
  <c r="R73" i="95"/>
  <c r="N27" i="38"/>
  <c r="H31" i="38"/>
  <c r="X27" i="112"/>
  <c r="P31" i="112"/>
  <c r="P140" i="30"/>
  <c r="R136" i="30"/>
  <c r="N47" i="60"/>
  <c r="H51" i="60"/>
  <c r="D56" i="68"/>
  <c r="L52" i="68"/>
  <c r="N27" i="46"/>
  <c r="H31" i="46"/>
  <c r="P31" i="40"/>
  <c r="X27" i="40"/>
  <c r="D31" i="5"/>
  <c r="L27" i="5"/>
  <c r="P117" i="71"/>
  <c r="R114" i="71"/>
  <c r="T31" i="34"/>
  <c r="Z27" i="34"/>
  <c r="X47" i="60"/>
  <c r="Z47" i="60" s="1"/>
  <c r="P51" i="60"/>
  <c r="T61" i="110"/>
  <c r="X61" i="110" s="1"/>
  <c r="T81" i="84"/>
  <c r="V77" i="84"/>
  <c r="P31" i="46"/>
  <c r="X27" i="46"/>
  <c r="P120" i="36"/>
  <c r="X30" i="36"/>
  <c r="P96" i="51"/>
  <c r="R92" i="51"/>
  <c r="D61" i="57"/>
  <c r="L57" i="57"/>
  <c r="T110" i="71"/>
  <c r="X54" i="71"/>
  <c r="Z54" i="71" s="1"/>
  <c r="T28" i="86"/>
  <c r="T84" i="104"/>
  <c r="V81" i="104"/>
  <c r="H31" i="112"/>
  <c r="N27" i="112"/>
  <c r="P31" i="7"/>
  <c r="X27" i="7"/>
  <c r="D31" i="112"/>
  <c r="L27" i="112"/>
  <c r="P69" i="80"/>
  <c r="R65" i="80"/>
  <c r="L27" i="14"/>
  <c r="D31" i="14"/>
  <c r="H67" i="94"/>
  <c r="N63" i="94"/>
  <c r="J63" i="94"/>
  <c r="P42" i="109"/>
  <c r="L21" i="106"/>
  <c r="N21" i="106" s="1"/>
  <c r="D81" i="106"/>
  <c r="H68" i="110"/>
  <c r="J65" i="110"/>
  <c r="Z27" i="14"/>
  <c r="T31" i="14"/>
  <c r="L27" i="50"/>
  <c r="D31" i="50"/>
  <c r="Z20" i="80"/>
  <c r="T65" i="80"/>
  <c r="X65" i="80" s="1"/>
  <c r="T31" i="4"/>
  <c r="Z27" i="4"/>
  <c r="T31" i="37"/>
  <c r="Z27" i="37"/>
  <c r="D75" i="81"/>
  <c r="L71" i="81"/>
  <c r="F71" i="81"/>
  <c r="D31" i="29"/>
  <c r="L27" i="29"/>
  <c r="D89" i="92"/>
  <c r="X71" i="58"/>
  <c r="Z71" i="58" s="1"/>
  <c r="P74" i="58"/>
  <c r="Z20" i="88"/>
  <c r="T80" i="88"/>
  <c r="X80" i="88" s="1"/>
  <c r="X293" i="3"/>
  <c r="Z293" i="3" s="1"/>
  <c r="P297" i="3"/>
  <c r="R293" i="3"/>
  <c r="L27" i="111"/>
  <c r="D31" i="111"/>
  <c r="H111" i="27"/>
  <c r="P81" i="104"/>
  <c r="X77" i="104"/>
  <c r="Z77" i="104" s="1"/>
  <c r="R77" i="104"/>
  <c r="L20" i="95"/>
  <c r="N20" i="95" s="1"/>
  <c r="D73" i="95"/>
  <c r="N27" i="19"/>
  <c r="H31" i="19"/>
  <c r="P67" i="94"/>
  <c r="R63" i="94"/>
  <c r="D88" i="96"/>
  <c r="L84" i="96"/>
  <c r="N84" i="96" s="1"/>
  <c r="F84" i="96"/>
  <c r="P31" i="32"/>
  <c r="X27" i="32"/>
  <c r="H94" i="9"/>
  <c r="T272" i="18"/>
  <c r="V268" i="18"/>
  <c r="P31" i="34"/>
  <c r="X27" i="34"/>
  <c r="D268" i="18"/>
  <c r="L170" i="18"/>
  <c r="N170" i="18" s="1"/>
  <c r="T61" i="57"/>
  <c r="Z57" i="57"/>
  <c r="H84" i="88"/>
  <c r="J80" i="88"/>
  <c r="H31" i="5"/>
  <c r="N27" i="5"/>
  <c r="T65" i="48"/>
  <c r="V61" i="48"/>
  <c r="H120" i="36"/>
  <c r="N30" i="36"/>
  <c r="N27" i="113"/>
  <c r="H31" i="113"/>
  <c r="D31" i="7"/>
  <c r="L27" i="7"/>
  <c r="T34" i="55"/>
  <c r="Z30" i="55"/>
  <c r="X30" i="55"/>
  <c r="X43" i="100"/>
  <c r="P47" i="100"/>
  <c r="P81" i="106"/>
  <c r="X21" i="106"/>
  <c r="Z21" i="106" s="1"/>
  <c r="Z27" i="28"/>
  <c r="T31" i="28"/>
  <c r="H95" i="64"/>
  <c r="L95" i="64" s="1"/>
  <c r="N91" i="64"/>
  <c r="T33" i="83"/>
  <c r="V29" i="83"/>
  <c r="N27" i="16"/>
  <c r="H31" i="16"/>
  <c r="T31" i="25"/>
  <c r="Z27" i="25"/>
  <c r="N27" i="53"/>
  <c r="H31" i="53"/>
  <c r="L27" i="8"/>
  <c r="D31" i="8"/>
  <c r="Z27" i="50"/>
  <c r="T31" i="50"/>
  <c r="H28" i="107"/>
  <c r="N24" i="107"/>
  <c r="D31" i="23"/>
  <c r="L27" i="23"/>
  <c r="X71" i="81"/>
  <c r="Z71" i="81" s="1"/>
  <c r="P75" i="81"/>
  <c r="R71" i="81"/>
  <c r="H85" i="106"/>
  <c r="J81" i="106"/>
  <c r="H272" i="18"/>
  <c r="J268" i="18"/>
  <c r="P70" i="76"/>
  <c r="R66" i="76"/>
  <c r="Z27" i="5"/>
  <c r="T31" i="5"/>
  <c r="H31" i="32"/>
  <c r="N27" i="32"/>
  <c r="L81" i="74"/>
  <c r="D85" i="74"/>
  <c r="F81" i="74"/>
  <c r="V17" i="110"/>
  <c r="L27" i="32"/>
  <c r="D31" i="32"/>
  <c r="P31" i="49"/>
  <c r="X27" i="49"/>
  <c r="R30" i="36"/>
  <c r="V18" i="86"/>
  <c r="D92" i="33"/>
  <c r="F89" i="33"/>
  <c r="D31" i="38"/>
  <c r="L27" i="38"/>
  <c r="H70" i="76"/>
  <c r="N66" i="76"/>
  <c r="J66" i="76"/>
  <c r="X17" i="110"/>
  <c r="Z17" i="110" s="1"/>
  <c r="L27" i="40"/>
  <c r="D31" i="40"/>
  <c r="L27" i="17"/>
  <c r="D31" i="17"/>
  <c r="H92" i="77"/>
  <c r="H61" i="101"/>
  <c r="J57" i="101"/>
  <c r="H31" i="29"/>
  <c r="N27" i="29"/>
  <c r="T31" i="49"/>
  <c r="Z27" i="49"/>
  <c r="D71" i="73"/>
  <c r="L24" i="73"/>
  <c r="N24" i="73" s="1"/>
  <c r="L29" i="83"/>
  <c r="D33" i="83"/>
  <c r="F29" i="83"/>
  <c r="N27" i="41"/>
  <c r="H31" i="41"/>
  <c r="Z27" i="113"/>
  <c r="T31" i="113"/>
  <c r="P99" i="69"/>
  <c r="X60" i="69"/>
  <c r="Z60" i="69" s="1"/>
  <c r="H110" i="71"/>
  <c r="L110" i="71" s="1"/>
  <c r="N54" i="71"/>
  <c r="T75" i="81"/>
  <c r="V71" i="81"/>
  <c r="H31" i="4"/>
  <c r="N27" i="4"/>
  <c r="L27" i="11"/>
  <c r="D31" i="11"/>
  <c r="T136" i="30"/>
  <c r="X136" i="30" s="1"/>
  <c r="Z64" i="30"/>
  <c r="T61" i="101"/>
  <c r="V57" i="101"/>
  <c r="X72" i="24"/>
  <c r="P114" i="24"/>
  <c r="N27" i="7"/>
  <c r="H31" i="7"/>
  <c r="T31" i="38"/>
  <c r="Z27" i="38"/>
  <c r="L90" i="9"/>
  <c r="N90" i="9" s="1"/>
  <c r="D94" i="9"/>
  <c r="D136" i="30"/>
  <c r="L64" i="30"/>
  <c r="N27" i="8"/>
  <c r="H31" i="8"/>
  <c r="D31" i="28"/>
  <c r="L27" i="28"/>
  <c r="D98" i="64"/>
  <c r="Z30" i="36"/>
  <c r="T120" i="36"/>
  <c r="L80" i="98"/>
  <c r="N80" i="98" s="1"/>
  <c r="D83" i="98"/>
  <c r="F80" i="98"/>
  <c r="Z27" i="8"/>
  <c r="T31" i="8"/>
  <c r="P115" i="27"/>
  <c r="X111" i="27"/>
  <c r="Z111" i="27" s="1"/>
  <c r="R111" i="27"/>
  <c r="D65" i="48"/>
  <c r="L61" i="48"/>
  <c r="N61" i="48" s="1"/>
  <c r="F61" i="48"/>
  <c r="N22" i="54"/>
  <c r="H26" i="54"/>
  <c r="H63" i="79"/>
  <c r="J59" i="79"/>
  <c r="P65" i="110"/>
  <c r="R61" i="110"/>
  <c r="T94" i="9"/>
  <c r="X90" i="9"/>
  <c r="Z90" i="9" s="1"/>
  <c r="H31" i="13"/>
  <c r="N27" i="13"/>
  <c r="L73" i="93"/>
  <c r="N73" i="93" s="1"/>
  <c r="D77" i="93"/>
  <c r="F73" i="93"/>
  <c r="N27" i="20"/>
  <c r="H31" i="20"/>
  <c r="H61" i="57"/>
  <c r="N57" i="57"/>
  <c r="Z43" i="100"/>
  <c r="T47" i="100"/>
  <c r="T100" i="21"/>
  <c r="Z27" i="21"/>
  <c r="X27" i="28"/>
  <c r="P31" i="28"/>
  <c r="H32" i="86"/>
  <c r="N28" i="86"/>
  <c r="J28" i="86"/>
  <c r="V21" i="102"/>
  <c r="X27" i="21"/>
  <c r="D115" i="85"/>
  <c r="L111" i="85"/>
  <c r="F111" i="85"/>
  <c r="H75" i="73"/>
  <c r="J71" i="73"/>
  <c r="P31" i="50"/>
  <c r="X27" i="50"/>
  <c r="D114" i="42"/>
  <c r="L28" i="42"/>
  <c r="N28" i="42" s="1"/>
  <c r="F28" i="42"/>
  <c r="N27" i="31"/>
  <c r="H31" i="31"/>
  <c r="H258" i="12"/>
  <c r="J254" i="12"/>
  <c r="X21" i="102"/>
  <c r="Z21" i="102" s="1"/>
  <c r="H81" i="104"/>
  <c r="J77" i="104"/>
  <c r="H53" i="103"/>
  <c r="L49" i="61"/>
  <c r="N49" i="61" s="1"/>
  <c r="D53" i="61"/>
  <c r="Z28" i="76"/>
  <c r="T66" i="76"/>
  <c r="X66" i="76" s="1"/>
  <c r="H31" i="28"/>
  <c r="N27" i="28"/>
  <c r="H26" i="6"/>
  <c r="N22" i="6"/>
  <c r="P50" i="103"/>
  <c r="X46" i="103"/>
  <c r="Z27" i="17"/>
  <c r="T31" i="17"/>
  <c r="N27" i="34"/>
  <c r="H31" i="34"/>
  <c r="H65" i="48"/>
  <c r="J61" i="48"/>
  <c r="P31" i="35"/>
  <c r="X27" i="35"/>
  <c r="P28" i="86"/>
  <c r="X18" i="86"/>
  <c r="Z18" i="86" s="1"/>
  <c r="L46" i="103"/>
  <c r="N46" i="103" s="1"/>
  <c r="D50" i="103"/>
  <c r="X91" i="64"/>
  <c r="Z91" i="64" s="1"/>
  <c r="P95" i="64"/>
  <c r="P31" i="41"/>
  <c r="X27" i="41"/>
  <c r="L24" i="45"/>
  <c r="D88" i="45"/>
  <c r="L27" i="22"/>
  <c r="D31" i="22"/>
  <c r="D104" i="21"/>
  <c r="L100" i="21"/>
  <c r="N100" i="21" s="1"/>
  <c r="F100" i="21"/>
  <c r="F21" i="106"/>
  <c r="X27" i="10"/>
  <c r="P31" i="10"/>
  <c r="T31" i="53"/>
  <c r="Z27" i="53"/>
  <c r="Z72" i="24"/>
  <c r="T114" i="24"/>
  <c r="N81" i="74"/>
  <c r="H85" i="74"/>
  <c r="J81" i="74"/>
  <c r="T28" i="107"/>
  <c r="Z24" i="107"/>
  <c r="Z27" i="20"/>
  <c r="T31" i="20"/>
  <c r="P31" i="44"/>
  <c r="X27" i="44"/>
  <c r="P104" i="21"/>
  <c r="X100" i="21"/>
  <c r="R100" i="21"/>
  <c r="H118" i="42"/>
  <c r="J114" i="42"/>
  <c r="D26" i="54"/>
  <c r="L22" i="54"/>
  <c r="X27" i="20"/>
  <c r="P31" i="20"/>
  <c r="D31" i="35"/>
  <c r="L27" i="35"/>
  <c r="D31" i="49"/>
  <c r="L27" i="49"/>
  <c r="P115" i="85"/>
  <c r="X111" i="85"/>
  <c r="Z111" i="85" s="1"/>
  <c r="R111" i="85"/>
  <c r="H66" i="59"/>
  <c r="P81" i="102"/>
  <c r="X77" i="102"/>
  <c r="R77" i="102"/>
  <c r="T31" i="31"/>
  <c r="Z27" i="31"/>
  <c r="T80" i="93"/>
  <c r="V77" i="93"/>
  <c r="L32" i="86"/>
  <c r="D35" i="86"/>
  <c r="F32" i="86"/>
  <c r="T86" i="92"/>
  <c r="Z27" i="10"/>
  <c r="T31" i="10"/>
  <c r="D31" i="47"/>
  <c r="L27" i="47"/>
  <c r="J55" i="27"/>
  <c r="T88" i="45"/>
  <c r="P53" i="61"/>
  <c r="X49" i="61"/>
  <c r="Z49" i="61" s="1"/>
  <c r="P31" i="26"/>
  <c r="X27" i="26"/>
  <c r="T31" i="7"/>
  <c r="Z27" i="7"/>
  <c r="L30" i="36"/>
  <c r="D120" i="36"/>
  <c r="L62" i="59"/>
  <c r="N62" i="59" s="1"/>
  <c r="D66" i="59"/>
  <c r="X27" i="13"/>
  <c r="P31" i="13"/>
  <c r="P31" i="38"/>
  <c r="X27" i="38"/>
  <c r="L27" i="10"/>
  <c r="D31" i="10"/>
  <c r="H31" i="47"/>
  <c r="N27" i="47"/>
  <c r="T59" i="79"/>
  <c r="N82" i="92"/>
  <c r="H86" i="92"/>
  <c r="X21" i="108"/>
  <c r="Z21" i="108" s="1"/>
  <c r="P80" i="108"/>
  <c r="T31" i="41"/>
  <c r="Z27" i="41"/>
  <c r="L67" i="58"/>
  <c r="D71" i="58"/>
  <c r="H69" i="80"/>
  <c r="J65" i="80"/>
  <c r="H39" i="109"/>
  <c r="X56" i="68"/>
  <c r="P59" i="68"/>
  <c r="X59" i="68" s="1"/>
  <c r="N27" i="10"/>
  <c r="H31" i="10"/>
  <c r="D63" i="79"/>
  <c r="L59" i="79"/>
  <c r="N59" i="79" s="1"/>
  <c r="F59" i="79"/>
  <c r="H47" i="100"/>
  <c r="L27" i="25"/>
  <c r="D31" i="25"/>
  <c r="X19" i="93"/>
  <c r="Z19" i="93" s="1"/>
  <c r="P73" i="93"/>
  <c r="P31" i="37"/>
  <c r="X27" i="37"/>
  <c r="V72" i="24"/>
  <c r="V20" i="95"/>
  <c r="H31" i="23"/>
  <c r="N27" i="23"/>
  <c r="N24" i="45"/>
  <c r="H88" i="45"/>
  <c r="N34" i="55"/>
  <c r="H37" i="55"/>
  <c r="R60" i="69"/>
  <c r="T50" i="103"/>
  <c r="Z46" i="103"/>
  <c r="X27" i="14"/>
  <c r="P31" i="14"/>
  <c r="X27" i="47"/>
  <c r="P31" i="47"/>
  <c r="P104" i="75"/>
  <c r="X100" i="75"/>
  <c r="Z100" i="75" s="1"/>
  <c r="R100" i="75"/>
  <c r="P81" i="84"/>
  <c r="X77" i="84"/>
  <c r="Z77" i="84" s="1"/>
  <c r="R77" i="84"/>
  <c r="Z27" i="16"/>
  <c r="T31" i="16"/>
  <c r="T31" i="35"/>
  <c r="Z27" i="35"/>
  <c r="D26" i="6"/>
  <c r="L22" i="6"/>
  <c r="N52" i="68"/>
  <c r="H56" i="68"/>
  <c r="H87" i="108"/>
  <c r="J84" i="108"/>
  <c r="X37" i="33"/>
  <c r="P85" i="33"/>
  <c r="D99" i="69"/>
  <c r="L60" i="69"/>
  <c r="P258" i="12"/>
  <c r="X254" i="12"/>
  <c r="Z254" i="12" s="1"/>
  <c r="R254" i="12"/>
  <c r="P50" i="105"/>
  <c r="X46" i="105"/>
  <c r="Z46" i="105" s="1"/>
  <c r="R46" i="105"/>
  <c r="L27" i="26"/>
  <c r="D31" i="26"/>
  <c r="L27" i="53"/>
  <c r="D31" i="53"/>
  <c r="N37" i="33"/>
  <c r="H85" i="33"/>
  <c r="L37" i="33"/>
  <c r="T66" i="59"/>
  <c r="Z62" i="59"/>
  <c r="H50" i="105"/>
  <c r="J46" i="105"/>
  <c r="L70" i="76"/>
  <c r="D73" i="76"/>
  <c r="F70" i="76"/>
  <c r="P88" i="96"/>
  <c r="R84" i="96"/>
  <c r="N22" i="99"/>
  <c r="H26" i="99"/>
  <c r="Z27" i="46"/>
  <c r="T31" i="46"/>
  <c r="H136" i="30"/>
  <c r="N64" i="30"/>
  <c r="L69" i="56"/>
  <c r="N69" i="56" s="1"/>
  <c r="D73" i="56"/>
  <c r="Z27" i="11"/>
  <c r="T31" i="11"/>
  <c r="N27" i="52"/>
  <c r="H31" i="52"/>
  <c r="N29" i="83"/>
  <c r="H33" i="83"/>
  <c r="J29" i="83"/>
  <c r="L80" i="108"/>
  <c r="N80" i="108" s="1"/>
  <c r="D84" i="108"/>
  <c r="F80" i="108"/>
  <c r="D65" i="110"/>
  <c r="L61" i="110"/>
  <c r="N61" i="110" s="1"/>
  <c r="F61" i="110"/>
  <c r="Z27" i="47"/>
  <c r="T31" i="47"/>
  <c r="H99" i="69"/>
  <c r="N60" i="69"/>
  <c r="L68" i="89"/>
  <c r="D72" i="89"/>
  <c r="F68" i="89"/>
  <c r="T63" i="94"/>
  <c r="X63" i="94" s="1"/>
  <c r="Z20" i="94"/>
  <c r="X244" i="15"/>
  <c r="Z244" i="15" s="1"/>
  <c r="P248" i="15"/>
  <c r="R244" i="15"/>
  <c r="P26" i="6"/>
  <c r="X22" i="6"/>
  <c r="X27" i="11"/>
  <c r="P31" i="11"/>
  <c r="H126" i="39"/>
  <c r="P88" i="45"/>
  <c r="X24" i="45"/>
  <c r="Z24" i="45" s="1"/>
  <c r="T98" i="64"/>
  <c r="F60" i="69"/>
  <c r="D77" i="102"/>
  <c r="L21" i="102"/>
  <c r="H31" i="11"/>
  <c r="N27" i="11"/>
  <c r="T31" i="26"/>
  <c r="Z27" i="26"/>
  <c r="D37" i="55"/>
  <c r="L37" i="55" s="1"/>
  <c r="L34" i="55"/>
  <c r="L22" i="99"/>
  <c r="D26" i="99"/>
  <c r="N27" i="40"/>
  <c r="H31" i="40"/>
  <c r="D254" i="12"/>
  <c r="L154" i="12"/>
  <c r="N154" i="12" s="1"/>
  <c r="R18" i="86"/>
  <c r="D31" i="4"/>
  <c r="L27" i="4"/>
  <c r="T87" i="108"/>
  <c r="V84" i="108"/>
  <c r="D31" i="43"/>
  <c r="L27" i="43"/>
  <c r="X27" i="23"/>
  <c r="P31" i="23"/>
  <c r="N27" i="14"/>
  <c r="H31" i="14"/>
  <c r="D31" i="46"/>
  <c r="L27" i="46"/>
  <c r="D126" i="39"/>
  <c r="L35" i="39"/>
  <c r="N35" i="39" s="1"/>
  <c r="P86" i="92"/>
  <c r="X82" i="92"/>
  <c r="Z82" i="92" s="1"/>
  <c r="T50" i="105"/>
  <c r="V46" i="105"/>
  <c r="T31" i="29"/>
  <c r="Z27" i="29"/>
  <c r="H248" i="15"/>
  <c r="J244" i="15"/>
  <c r="T73" i="56"/>
  <c r="Z69" i="56"/>
  <c r="P59" i="79"/>
  <c r="X25" i="79"/>
  <c r="Z25" i="79" s="1"/>
  <c r="P31" i="8"/>
  <c r="X27" i="8"/>
  <c r="H77" i="102"/>
  <c r="N21" i="102"/>
  <c r="L49" i="77"/>
  <c r="N49" i="77" s="1"/>
  <c r="X27" i="113"/>
  <c r="P31" i="113"/>
  <c r="T130" i="39"/>
  <c r="Z126" i="39"/>
  <c r="V126" i="39"/>
  <c r="Z27" i="32"/>
  <c r="T31" i="32"/>
  <c r="T31" i="40"/>
  <c r="Z27" i="40"/>
  <c r="D74" i="70"/>
  <c r="F71" i="70"/>
  <c r="Z22" i="99"/>
  <c r="T26" i="99"/>
  <c r="X22" i="99"/>
  <c r="P130" i="39"/>
  <c r="X126" i="39"/>
  <c r="R126" i="39"/>
  <c r="H297" i="3"/>
  <c r="J293" i="3"/>
  <c r="R24" i="45"/>
  <c r="D100" i="75"/>
  <c r="L48" i="75"/>
  <c r="N48" i="75" s="1"/>
  <c r="L65" i="80"/>
  <c r="N65" i="80" s="1"/>
  <c r="D69" i="80"/>
  <c r="F65" i="80"/>
  <c r="L27" i="37"/>
  <c r="D31" i="37"/>
  <c r="F21" i="102"/>
  <c r="X27" i="31"/>
  <c r="P31" i="31"/>
  <c r="Z20" i="70"/>
  <c r="T67" i="70"/>
  <c r="H81" i="84"/>
  <c r="N77" i="84"/>
  <c r="J77" i="84"/>
  <c r="N27" i="25"/>
  <c r="H31" i="25"/>
  <c r="N27" i="49"/>
  <c r="H31" i="49"/>
  <c r="T85" i="33"/>
  <c r="Z37" i="33"/>
  <c r="D84" i="88"/>
  <c r="L80" i="88"/>
  <c r="N80" i="88" s="1"/>
  <c r="F80" i="88"/>
  <c r="D47" i="100"/>
  <c r="L43" i="100"/>
  <c r="N43" i="100" s="1"/>
  <c r="X27" i="29"/>
  <c r="P31" i="29"/>
  <c r="X27" i="43"/>
  <c r="P31" i="43"/>
  <c r="D31" i="113"/>
  <c r="L27" i="113"/>
  <c r="V54" i="71"/>
  <c r="P71" i="70"/>
  <c r="X67" i="70"/>
  <c r="R67" i="70"/>
  <c r="T84" i="96"/>
  <c r="X84" i="96" s="1"/>
  <c r="Z20" i="96"/>
  <c r="D77" i="104"/>
  <c r="L22" i="104"/>
  <c r="N22" i="104" s="1"/>
  <c r="H67" i="70"/>
  <c r="L20" i="70"/>
  <c r="N20" i="70" s="1"/>
  <c r="D57" i="101"/>
  <c r="L20" i="101"/>
  <c r="N20" i="101" s="1"/>
  <c r="P268" i="18"/>
  <c r="X170" i="18"/>
  <c r="Z170" i="18" s="1"/>
  <c r="N67" i="58"/>
  <c r="H71" i="58"/>
  <c r="N52" i="85"/>
  <c r="H111" i="85"/>
  <c r="N68" i="89"/>
  <c r="H72" i="89"/>
  <c r="J68" i="89"/>
  <c r="H31" i="43"/>
  <c r="N27" i="43"/>
  <c r="L49" i="51"/>
  <c r="N49" i="51" s="1"/>
  <c r="D92" i="51"/>
  <c r="D39" i="109"/>
  <c r="L35" i="109"/>
  <c r="N35" i="109" s="1"/>
  <c r="X27" i="53"/>
  <c r="P31" i="53"/>
  <c r="L55" i="27"/>
  <c r="N55" i="27" s="1"/>
  <c r="D111" i="27"/>
  <c r="L28" i="107"/>
  <c r="D31" i="107"/>
  <c r="L27" i="31"/>
  <c r="D31" i="31"/>
  <c r="L185" i="3"/>
  <c r="N185" i="3" s="1"/>
  <c r="D293" i="3"/>
  <c r="F185" i="3"/>
  <c r="T71" i="73"/>
  <c r="X71" i="73" s="1"/>
  <c r="Z24" i="73"/>
  <c r="T68" i="89"/>
  <c r="Z35" i="109"/>
  <c r="T39" i="109"/>
  <c r="X39" i="109" s="1"/>
  <c r="Z56" i="68"/>
  <c r="T59" i="68"/>
  <c r="L27" i="41"/>
  <c r="D31" i="41"/>
  <c r="H31" i="50"/>
  <c r="N27" i="50"/>
  <c r="T103" i="69"/>
  <c r="V99" i="69"/>
  <c r="X27" i="17"/>
  <c r="P31" i="17"/>
  <c r="D50" i="105"/>
  <c r="L46" i="105"/>
  <c r="N46" i="105" s="1"/>
  <c r="F46" i="105"/>
  <c r="H31" i="35"/>
  <c r="N27" i="35"/>
  <c r="L27" i="44"/>
  <c r="D31" i="44"/>
  <c r="T76" i="98"/>
  <c r="Z20" i="98"/>
  <c r="Z27" i="19"/>
  <c r="T31" i="19"/>
  <c r="T31" i="52"/>
  <c r="Z27" i="52"/>
  <c r="D96" i="77"/>
  <c r="F92" i="77"/>
  <c r="Z27" i="44"/>
  <c r="T31" i="44"/>
  <c r="X20" i="89"/>
  <c r="Z20" i="89" s="1"/>
  <c r="P75" i="73"/>
  <c r="R71" i="73"/>
  <c r="H75" i="89" l="1"/>
  <c r="J72" i="89"/>
  <c r="D130" i="39"/>
  <c r="L126" i="39"/>
  <c r="F126" i="39"/>
  <c r="Z59" i="68"/>
  <c r="T36" i="52"/>
  <c r="Z36" i="52" s="1"/>
  <c r="Z31" i="52"/>
  <c r="L31" i="31"/>
  <c r="D36" i="31"/>
  <c r="T89" i="33"/>
  <c r="V85" i="33"/>
  <c r="P78" i="73"/>
  <c r="R75" i="73"/>
  <c r="D36" i="113"/>
  <c r="L31" i="113"/>
  <c r="L31" i="37"/>
  <c r="D36" i="37"/>
  <c r="P89" i="92"/>
  <c r="X86" i="92"/>
  <c r="Z86" i="92" s="1"/>
  <c r="P36" i="43"/>
  <c r="X31" i="43"/>
  <c r="P133" i="39"/>
  <c r="X130" i="39"/>
  <c r="R130" i="39"/>
  <c r="V87" i="108"/>
  <c r="Z31" i="11"/>
  <c r="T36" i="11"/>
  <c r="Z36" i="11" s="1"/>
  <c r="N26" i="99"/>
  <c r="H29" i="99"/>
  <c r="N29" i="99" s="1"/>
  <c r="N37" i="55"/>
  <c r="P77" i="93"/>
  <c r="X73" i="93"/>
  <c r="Z73" i="93" s="1"/>
  <c r="R73" i="93"/>
  <c r="T36" i="41"/>
  <c r="Z36" i="41" s="1"/>
  <c r="Z31" i="41"/>
  <c r="Z31" i="10"/>
  <c r="T36" i="10"/>
  <c r="Z36" i="10" s="1"/>
  <c r="X31" i="20"/>
  <c r="P36" i="20"/>
  <c r="Z31" i="20"/>
  <c r="T36" i="20"/>
  <c r="Z36" i="20" s="1"/>
  <c r="Z31" i="17"/>
  <c r="T36" i="17"/>
  <c r="Z36" i="17" s="1"/>
  <c r="L53" i="61"/>
  <c r="D56" i="61"/>
  <c r="L56" i="61" s="1"/>
  <c r="H64" i="57"/>
  <c r="N31" i="7"/>
  <c r="H36" i="7"/>
  <c r="N36" i="7" s="1"/>
  <c r="H36" i="4"/>
  <c r="N36" i="4" s="1"/>
  <c r="N31" i="4"/>
  <c r="N31" i="41"/>
  <c r="H36" i="41"/>
  <c r="N36" i="41" s="1"/>
  <c r="H36" i="29"/>
  <c r="N36" i="29" s="1"/>
  <c r="N31" i="29"/>
  <c r="D272" i="18"/>
  <c r="L268" i="18"/>
  <c r="N268" i="18" s="1"/>
  <c r="F268" i="18"/>
  <c r="D91" i="96"/>
  <c r="L88" i="96"/>
  <c r="F88" i="96"/>
  <c r="H70" i="94"/>
  <c r="J67" i="94"/>
  <c r="P54" i="60"/>
  <c r="X54" i="60" s="1"/>
  <c r="Z54" i="60" s="1"/>
  <c r="X51" i="60"/>
  <c r="Z51" i="60" s="1"/>
  <c r="P36" i="40"/>
  <c r="X31" i="40"/>
  <c r="H54" i="60"/>
  <c r="Z248" i="15"/>
  <c r="T251" i="15"/>
  <c r="V248" i="15"/>
  <c r="N53" i="61"/>
  <c r="H56" i="61"/>
  <c r="H78" i="81"/>
  <c r="J75" i="81"/>
  <c r="P75" i="89"/>
  <c r="R72" i="89"/>
  <c r="L31" i="111"/>
  <c r="D36" i="111"/>
  <c r="Z31" i="14"/>
  <c r="T36" i="14"/>
  <c r="Z36" i="14" s="1"/>
  <c r="H96" i="51"/>
  <c r="J92" i="51"/>
  <c r="L31" i="52"/>
  <c r="D36" i="52"/>
  <c r="P85" i="74"/>
  <c r="X81" i="74"/>
  <c r="Z81" i="74" s="1"/>
  <c r="R81" i="74"/>
  <c r="T77" i="95"/>
  <c r="V73" i="95"/>
  <c r="T107" i="75"/>
  <c r="V104" i="75"/>
  <c r="Z31" i="44"/>
  <c r="T36" i="44"/>
  <c r="Z36" i="44" s="1"/>
  <c r="T80" i="98"/>
  <c r="V76" i="98"/>
  <c r="T72" i="89"/>
  <c r="V68" i="89"/>
  <c r="L111" i="27"/>
  <c r="D115" i="27"/>
  <c r="F111" i="27"/>
  <c r="X31" i="29"/>
  <c r="P36" i="29"/>
  <c r="D72" i="80"/>
  <c r="L69" i="80"/>
  <c r="F69" i="80"/>
  <c r="Z26" i="99"/>
  <c r="T29" i="99"/>
  <c r="X26" i="99"/>
  <c r="T133" i="39"/>
  <c r="Z130" i="39"/>
  <c r="V130" i="39"/>
  <c r="D36" i="4"/>
  <c r="L31" i="4"/>
  <c r="P92" i="45"/>
  <c r="X88" i="45"/>
  <c r="R88" i="45"/>
  <c r="X248" i="15"/>
  <c r="P251" i="15"/>
  <c r="R248" i="15"/>
  <c r="T69" i="59"/>
  <c r="X50" i="105"/>
  <c r="P53" i="105"/>
  <c r="R50" i="105"/>
  <c r="H92" i="45"/>
  <c r="J88" i="45"/>
  <c r="L31" i="25"/>
  <c r="D36" i="25"/>
  <c r="T36" i="7"/>
  <c r="Z36" i="7" s="1"/>
  <c r="Z31" i="7"/>
  <c r="P84" i="102"/>
  <c r="R81" i="102"/>
  <c r="P68" i="110"/>
  <c r="R65" i="110"/>
  <c r="P118" i="24"/>
  <c r="X114" i="24"/>
  <c r="R114" i="24"/>
  <c r="Z75" i="81"/>
  <c r="T78" i="81"/>
  <c r="V75" i="81"/>
  <c r="H36" i="32"/>
  <c r="N36" i="32" s="1"/>
  <c r="N31" i="32"/>
  <c r="Z34" i="55"/>
  <c r="T37" i="55"/>
  <c r="X34" i="55"/>
  <c r="P36" i="34"/>
  <c r="X31" i="34"/>
  <c r="V84" i="104"/>
  <c r="P36" i="52"/>
  <c r="X31" i="52"/>
  <c r="H36" i="37"/>
  <c r="N36" i="37" s="1"/>
  <c r="N31" i="37"/>
  <c r="D54" i="60"/>
  <c r="L51" i="60"/>
  <c r="N51" i="60" s="1"/>
  <c r="P69" i="59"/>
  <c r="X66" i="59"/>
  <c r="Z66" i="59" s="1"/>
  <c r="D36" i="16"/>
  <c r="L31" i="16"/>
  <c r="P84" i="108"/>
  <c r="X80" i="108"/>
  <c r="Z80" i="108" s="1"/>
  <c r="R80" i="108"/>
  <c r="L50" i="103"/>
  <c r="N50" i="103" s="1"/>
  <c r="D53" i="103"/>
  <c r="L53" i="103" s="1"/>
  <c r="N53" i="103" s="1"/>
  <c r="H88" i="106"/>
  <c r="J85" i="106"/>
  <c r="D36" i="29"/>
  <c r="L31" i="29"/>
  <c r="L31" i="14"/>
  <c r="D36" i="14"/>
  <c r="P99" i="51"/>
  <c r="R96" i="51"/>
  <c r="H118" i="24"/>
  <c r="J114" i="24"/>
  <c r="Z31" i="112"/>
  <c r="T36" i="112"/>
  <c r="Z36" i="112" s="1"/>
  <c r="L31" i="44"/>
  <c r="D36" i="44"/>
  <c r="N111" i="85"/>
  <c r="H115" i="85"/>
  <c r="J111" i="85"/>
  <c r="D81" i="104"/>
  <c r="L77" i="104"/>
  <c r="N77" i="104" s="1"/>
  <c r="F77" i="104"/>
  <c r="X31" i="113"/>
  <c r="P36" i="113"/>
  <c r="D36" i="46"/>
  <c r="L31" i="46"/>
  <c r="T36" i="26"/>
  <c r="Z36" i="26" s="1"/>
  <c r="Z31" i="26"/>
  <c r="L65" i="110"/>
  <c r="N65" i="110" s="1"/>
  <c r="D68" i="110"/>
  <c r="F65" i="110"/>
  <c r="X88" i="96"/>
  <c r="P91" i="96"/>
  <c r="R88" i="96"/>
  <c r="H59" i="68"/>
  <c r="H89" i="92"/>
  <c r="T89" i="92"/>
  <c r="H69" i="59"/>
  <c r="D31" i="54"/>
  <c r="L26" i="54"/>
  <c r="T31" i="107"/>
  <c r="X50" i="103"/>
  <c r="Z50" i="103" s="1"/>
  <c r="P53" i="103"/>
  <c r="L114" i="42"/>
  <c r="N114" i="42" s="1"/>
  <c r="D118" i="42"/>
  <c r="F114" i="42"/>
  <c r="L31" i="28"/>
  <c r="D36" i="28"/>
  <c r="H64" i="101"/>
  <c r="J61" i="101"/>
  <c r="N70" i="76"/>
  <c r="H73" i="76"/>
  <c r="J70" i="76"/>
  <c r="Z31" i="5"/>
  <c r="T36" i="5"/>
  <c r="Z36" i="5" s="1"/>
  <c r="X75" i="81"/>
  <c r="P78" i="81"/>
  <c r="R75" i="81"/>
  <c r="L31" i="8"/>
  <c r="D36" i="8"/>
  <c r="T36" i="83"/>
  <c r="V33" i="83"/>
  <c r="T68" i="48"/>
  <c r="V65" i="48"/>
  <c r="P70" i="94"/>
  <c r="X67" i="94"/>
  <c r="R67" i="94"/>
  <c r="Z31" i="34"/>
  <c r="T36" i="34"/>
  <c r="Z36" i="34" s="1"/>
  <c r="L118" i="24"/>
  <c r="D121" i="24"/>
  <c r="F118" i="24"/>
  <c r="X61" i="48"/>
  <c r="Z61" i="48" s="1"/>
  <c r="P65" i="48"/>
  <c r="R61" i="48"/>
  <c r="Z31" i="22"/>
  <c r="T36" i="22"/>
  <c r="Z36" i="22" s="1"/>
  <c r="Z297" i="3"/>
  <c r="T302" i="3"/>
  <c r="V297" i="3"/>
  <c r="D117" i="71"/>
  <c r="F114" i="71"/>
  <c r="H76" i="56"/>
  <c r="H107" i="75"/>
  <c r="J104" i="75"/>
  <c r="T36" i="111"/>
  <c r="Z36" i="111" s="1"/>
  <c r="Z31" i="111"/>
  <c r="P87" i="88"/>
  <c r="X84" i="88"/>
  <c r="R84" i="88"/>
  <c r="T106" i="69"/>
  <c r="V103" i="69"/>
  <c r="P36" i="53"/>
  <c r="X31" i="53"/>
  <c r="H251" i="15"/>
  <c r="J248" i="15"/>
  <c r="N31" i="14"/>
  <c r="H36" i="14"/>
  <c r="N36" i="14" s="1"/>
  <c r="H130" i="39"/>
  <c r="N126" i="39"/>
  <c r="J126" i="39"/>
  <c r="L73" i="56"/>
  <c r="N73" i="56" s="1"/>
  <c r="D76" i="56"/>
  <c r="L76" i="56" s="1"/>
  <c r="H89" i="33"/>
  <c r="L85" i="33"/>
  <c r="N85" i="33" s="1"/>
  <c r="J85" i="33"/>
  <c r="P107" i="75"/>
  <c r="X104" i="75"/>
  <c r="Z104" i="75" s="1"/>
  <c r="R104" i="75"/>
  <c r="H42" i="109"/>
  <c r="N39" i="109"/>
  <c r="P36" i="38"/>
  <c r="X31" i="38"/>
  <c r="P36" i="26"/>
  <c r="X31" i="26"/>
  <c r="D107" i="21"/>
  <c r="L104" i="21"/>
  <c r="F104" i="21"/>
  <c r="X28" i="86"/>
  <c r="Z28" i="86" s="1"/>
  <c r="P32" i="86"/>
  <c r="R28" i="86"/>
  <c r="H35" i="86"/>
  <c r="N32" i="86"/>
  <c r="J32" i="86"/>
  <c r="D80" i="93"/>
  <c r="L77" i="93"/>
  <c r="N77" i="93" s="1"/>
  <c r="F77" i="93"/>
  <c r="P118" i="27"/>
  <c r="X115" i="27"/>
  <c r="Z115" i="27" s="1"/>
  <c r="R115" i="27"/>
  <c r="N31" i="8"/>
  <c r="H36" i="8"/>
  <c r="N36" i="8" s="1"/>
  <c r="X31" i="49"/>
  <c r="P36" i="49"/>
  <c r="D36" i="7"/>
  <c r="L31" i="7"/>
  <c r="T275" i="18"/>
  <c r="V272" i="18"/>
  <c r="N31" i="19"/>
  <c r="H36" i="19"/>
  <c r="N36" i="19" s="1"/>
  <c r="P302" i="3"/>
  <c r="X297" i="3"/>
  <c r="R297" i="3"/>
  <c r="L75" i="81"/>
  <c r="N75" i="81" s="1"/>
  <c r="D78" i="81"/>
  <c r="F75" i="81"/>
  <c r="J68" i="110"/>
  <c r="T32" i="86"/>
  <c r="V28" i="86"/>
  <c r="P124" i="36"/>
  <c r="X120" i="36"/>
  <c r="R120" i="36"/>
  <c r="P143" i="30"/>
  <c r="X140" i="30"/>
  <c r="R140" i="30"/>
  <c r="T56" i="61"/>
  <c r="L114" i="24"/>
  <c r="N114" i="24" s="1"/>
  <c r="H36" i="22"/>
  <c r="N36" i="22" s="1"/>
  <c r="N31" i="22"/>
  <c r="P36" i="19"/>
  <c r="X31" i="19"/>
  <c r="D36" i="13"/>
  <c r="L31" i="13"/>
  <c r="Z31" i="23"/>
  <c r="T36" i="23"/>
  <c r="Z36" i="23" s="1"/>
  <c r="Z31" i="43"/>
  <c r="T36" i="43"/>
  <c r="Z36" i="43" s="1"/>
  <c r="X61" i="57"/>
  <c r="P64" i="57"/>
  <c r="N31" i="25"/>
  <c r="H36" i="25"/>
  <c r="N36" i="25" s="1"/>
  <c r="P84" i="84"/>
  <c r="X81" i="84"/>
  <c r="R81" i="84"/>
  <c r="N71" i="58"/>
  <c r="H74" i="58"/>
  <c r="D50" i="100"/>
  <c r="L47" i="100"/>
  <c r="N47" i="100" s="1"/>
  <c r="D104" i="75"/>
  <c r="L100" i="75"/>
  <c r="N100" i="75" s="1"/>
  <c r="F100" i="75"/>
  <c r="F74" i="70"/>
  <c r="L254" i="12"/>
  <c r="N254" i="12" s="1"/>
  <c r="D258" i="12"/>
  <c r="F254" i="12"/>
  <c r="H36" i="11"/>
  <c r="N36" i="11" s="1"/>
  <c r="N31" i="11"/>
  <c r="X31" i="11"/>
  <c r="P36" i="11"/>
  <c r="Z63" i="94"/>
  <c r="T67" i="94"/>
  <c r="V63" i="94"/>
  <c r="L84" i="108"/>
  <c r="N84" i="108" s="1"/>
  <c r="D87" i="108"/>
  <c r="F84" i="108"/>
  <c r="X258" i="12"/>
  <c r="P261" i="12"/>
  <c r="R258" i="12"/>
  <c r="X31" i="47"/>
  <c r="P36" i="47"/>
  <c r="N31" i="23"/>
  <c r="H36" i="23"/>
  <c r="N36" i="23" s="1"/>
  <c r="H50" i="100"/>
  <c r="X31" i="13"/>
  <c r="P36" i="13"/>
  <c r="L35" i="86"/>
  <c r="F35" i="86"/>
  <c r="H88" i="74"/>
  <c r="J85" i="74"/>
  <c r="L31" i="22"/>
  <c r="D36" i="22"/>
  <c r="N26" i="6"/>
  <c r="H31" i="6"/>
  <c r="X31" i="50"/>
  <c r="P36" i="50"/>
  <c r="P36" i="28"/>
  <c r="X31" i="28"/>
  <c r="Z31" i="8"/>
  <c r="T36" i="8"/>
  <c r="Z36" i="8" s="1"/>
  <c r="H114" i="71"/>
  <c r="L114" i="71" s="1"/>
  <c r="N110" i="71"/>
  <c r="J110" i="71"/>
  <c r="L33" i="83"/>
  <c r="D36" i="83"/>
  <c r="F33" i="83"/>
  <c r="H96" i="77"/>
  <c r="J92" i="77"/>
  <c r="L31" i="32"/>
  <c r="D36" i="32"/>
  <c r="H98" i="64"/>
  <c r="N95" i="64"/>
  <c r="N31" i="113"/>
  <c r="H36" i="113"/>
  <c r="N36" i="113" s="1"/>
  <c r="H36" i="5"/>
  <c r="N36" i="5" s="1"/>
  <c r="N31" i="5"/>
  <c r="P72" i="80"/>
  <c r="R69" i="80"/>
  <c r="X31" i="112"/>
  <c r="P36" i="112"/>
  <c r="N31" i="26"/>
  <c r="H36" i="26"/>
  <c r="N36" i="26" s="1"/>
  <c r="D248" i="15"/>
  <c r="L244" i="15"/>
  <c r="N244" i="15" s="1"/>
  <c r="F244" i="15"/>
  <c r="T88" i="96"/>
  <c r="Z84" i="96"/>
  <c r="V84" i="96"/>
  <c r="H84" i="84"/>
  <c r="J81" i="84"/>
  <c r="H36" i="35"/>
  <c r="N36" i="35" s="1"/>
  <c r="N31" i="35"/>
  <c r="H36" i="50"/>
  <c r="N36" i="50" s="1"/>
  <c r="N31" i="50"/>
  <c r="T75" i="73"/>
  <c r="X75" i="73" s="1"/>
  <c r="Z71" i="73"/>
  <c r="V71" i="73"/>
  <c r="T71" i="70"/>
  <c r="X71" i="70" s="1"/>
  <c r="Z67" i="70"/>
  <c r="V67" i="70"/>
  <c r="Z31" i="29"/>
  <c r="T36" i="29"/>
  <c r="Z36" i="29" s="1"/>
  <c r="X31" i="23"/>
  <c r="P36" i="23"/>
  <c r="N31" i="40"/>
  <c r="H36" i="40"/>
  <c r="N36" i="40" s="1"/>
  <c r="L73" i="76"/>
  <c r="F73" i="76"/>
  <c r="L31" i="53"/>
  <c r="D36" i="53"/>
  <c r="L26" i="6"/>
  <c r="D31" i="6"/>
  <c r="L31" i="6" s="1"/>
  <c r="Z59" i="79"/>
  <c r="T63" i="79"/>
  <c r="V59" i="79"/>
  <c r="P56" i="61"/>
  <c r="X56" i="61" s="1"/>
  <c r="X53" i="61"/>
  <c r="Z53" i="61" s="1"/>
  <c r="H121" i="42"/>
  <c r="J118" i="42"/>
  <c r="P36" i="35"/>
  <c r="X31" i="35"/>
  <c r="H84" i="104"/>
  <c r="J81" i="104"/>
  <c r="H66" i="79"/>
  <c r="J63" i="79"/>
  <c r="T64" i="101"/>
  <c r="V61" i="101"/>
  <c r="L31" i="17"/>
  <c r="D36" i="17"/>
  <c r="Z31" i="28"/>
  <c r="T36" i="28"/>
  <c r="Z36" i="28" s="1"/>
  <c r="L73" i="95"/>
  <c r="N73" i="95" s="1"/>
  <c r="D77" i="95"/>
  <c r="F73" i="95"/>
  <c r="Z80" i="88"/>
  <c r="T84" i="88"/>
  <c r="V80" i="88"/>
  <c r="T36" i="37"/>
  <c r="Z36" i="37" s="1"/>
  <c r="Z31" i="37"/>
  <c r="D85" i="106"/>
  <c r="L81" i="106"/>
  <c r="N81" i="106" s="1"/>
  <c r="F81" i="106"/>
  <c r="X31" i="46"/>
  <c r="P36" i="46"/>
  <c r="R117" i="71"/>
  <c r="H36" i="46"/>
  <c r="N36" i="46" s="1"/>
  <c r="N31" i="46"/>
  <c r="P121" i="42"/>
  <c r="R118" i="42"/>
  <c r="N31" i="111"/>
  <c r="H36" i="111"/>
  <c r="N36" i="111" s="1"/>
  <c r="P36" i="25"/>
  <c r="X31" i="25"/>
  <c r="J83" i="98"/>
  <c r="D36" i="34"/>
  <c r="L31" i="34"/>
  <c r="J80" i="93"/>
  <c r="H36" i="44"/>
  <c r="N36" i="44" s="1"/>
  <c r="N31" i="44"/>
  <c r="T76" i="56"/>
  <c r="D42" i="109"/>
  <c r="L42" i="109" s="1"/>
  <c r="L39" i="109"/>
  <c r="H72" i="80"/>
  <c r="N69" i="80"/>
  <c r="J69" i="80"/>
  <c r="Z88" i="45"/>
  <c r="T92" i="45"/>
  <c r="V88" i="45"/>
  <c r="T118" i="24"/>
  <c r="Z114" i="24"/>
  <c r="V114" i="24"/>
  <c r="L88" i="45"/>
  <c r="N88" i="45" s="1"/>
  <c r="D92" i="45"/>
  <c r="F88" i="45"/>
  <c r="N31" i="28"/>
  <c r="H36" i="28"/>
  <c r="N36" i="28" s="1"/>
  <c r="H78" i="73"/>
  <c r="J75" i="73"/>
  <c r="H31" i="54"/>
  <c r="N26" i="54"/>
  <c r="D140" i="30"/>
  <c r="L136" i="30"/>
  <c r="N136" i="30" s="1"/>
  <c r="F136" i="30"/>
  <c r="L31" i="38"/>
  <c r="D36" i="38"/>
  <c r="P73" i="76"/>
  <c r="R70" i="76"/>
  <c r="N31" i="53"/>
  <c r="H36" i="53"/>
  <c r="N36" i="53" s="1"/>
  <c r="H97" i="9"/>
  <c r="N94" i="9"/>
  <c r="D36" i="112"/>
  <c r="L31" i="112"/>
  <c r="N31" i="38"/>
  <c r="H36" i="38"/>
  <c r="N36" i="38" s="1"/>
  <c r="X57" i="101"/>
  <c r="Z57" i="101" s="1"/>
  <c r="P61" i="101"/>
  <c r="R57" i="101"/>
  <c r="X31" i="16"/>
  <c r="P36" i="16"/>
  <c r="T88" i="106"/>
  <c r="V85" i="106"/>
  <c r="N88" i="96"/>
  <c r="H91" i="96"/>
  <c r="J88" i="96"/>
  <c r="P36" i="83"/>
  <c r="X33" i="83"/>
  <c r="Z33" i="83" s="1"/>
  <c r="R33" i="83"/>
  <c r="Z115" i="85"/>
  <c r="T118" i="85"/>
  <c r="V115" i="85"/>
  <c r="Z92" i="51"/>
  <c r="T96" i="51"/>
  <c r="X96" i="51" s="1"/>
  <c r="V92" i="51"/>
  <c r="T118" i="27"/>
  <c r="V115" i="27"/>
  <c r="H71" i="70"/>
  <c r="L67" i="70"/>
  <c r="N67" i="70" s="1"/>
  <c r="J67" i="70"/>
  <c r="L96" i="77"/>
  <c r="D99" i="77"/>
  <c r="F96" i="77"/>
  <c r="L31" i="41"/>
  <c r="D36" i="41"/>
  <c r="N77" i="102"/>
  <c r="H81" i="102"/>
  <c r="J77" i="102"/>
  <c r="D81" i="102"/>
  <c r="L77" i="102"/>
  <c r="F77" i="102"/>
  <c r="L72" i="89"/>
  <c r="N72" i="89" s="1"/>
  <c r="D75" i="89"/>
  <c r="F72" i="89"/>
  <c r="H140" i="30"/>
  <c r="J136" i="30"/>
  <c r="X31" i="14"/>
  <c r="P36" i="14"/>
  <c r="X115" i="85"/>
  <c r="P118" i="85"/>
  <c r="R115" i="85"/>
  <c r="L92" i="77"/>
  <c r="N92" i="77" s="1"/>
  <c r="D297" i="3"/>
  <c r="L293" i="3"/>
  <c r="N293" i="3" s="1"/>
  <c r="F293" i="3"/>
  <c r="L92" i="51"/>
  <c r="N92" i="51" s="1"/>
  <c r="D96" i="51"/>
  <c r="F92" i="51"/>
  <c r="X268" i="18"/>
  <c r="Z268" i="18" s="1"/>
  <c r="P272" i="18"/>
  <c r="R268" i="18"/>
  <c r="P74" i="70"/>
  <c r="R71" i="70"/>
  <c r="L84" i="88"/>
  <c r="N84" i="88" s="1"/>
  <c r="D87" i="88"/>
  <c r="F84" i="88"/>
  <c r="X31" i="31"/>
  <c r="P36" i="31"/>
  <c r="T36" i="40"/>
  <c r="Z36" i="40" s="1"/>
  <c r="Z31" i="40"/>
  <c r="L26" i="99"/>
  <c r="D29" i="99"/>
  <c r="P31" i="6"/>
  <c r="X31" i="6" s="1"/>
  <c r="X26" i="6"/>
  <c r="N33" i="83"/>
  <c r="H36" i="83"/>
  <c r="J33" i="83"/>
  <c r="Z31" i="46"/>
  <c r="T36" i="46"/>
  <c r="Z36" i="46" s="1"/>
  <c r="L31" i="26"/>
  <c r="D36" i="26"/>
  <c r="T36" i="35"/>
  <c r="Z36" i="35" s="1"/>
  <c r="Z31" i="35"/>
  <c r="Z100" i="21"/>
  <c r="T104" i="21"/>
  <c r="V100" i="21"/>
  <c r="L83" i="98"/>
  <c r="N83" i="98" s="1"/>
  <c r="F83" i="98"/>
  <c r="L94" i="9"/>
  <c r="D97" i="9"/>
  <c r="L97" i="9" s="1"/>
  <c r="Z136" i="30"/>
  <c r="T140" i="30"/>
  <c r="V136" i="30"/>
  <c r="L71" i="73"/>
  <c r="N71" i="73" s="1"/>
  <c r="D75" i="73"/>
  <c r="F71" i="73"/>
  <c r="L31" i="40"/>
  <c r="D36" i="40"/>
  <c r="D36" i="23"/>
  <c r="L31" i="23"/>
  <c r="H87" i="88"/>
  <c r="J84" i="88"/>
  <c r="X74" i="58"/>
  <c r="T36" i="4"/>
  <c r="Z36" i="4" s="1"/>
  <c r="Z31" i="4"/>
  <c r="X42" i="109"/>
  <c r="T114" i="71"/>
  <c r="V110" i="71"/>
  <c r="X110" i="71"/>
  <c r="Z110" i="71" s="1"/>
  <c r="H80" i="95"/>
  <c r="J77" i="95"/>
  <c r="X31" i="22"/>
  <c r="P36" i="22"/>
  <c r="X31" i="4"/>
  <c r="P36" i="4"/>
  <c r="L67" i="94"/>
  <c r="N67" i="94" s="1"/>
  <c r="D70" i="94"/>
  <c r="F67" i="94"/>
  <c r="X73" i="56"/>
  <c r="Z73" i="56" s="1"/>
  <c r="P76" i="56"/>
  <c r="Z258" i="12"/>
  <c r="T261" i="12"/>
  <c r="V258" i="12"/>
  <c r="J87" i="108"/>
  <c r="L65" i="48"/>
  <c r="N65" i="48" s="1"/>
  <c r="D68" i="48"/>
  <c r="F65" i="48"/>
  <c r="D53" i="105"/>
  <c r="L50" i="105"/>
  <c r="F50" i="105"/>
  <c r="H302" i="3"/>
  <c r="J297" i="3"/>
  <c r="Z31" i="32"/>
  <c r="T36" i="32"/>
  <c r="Z36" i="32" s="1"/>
  <c r="P36" i="8"/>
  <c r="X31" i="8"/>
  <c r="Z50" i="105"/>
  <c r="T53" i="105"/>
  <c r="V50" i="105"/>
  <c r="D36" i="43"/>
  <c r="L31" i="43"/>
  <c r="L99" i="69"/>
  <c r="N99" i="69" s="1"/>
  <c r="D103" i="69"/>
  <c r="F99" i="69"/>
  <c r="Z31" i="16"/>
  <c r="T36" i="16"/>
  <c r="Z36" i="16" s="1"/>
  <c r="L71" i="58"/>
  <c r="D74" i="58"/>
  <c r="L74" i="58" s="1"/>
  <c r="L66" i="59"/>
  <c r="N66" i="59" s="1"/>
  <c r="D69" i="59"/>
  <c r="L69" i="59" s="1"/>
  <c r="V80" i="93"/>
  <c r="D36" i="49"/>
  <c r="L31" i="49"/>
  <c r="P107" i="21"/>
  <c r="R104" i="21"/>
  <c r="H68" i="48"/>
  <c r="J65" i="48"/>
  <c r="H261" i="12"/>
  <c r="J258" i="12"/>
  <c r="T50" i="100"/>
  <c r="Z47" i="100"/>
  <c r="H36" i="13"/>
  <c r="N36" i="13" s="1"/>
  <c r="N31" i="13"/>
  <c r="L31" i="11"/>
  <c r="D36" i="11"/>
  <c r="P103" i="69"/>
  <c r="X99" i="69"/>
  <c r="Z99" i="69" s="1"/>
  <c r="R99" i="69"/>
  <c r="F92" i="33"/>
  <c r="X81" i="106"/>
  <c r="Z81" i="106" s="1"/>
  <c r="P85" i="106"/>
  <c r="R81" i="106"/>
  <c r="P36" i="32"/>
  <c r="X31" i="32"/>
  <c r="Z65" i="80"/>
  <c r="T69" i="80"/>
  <c r="X69" i="80" s="1"/>
  <c r="V65" i="80"/>
  <c r="P36" i="7"/>
  <c r="X31" i="7"/>
  <c r="T84" i="84"/>
  <c r="Z81" i="84"/>
  <c r="V81" i="84"/>
  <c r="D59" i="68"/>
  <c r="L59" i="68" s="1"/>
  <c r="L56" i="68"/>
  <c r="N56" i="68" s="1"/>
  <c r="P96" i="77"/>
  <c r="X92" i="77"/>
  <c r="Z92" i="77" s="1"/>
  <c r="R92" i="77"/>
  <c r="X76" i="98"/>
  <c r="Z76" i="98" s="1"/>
  <c r="P80" i="98"/>
  <c r="R76" i="98"/>
  <c r="P36" i="5"/>
  <c r="X31" i="5"/>
  <c r="T99" i="77"/>
  <c r="V96" i="77"/>
  <c r="Z26" i="6"/>
  <c r="T31" i="6"/>
  <c r="L31" i="20"/>
  <c r="D36" i="20"/>
  <c r="Z31" i="13"/>
  <c r="T36" i="13"/>
  <c r="Z36" i="13" s="1"/>
  <c r="L98" i="64"/>
  <c r="X31" i="17"/>
  <c r="P36" i="17"/>
  <c r="L57" i="101"/>
  <c r="N57" i="101" s="1"/>
  <c r="D61" i="101"/>
  <c r="F57" i="101"/>
  <c r="H103" i="69"/>
  <c r="J99" i="69"/>
  <c r="N31" i="52"/>
  <c r="H36" i="52"/>
  <c r="N36" i="52" s="1"/>
  <c r="N50" i="105"/>
  <c r="H53" i="105"/>
  <c r="J50" i="105"/>
  <c r="X85" i="33"/>
  <c r="Z85" i="33" s="1"/>
  <c r="P89" i="33"/>
  <c r="R85" i="33"/>
  <c r="T53" i="103"/>
  <c r="L63" i="79"/>
  <c r="N63" i="79" s="1"/>
  <c r="D66" i="79"/>
  <c r="F63" i="79"/>
  <c r="H36" i="47"/>
  <c r="N36" i="47" s="1"/>
  <c r="N31" i="47"/>
  <c r="T36" i="53"/>
  <c r="Z36" i="53" s="1"/>
  <c r="Z31" i="53"/>
  <c r="P36" i="41"/>
  <c r="X31" i="41"/>
  <c r="H36" i="34"/>
  <c r="N36" i="34" s="1"/>
  <c r="N31" i="34"/>
  <c r="T70" i="76"/>
  <c r="Z66" i="76"/>
  <c r="V66" i="76"/>
  <c r="T124" i="36"/>
  <c r="Z120" i="36"/>
  <c r="V120" i="36"/>
  <c r="Z31" i="113"/>
  <c r="T36" i="113"/>
  <c r="Z36" i="113" s="1"/>
  <c r="T36" i="49"/>
  <c r="Z36" i="49" s="1"/>
  <c r="Z31" i="49"/>
  <c r="H275" i="18"/>
  <c r="J272" i="18"/>
  <c r="N28" i="107"/>
  <c r="H31" i="107"/>
  <c r="N31" i="107" s="1"/>
  <c r="T36" i="25"/>
  <c r="Z36" i="25" s="1"/>
  <c r="Z31" i="25"/>
  <c r="P50" i="100"/>
  <c r="X47" i="100"/>
  <c r="H124" i="36"/>
  <c r="J120" i="36"/>
  <c r="Z61" i="57"/>
  <c r="T64" i="57"/>
  <c r="X81" i="104"/>
  <c r="Z81" i="104" s="1"/>
  <c r="P84" i="104"/>
  <c r="R81" i="104"/>
  <c r="L89" i="92"/>
  <c r="D36" i="5"/>
  <c r="L31" i="5"/>
  <c r="X77" i="95"/>
  <c r="P80" i="95"/>
  <c r="R77" i="95"/>
  <c r="Z74" i="58"/>
  <c r="T88" i="74"/>
  <c r="V85" i="74"/>
  <c r="L31" i="19"/>
  <c r="D36" i="19"/>
  <c r="L81" i="84"/>
  <c r="N81" i="84" s="1"/>
  <c r="D84" i="84"/>
  <c r="F81" i="84"/>
  <c r="X31" i="107"/>
  <c r="N31" i="20"/>
  <c r="H36" i="20"/>
  <c r="N36" i="20" s="1"/>
  <c r="Z31" i="19"/>
  <c r="T36" i="19"/>
  <c r="Z36" i="19" s="1"/>
  <c r="Z39" i="109"/>
  <c r="T42" i="109"/>
  <c r="N31" i="43"/>
  <c r="H36" i="43"/>
  <c r="N36" i="43" s="1"/>
  <c r="N31" i="49"/>
  <c r="H36" i="49"/>
  <c r="N36" i="49" s="1"/>
  <c r="X59" i="79"/>
  <c r="P63" i="79"/>
  <c r="R59" i="79"/>
  <c r="T36" i="47"/>
  <c r="Z36" i="47" s="1"/>
  <c r="Z31" i="47"/>
  <c r="P36" i="37"/>
  <c r="X31" i="37"/>
  <c r="N31" i="10"/>
  <c r="H36" i="10"/>
  <c r="N36" i="10" s="1"/>
  <c r="L31" i="10"/>
  <c r="D36" i="10"/>
  <c r="L120" i="36"/>
  <c r="N120" i="36" s="1"/>
  <c r="D124" i="36"/>
  <c r="F120" i="36"/>
  <c r="L31" i="47"/>
  <c r="D36" i="47"/>
  <c r="T36" i="31"/>
  <c r="Z36" i="31" s="1"/>
  <c r="Z31" i="31"/>
  <c r="D36" i="35"/>
  <c r="L31" i="35"/>
  <c r="P36" i="44"/>
  <c r="X31" i="44"/>
  <c r="X31" i="10"/>
  <c r="P36" i="10"/>
  <c r="X95" i="64"/>
  <c r="Z95" i="64" s="1"/>
  <c r="P98" i="64"/>
  <c r="X98" i="64" s="1"/>
  <c r="Z98" i="64" s="1"/>
  <c r="N31" i="31"/>
  <c r="H36" i="31"/>
  <c r="N36" i="31" s="1"/>
  <c r="D118" i="85"/>
  <c r="L115" i="85"/>
  <c r="F115" i="85"/>
  <c r="Z94" i="9"/>
  <c r="T97" i="9"/>
  <c r="X94" i="9"/>
  <c r="T36" i="38"/>
  <c r="Z36" i="38" s="1"/>
  <c r="Z31" i="38"/>
  <c r="L85" i="74"/>
  <c r="N85" i="74" s="1"/>
  <c r="D88" i="74"/>
  <c r="F85" i="74"/>
  <c r="Z31" i="50"/>
  <c r="T36" i="50"/>
  <c r="Z36" i="50" s="1"/>
  <c r="N31" i="16"/>
  <c r="H36" i="16"/>
  <c r="N36" i="16" s="1"/>
  <c r="H115" i="27"/>
  <c r="N111" i="27"/>
  <c r="J111" i="27"/>
  <c r="L86" i="92"/>
  <c r="N86" i="92" s="1"/>
  <c r="L31" i="50"/>
  <c r="D36" i="50"/>
  <c r="H36" i="112"/>
  <c r="N36" i="112" s="1"/>
  <c r="N31" i="112"/>
  <c r="D64" i="57"/>
  <c r="L64" i="57" s="1"/>
  <c r="L61" i="57"/>
  <c r="N61" i="57" s="1"/>
  <c r="Z61" i="110"/>
  <c r="T65" i="110"/>
  <c r="V61" i="110"/>
  <c r="X73" i="95"/>
  <c r="Z73" i="95" s="1"/>
  <c r="T118" i="42"/>
  <c r="Z114" i="42"/>
  <c r="V114" i="42"/>
  <c r="H107" i="21"/>
  <c r="N104" i="21"/>
  <c r="J104" i="21"/>
  <c r="X68" i="89"/>
  <c r="Z68" i="89" s="1"/>
  <c r="T81" i="102"/>
  <c r="Z77" i="102"/>
  <c r="V77" i="102"/>
  <c r="H36" i="17"/>
  <c r="N36" i="17" s="1"/>
  <c r="N31" i="17"/>
  <c r="X31" i="111"/>
  <c r="P36" i="111"/>
  <c r="X28" i="107"/>
  <c r="Z28" i="107" s="1"/>
  <c r="L36" i="29" l="1"/>
  <c r="X36" i="112"/>
  <c r="X36" i="37"/>
  <c r="L36" i="26"/>
  <c r="X36" i="14"/>
  <c r="X36" i="52"/>
  <c r="X36" i="17"/>
  <c r="L36" i="32"/>
  <c r="L36" i="7"/>
  <c r="L36" i="35"/>
  <c r="X36" i="111"/>
  <c r="X36" i="8"/>
  <c r="X36" i="34"/>
  <c r="L36" i="19"/>
  <c r="L36" i="20"/>
  <c r="L36" i="23"/>
  <c r="X36" i="5"/>
  <c r="X36" i="10"/>
  <c r="X36" i="23"/>
  <c r="L36" i="10"/>
  <c r="L36" i="5"/>
  <c r="L36" i="53"/>
  <c r="L36" i="47"/>
  <c r="L36" i="50"/>
  <c r="X36" i="16"/>
  <c r="X36" i="41"/>
  <c r="X36" i="32"/>
  <c r="L36" i="34"/>
  <c r="L36" i="43"/>
  <c r="X36" i="44"/>
  <c r="X36" i="11"/>
  <c r="X36" i="22"/>
  <c r="L36" i="38"/>
  <c r="L36" i="22"/>
  <c r="J53" i="105"/>
  <c r="T121" i="42"/>
  <c r="X121" i="42" s="1"/>
  <c r="Z118" i="42"/>
  <c r="V118" i="42"/>
  <c r="L88" i="74"/>
  <c r="F88" i="74"/>
  <c r="T127" i="36"/>
  <c r="V124" i="36"/>
  <c r="X107" i="21"/>
  <c r="R107" i="21"/>
  <c r="L103" i="69"/>
  <c r="D106" i="69"/>
  <c r="F103" i="69"/>
  <c r="D302" i="3"/>
  <c r="L297" i="3"/>
  <c r="N297" i="3" s="1"/>
  <c r="F297" i="3"/>
  <c r="H143" i="30"/>
  <c r="J140" i="30"/>
  <c r="V88" i="106"/>
  <c r="T121" i="24"/>
  <c r="V118" i="24"/>
  <c r="X36" i="25"/>
  <c r="J66" i="79"/>
  <c r="T66" i="79"/>
  <c r="V63" i="79"/>
  <c r="N98" i="64"/>
  <c r="N74" i="58"/>
  <c r="X143" i="30"/>
  <c r="R143" i="30"/>
  <c r="L78" i="81"/>
  <c r="F78" i="81"/>
  <c r="X36" i="49"/>
  <c r="N35" i="86"/>
  <c r="J35" i="86"/>
  <c r="N42" i="109"/>
  <c r="H133" i="39"/>
  <c r="J130" i="39"/>
  <c r="L121" i="24"/>
  <c r="F121" i="24"/>
  <c r="X53" i="103"/>
  <c r="X36" i="113"/>
  <c r="V78" i="81"/>
  <c r="L115" i="27"/>
  <c r="D118" i="27"/>
  <c r="F115" i="27"/>
  <c r="N56" i="61"/>
  <c r="L31" i="107"/>
  <c r="X84" i="104"/>
  <c r="Z84" i="104" s="1"/>
  <c r="R84" i="104"/>
  <c r="N88" i="74"/>
  <c r="J88" i="74"/>
  <c r="F117" i="71"/>
  <c r="V68" i="48"/>
  <c r="J70" i="94"/>
  <c r="L36" i="31"/>
  <c r="D127" i="36"/>
  <c r="L124" i="36"/>
  <c r="F124" i="36"/>
  <c r="Z42" i="109"/>
  <c r="L66" i="79"/>
  <c r="N66" i="79" s="1"/>
  <c r="F66" i="79"/>
  <c r="L36" i="49"/>
  <c r="Z140" i="30"/>
  <c r="T143" i="30"/>
  <c r="V140" i="30"/>
  <c r="L75" i="89"/>
  <c r="N75" i="89" s="1"/>
  <c r="F75" i="89"/>
  <c r="V118" i="85"/>
  <c r="T95" i="45"/>
  <c r="Z92" i="45"/>
  <c r="V92" i="45"/>
  <c r="X261" i="12"/>
  <c r="R261" i="12"/>
  <c r="L36" i="13"/>
  <c r="X32" i="86"/>
  <c r="P35" i="86"/>
  <c r="R32" i="86"/>
  <c r="R87" i="88"/>
  <c r="N73" i="76"/>
  <c r="J73" i="76"/>
  <c r="Z31" i="107"/>
  <c r="V133" i="39"/>
  <c r="X89" i="92"/>
  <c r="Z64" i="57"/>
  <c r="J275" i="18"/>
  <c r="N103" i="69"/>
  <c r="H106" i="69"/>
  <c r="J103" i="69"/>
  <c r="X80" i="98"/>
  <c r="Z80" i="98" s="1"/>
  <c r="P83" i="98"/>
  <c r="R80" i="98"/>
  <c r="J261" i="12"/>
  <c r="J302" i="3"/>
  <c r="X76" i="56"/>
  <c r="Z76" i="56" s="1"/>
  <c r="J87" i="88"/>
  <c r="R74" i="70"/>
  <c r="J78" i="73"/>
  <c r="J84" i="104"/>
  <c r="L258" i="12"/>
  <c r="N258" i="12" s="1"/>
  <c r="D261" i="12"/>
  <c r="F258" i="12"/>
  <c r="X107" i="75"/>
  <c r="R107" i="75"/>
  <c r="X91" i="96"/>
  <c r="R91" i="96"/>
  <c r="L54" i="60"/>
  <c r="Z37" i="55"/>
  <c r="X37" i="55"/>
  <c r="Z77" i="95"/>
  <c r="T80" i="95"/>
  <c r="V77" i="95"/>
  <c r="Z251" i="15"/>
  <c r="V251" i="15"/>
  <c r="X36" i="20"/>
  <c r="L36" i="37"/>
  <c r="Z81" i="102"/>
  <c r="T84" i="102"/>
  <c r="X84" i="102" s="1"/>
  <c r="V81" i="102"/>
  <c r="Z84" i="84"/>
  <c r="V84" i="84"/>
  <c r="L29" i="99"/>
  <c r="X61" i="101"/>
  <c r="Z61" i="101" s="1"/>
  <c r="P64" i="101"/>
  <c r="R61" i="101"/>
  <c r="X118" i="42"/>
  <c r="D88" i="106"/>
  <c r="L85" i="106"/>
  <c r="N85" i="106" s="1"/>
  <c r="F85" i="106"/>
  <c r="J84" i="84"/>
  <c r="X84" i="84"/>
  <c r="R84" i="84"/>
  <c r="X36" i="19"/>
  <c r="X302" i="3"/>
  <c r="Z302" i="3" s="1"/>
  <c r="R302" i="3"/>
  <c r="V302" i="3"/>
  <c r="D84" i="104"/>
  <c r="L81" i="104"/>
  <c r="N81" i="104" s="1"/>
  <c r="F81" i="104"/>
  <c r="N118" i="24"/>
  <c r="H121" i="24"/>
  <c r="J118" i="24"/>
  <c r="P121" i="24"/>
  <c r="X118" i="24"/>
  <c r="Z118" i="24" s="1"/>
  <c r="R118" i="24"/>
  <c r="L36" i="25"/>
  <c r="Z29" i="99"/>
  <c r="X29" i="99"/>
  <c r="T75" i="89"/>
  <c r="X75" i="89" s="1"/>
  <c r="Z72" i="89"/>
  <c r="V72" i="89"/>
  <c r="L36" i="111"/>
  <c r="L91" i="96"/>
  <c r="F91" i="96"/>
  <c r="X85" i="106"/>
  <c r="Z85" i="106" s="1"/>
  <c r="P88" i="106"/>
  <c r="R85" i="106"/>
  <c r="T73" i="76"/>
  <c r="V70" i="76"/>
  <c r="N115" i="27"/>
  <c r="H118" i="27"/>
  <c r="J115" i="27"/>
  <c r="X272" i="18"/>
  <c r="Z272" i="18" s="1"/>
  <c r="P275" i="18"/>
  <c r="R272" i="18"/>
  <c r="X118" i="85"/>
  <c r="Z118" i="85" s="1"/>
  <c r="R118" i="85"/>
  <c r="X70" i="76"/>
  <c r="Z70" i="76" s="1"/>
  <c r="R121" i="42"/>
  <c r="L36" i="17"/>
  <c r="X36" i="35"/>
  <c r="R72" i="80"/>
  <c r="X36" i="28"/>
  <c r="X36" i="13"/>
  <c r="L87" i="108"/>
  <c r="N87" i="108" s="1"/>
  <c r="F87" i="108"/>
  <c r="P127" i="36"/>
  <c r="X124" i="36"/>
  <c r="Z124" i="36" s="1"/>
  <c r="R124" i="36"/>
  <c r="J251" i="15"/>
  <c r="V36" i="83"/>
  <c r="L31" i="54"/>
  <c r="N31" i="54" s="1"/>
  <c r="X251" i="15"/>
  <c r="R251" i="15"/>
  <c r="N54" i="60"/>
  <c r="Z261" i="12"/>
  <c r="V261" i="12"/>
  <c r="V88" i="74"/>
  <c r="Z53" i="103"/>
  <c r="T68" i="110"/>
  <c r="V65" i="110"/>
  <c r="X97" i="9"/>
  <c r="Z97" i="9" s="1"/>
  <c r="X36" i="7"/>
  <c r="L53" i="105"/>
  <c r="N53" i="105" s="1"/>
  <c r="F53" i="105"/>
  <c r="L70" i="94"/>
  <c r="N70" i="94" s="1"/>
  <c r="F70" i="94"/>
  <c r="D84" i="102"/>
  <c r="L81" i="102"/>
  <c r="N81" i="102" s="1"/>
  <c r="F81" i="102"/>
  <c r="H74" i="70"/>
  <c r="J71" i="70"/>
  <c r="L71" i="70"/>
  <c r="N71" i="70" s="1"/>
  <c r="X36" i="83"/>
  <c r="Z36" i="83" s="1"/>
  <c r="R36" i="83"/>
  <c r="X73" i="76"/>
  <c r="R73" i="76"/>
  <c r="N96" i="77"/>
  <c r="H99" i="77"/>
  <c r="J96" i="77"/>
  <c r="X36" i="50"/>
  <c r="X118" i="27"/>
  <c r="R118" i="27"/>
  <c r="L107" i="21"/>
  <c r="F107" i="21"/>
  <c r="J107" i="75"/>
  <c r="L36" i="8"/>
  <c r="J64" i="101"/>
  <c r="N69" i="59"/>
  <c r="L68" i="110"/>
  <c r="N68" i="110" s="1"/>
  <c r="F68" i="110"/>
  <c r="N115" i="85"/>
  <c r="H118" i="85"/>
  <c r="J115" i="85"/>
  <c r="X68" i="110"/>
  <c r="R68" i="110"/>
  <c r="T83" i="98"/>
  <c r="V80" i="98"/>
  <c r="X85" i="74"/>
  <c r="Z85" i="74" s="1"/>
  <c r="P88" i="74"/>
  <c r="R85" i="74"/>
  <c r="L36" i="113"/>
  <c r="J80" i="95"/>
  <c r="N59" i="68"/>
  <c r="N124" i="36"/>
  <c r="H127" i="36"/>
  <c r="J124" i="36"/>
  <c r="Z31" i="6"/>
  <c r="V53" i="105"/>
  <c r="J72" i="80"/>
  <c r="J121" i="42"/>
  <c r="X64" i="57"/>
  <c r="Z32" i="86"/>
  <c r="T35" i="86"/>
  <c r="V32" i="86"/>
  <c r="H92" i="33"/>
  <c r="J89" i="33"/>
  <c r="L89" i="33"/>
  <c r="N89" i="33" s="1"/>
  <c r="X36" i="53"/>
  <c r="L36" i="28"/>
  <c r="R99" i="51"/>
  <c r="P87" i="108"/>
  <c r="X84" i="108"/>
  <c r="Z84" i="108" s="1"/>
  <c r="R84" i="108"/>
  <c r="X65" i="110"/>
  <c r="Z65" i="110" s="1"/>
  <c r="H95" i="45"/>
  <c r="J92" i="45"/>
  <c r="L36" i="52"/>
  <c r="R75" i="89"/>
  <c r="L272" i="18"/>
  <c r="N272" i="18" s="1"/>
  <c r="D275" i="18"/>
  <c r="F272" i="18"/>
  <c r="N114" i="71"/>
  <c r="H117" i="71"/>
  <c r="J114" i="71"/>
  <c r="J88" i="106"/>
  <c r="X80" i="95"/>
  <c r="R80" i="95"/>
  <c r="X89" i="33"/>
  <c r="P92" i="33"/>
  <c r="R89" i="33"/>
  <c r="P106" i="69"/>
  <c r="X103" i="69"/>
  <c r="Z103" i="69" s="1"/>
  <c r="R103" i="69"/>
  <c r="Z114" i="71"/>
  <c r="T117" i="71"/>
  <c r="V114" i="71"/>
  <c r="X114" i="71"/>
  <c r="T74" i="70"/>
  <c r="Z71" i="70"/>
  <c r="V71" i="70"/>
  <c r="N107" i="21"/>
  <c r="J107" i="21"/>
  <c r="X63" i="79"/>
  <c r="Z63" i="79" s="1"/>
  <c r="P66" i="79"/>
  <c r="R63" i="79"/>
  <c r="D64" i="101"/>
  <c r="L61" i="101"/>
  <c r="N61" i="101" s="1"/>
  <c r="F61" i="101"/>
  <c r="Z69" i="80"/>
  <c r="T72" i="80"/>
  <c r="V69" i="80"/>
  <c r="L36" i="11"/>
  <c r="L68" i="48"/>
  <c r="F68" i="48"/>
  <c r="X36" i="4"/>
  <c r="L36" i="40"/>
  <c r="X36" i="31"/>
  <c r="D99" i="51"/>
  <c r="L96" i="51"/>
  <c r="F96" i="51"/>
  <c r="H84" i="102"/>
  <c r="J81" i="102"/>
  <c r="N91" i="96"/>
  <c r="J91" i="96"/>
  <c r="L92" i="45"/>
  <c r="N92" i="45" s="1"/>
  <c r="D95" i="45"/>
  <c r="F92" i="45"/>
  <c r="Z84" i="88"/>
  <c r="T87" i="88"/>
  <c r="X87" i="88" s="1"/>
  <c r="V84" i="88"/>
  <c r="Z88" i="96"/>
  <c r="T91" i="96"/>
  <c r="V88" i="96"/>
  <c r="N31" i="6"/>
  <c r="T70" i="94"/>
  <c r="Z67" i="94"/>
  <c r="V67" i="94"/>
  <c r="Z56" i="61"/>
  <c r="V275" i="18"/>
  <c r="X36" i="26"/>
  <c r="N76" i="56"/>
  <c r="L36" i="14"/>
  <c r="L72" i="80"/>
  <c r="N72" i="80" s="1"/>
  <c r="F72" i="80"/>
  <c r="X72" i="89"/>
  <c r="X36" i="40"/>
  <c r="N64" i="57"/>
  <c r="R78" i="73"/>
  <c r="L130" i="39"/>
  <c r="N130" i="39" s="1"/>
  <c r="D133" i="39"/>
  <c r="F130" i="39"/>
  <c r="X50" i="100"/>
  <c r="Z50" i="100" s="1"/>
  <c r="P99" i="77"/>
  <c r="X96" i="77"/>
  <c r="Z96" i="77" s="1"/>
  <c r="R96" i="77"/>
  <c r="N68" i="48"/>
  <c r="J68" i="48"/>
  <c r="T107" i="21"/>
  <c r="V104" i="21"/>
  <c r="Z118" i="27"/>
  <c r="V118" i="27"/>
  <c r="L36" i="112"/>
  <c r="V64" i="101"/>
  <c r="L36" i="83"/>
  <c r="N36" i="83" s="1"/>
  <c r="F36" i="83"/>
  <c r="L104" i="75"/>
  <c r="N104" i="75" s="1"/>
  <c r="D107" i="75"/>
  <c r="F104" i="75"/>
  <c r="L80" i="93"/>
  <c r="N80" i="93" s="1"/>
  <c r="F80" i="93"/>
  <c r="V106" i="69"/>
  <c r="X65" i="48"/>
  <c r="Z65" i="48" s="1"/>
  <c r="P68" i="48"/>
  <c r="R65" i="48"/>
  <c r="X78" i="81"/>
  <c r="Z78" i="81" s="1"/>
  <c r="R78" i="81"/>
  <c r="Z89" i="92"/>
  <c r="L36" i="16"/>
  <c r="P95" i="45"/>
  <c r="X92" i="45"/>
  <c r="R92" i="45"/>
  <c r="X36" i="29"/>
  <c r="X133" i="39"/>
  <c r="Z133" i="39" s="1"/>
  <c r="R133" i="39"/>
  <c r="F99" i="77"/>
  <c r="L84" i="84"/>
  <c r="N84" i="84" s="1"/>
  <c r="F84" i="84"/>
  <c r="J36" i="83"/>
  <c r="L36" i="41"/>
  <c r="X36" i="46"/>
  <c r="Z75" i="73"/>
  <c r="T78" i="73"/>
  <c r="V75" i="73"/>
  <c r="X36" i="38"/>
  <c r="L118" i="42"/>
  <c r="N118" i="42" s="1"/>
  <c r="D121" i="42"/>
  <c r="F118" i="42"/>
  <c r="N89" i="92"/>
  <c r="L36" i="44"/>
  <c r="R84" i="102"/>
  <c r="X53" i="105"/>
  <c r="Z53" i="105" s="1"/>
  <c r="R53" i="105"/>
  <c r="L118" i="85"/>
  <c r="F118" i="85"/>
  <c r="V99" i="77"/>
  <c r="X104" i="21"/>
  <c r="Z104" i="21" s="1"/>
  <c r="L75" i="73"/>
  <c r="N75" i="73" s="1"/>
  <c r="D78" i="73"/>
  <c r="F75" i="73"/>
  <c r="L87" i="88"/>
  <c r="N87" i="88" s="1"/>
  <c r="F87" i="88"/>
  <c r="T99" i="51"/>
  <c r="X99" i="51" s="1"/>
  <c r="Z96" i="51"/>
  <c r="V96" i="51"/>
  <c r="N97" i="9"/>
  <c r="L140" i="30"/>
  <c r="N140" i="30" s="1"/>
  <c r="D143" i="30"/>
  <c r="F140" i="30"/>
  <c r="L77" i="95"/>
  <c r="N77" i="95" s="1"/>
  <c r="D80" i="95"/>
  <c r="F77" i="95"/>
  <c r="L248" i="15"/>
  <c r="N248" i="15" s="1"/>
  <c r="D251" i="15"/>
  <c r="F248" i="15"/>
  <c r="X36" i="47"/>
  <c r="L50" i="100"/>
  <c r="N50" i="100" s="1"/>
  <c r="R70" i="94"/>
  <c r="L36" i="46"/>
  <c r="X69" i="59"/>
  <c r="Z69" i="59" s="1"/>
  <c r="X81" i="102"/>
  <c r="L36" i="4"/>
  <c r="Z107" i="75"/>
  <c r="V107" i="75"/>
  <c r="N96" i="51"/>
  <c r="H99" i="51"/>
  <c r="J96" i="51"/>
  <c r="N78" i="81"/>
  <c r="J78" i="81"/>
  <c r="P80" i="93"/>
  <c r="X77" i="93"/>
  <c r="Z77" i="93" s="1"/>
  <c r="R77" i="93"/>
  <c r="X36" i="43"/>
  <c r="Z89" i="33"/>
  <c r="T92" i="33"/>
  <c r="V89" i="33"/>
  <c r="J75" i="89"/>
  <c r="L121" i="42" l="1"/>
  <c r="N121" i="42" s="1"/>
  <c r="F121" i="42"/>
  <c r="Z72" i="80"/>
  <c r="V72" i="80"/>
  <c r="X80" i="93"/>
  <c r="Z80" i="93" s="1"/>
  <c r="R80" i="93"/>
  <c r="L143" i="30"/>
  <c r="F143" i="30"/>
  <c r="X68" i="48"/>
  <c r="Z68" i="48" s="1"/>
  <c r="R68" i="48"/>
  <c r="Z117" i="71"/>
  <c r="V117" i="71"/>
  <c r="X117" i="71"/>
  <c r="Z73" i="76"/>
  <c r="V73" i="76"/>
  <c r="V121" i="24"/>
  <c r="J117" i="71"/>
  <c r="L251" i="15"/>
  <c r="N251" i="15" s="1"/>
  <c r="F251" i="15"/>
  <c r="X106" i="69"/>
  <c r="Z106" i="69" s="1"/>
  <c r="R106" i="69"/>
  <c r="L275" i="18"/>
  <c r="N275" i="18" s="1"/>
  <c r="F275" i="18"/>
  <c r="X121" i="24"/>
  <c r="Z121" i="24" s="1"/>
  <c r="R121" i="24"/>
  <c r="J133" i="39"/>
  <c r="V127" i="36"/>
  <c r="V78" i="73"/>
  <c r="L99" i="51"/>
  <c r="F99" i="51"/>
  <c r="X127" i="36"/>
  <c r="Z127" i="36" s="1"/>
  <c r="R127" i="36"/>
  <c r="L261" i="12"/>
  <c r="N261" i="12" s="1"/>
  <c r="F261" i="12"/>
  <c r="X87" i="108"/>
  <c r="Z87" i="108" s="1"/>
  <c r="R87" i="108"/>
  <c r="Z80" i="95"/>
  <c r="V80" i="95"/>
  <c r="L95" i="45"/>
  <c r="F95" i="45"/>
  <c r="Z92" i="33"/>
  <c r="V92" i="33"/>
  <c r="Z107" i="21"/>
  <c r="V107" i="21"/>
  <c r="X78" i="73"/>
  <c r="Z78" i="73" s="1"/>
  <c r="N118" i="85"/>
  <c r="J118" i="85"/>
  <c r="X275" i="18"/>
  <c r="Z275" i="18" s="1"/>
  <c r="R275" i="18"/>
  <c r="Z143" i="30"/>
  <c r="V143" i="30"/>
  <c r="Z66" i="79"/>
  <c r="V66" i="79"/>
  <c r="N143" i="30"/>
  <c r="J143" i="30"/>
  <c r="J127" i="36"/>
  <c r="X64" i="101"/>
  <c r="Z64" i="101" s="1"/>
  <c r="R64" i="101"/>
  <c r="Z99" i="51"/>
  <c r="V99" i="51"/>
  <c r="X66" i="79"/>
  <c r="R66" i="79"/>
  <c r="X88" i="106"/>
  <c r="Z88" i="106" s="1"/>
  <c r="R88" i="106"/>
  <c r="X95" i="45"/>
  <c r="Z95" i="45" s="1"/>
  <c r="R95" i="45"/>
  <c r="X92" i="33"/>
  <c r="R92" i="33"/>
  <c r="N74" i="70"/>
  <c r="J74" i="70"/>
  <c r="L74" i="70"/>
  <c r="N121" i="24"/>
  <c r="J121" i="24"/>
  <c r="L118" i="27"/>
  <c r="N118" i="27" s="1"/>
  <c r="F118" i="27"/>
  <c r="L80" i="95"/>
  <c r="N80" i="95" s="1"/>
  <c r="F80" i="95"/>
  <c r="L78" i="73"/>
  <c r="N78" i="73" s="1"/>
  <c r="F78" i="73"/>
  <c r="L107" i="75"/>
  <c r="N107" i="75" s="1"/>
  <c r="F107" i="75"/>
  <c r="Z70" i="94"/>
  <c r="V70" i="94"/>
  <c r="X83" i="98"/>
  <c r="R83" i="98"/>
  <c r="Z87" i="88"/>
  <c r="V87" i="88"/>
  <c r="N99" i="51"/>
  <c r="J99" i="51"/>
  <c r="L133" i="39"/>
  <c r="N133" i="39" s="1"/>
  <c r="F133" i="39"/>
  <c r="X88" i="74"/>
  <c r="Z88" i="74" s="1"/>
  <c r="R88" i="74"/>
  <c r="Z68" i="110"/>
  <c r="V68" i="110"/>
  <c r="X72" i="80"/>
  <c r="J118" i="27"/>
  <c r="Z84" i="102"/>
  <c r="V84" i="102"/>
  <c r="L117" i="71"/>
  <c r="N117" i="71" s="1"/>
  <c r="L302" i="3"/>
  <c r="N302" i="3" s="1"/>
  <c r="F302" i="3"/>
  <c r="Z121" i="42"/>
  <c r="V121" i="42"/>
  <c r="V35" i="86"/>
  <c r="L127" i="36"/>
  <c r="N127" i="36" s="1"/>
  <c r="F127" i="36"/>
  <c r="J84" i="102"/>
  <c r="L88" i="106"/>
  <c r="N88" i="106" s="1"/>
  <c r="F88" i="106"/>
  <c r="N106" i="69"/>
  <c r="J106" i="69"/>
  <c r="V95" i="45"/>
  <c r="L106" i="69"/>
  <c r="F106" i="69"/>
  <c r="L64" i="101"/>
  <c r="N64" i="101" s="1"/>
  <c r="F64" i="101"/>
  <c r="X35" i="86"/>
  <c r="Z35" i="86" s="1"/>
  <c r="R35" i="86"/>
  <c r="Z74" i="70"/>
  <c r="V74" i="70"/>
  <c r="J99" i="77"/>
  <c r="Z91" i="96"/>
  <c r="V91" i="96"/>
  <c r="N95" i="45"/>
  <c r="J95" i="45"/>
  <c r="L84" i="102"/>
  <c r="N84" i="102" s="1"/>
  <c r="F84" i="102"/>
  <c r="Z75" i="89"/>
  <c r="V75" i="89"/>
  <c r="L84" i="104"/>
  <c r="N84" i="104" s="1"/>
  <c r="F84" i="104"/>
  <c r="X74" i="70"/>
  <c r="X70" i="94"/>
  <c r="L99" i="77"/>
  <c r="N99" i="77" s="1"/>
  <c r="X99" i="77"/>
  <c r="Z99" i="77" s="1"/>
  <c r="R99" i="77"/>
  <c r="N92" i="33"/>
  <c r="J92" i="33"/>
  <c r="L92" i="33"/>
  <c r="Z83" i="98"/>
  <c r="V83" i="98"/>
</calcChain>
</file>

<file path=xl/sharedStrings.xml><?xml version="1.0" encoding="utf-8"?>
<sst xmlns="http://schemas.openxmlformats.org/spreadsheetml/2006/main" count="2948" uniqueCount="314">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</sst>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7" fontId="1" fillId="0" borderId="0" xfId="3" applyNumberFormat="1" applyFont="1" applyFill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Continuous"/>
    </xf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49" fontId="1" fillId="0" borderId="0" xfId="0" applyNumberFormat="1" applyFont="1" applyFill="1"/>
    <xf numFmtId="49" fontId="2" fillId="0" borderId="0" xfId="0" applyNumberFormat="1" applyFont="1" applyFill="1"/>
    <xf numFmtId="165" fontId="0" fillId="0" borderId="0" xfId="0" applyNumberFormat="1"/>
    <xf numFmtId="49" fontId="2" fillId="2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2" fillId="0" borderId="0" xfId="0" applyFont="1" applyAlignment="1">
      <alignment horizontal="left"/>
    </xf>
    <xf numFmtId="0" fontId="4" fillId="0" borderId="0" xfId="0" applyFont="1"/>
    <xf numFmtId="166" fontId="5" fillId="0" borderId="0" xfId="0" applyNumberFormat="1" applyFont="1" applyAlignment="1">
      <alignment horizontal="left"/>
    </xf>
    <xf numFmtId="0" fontId="0" fillId="0" borderId="0" xfId="0" applyFill="1" applyAlignment="1">
      <alignment horizontal="centerContinuous"/>
    </xf>
    <xf numFmtId="164" fontId="2" fillId="0" borderId="0" xfId="1" applyNumberFormat="1" applyFont="1" applyFill="1" applyAlignment="1">
      <alignment horizontal="centerContinuous"/>
    </xf>
    <xf numFmtId="0" fontId="5" fillId="0" borderId="0" xfId="0" applyFont="1" applyAlignment="1">
      <alignment horizontal="left"/>
    </xf>
    <xf numFmtId="0" fontId="2" fillId="0" borderId="0" xfId="0" applyFont="1" applyFill="1" applyBorder="1"/>
    <xf numFmtId="0" fontId="0" fillId="0" borderId="0" xfId="0" applyBorder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304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304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07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H243" sqref="H243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4218295.5499999961</v>
      </c>
      <c r="E12" s="4"/>
      <c r="F12" s="12"/>
      <c r="G12" s="4"/>
      <c r="H12" s="4">
        <f>SUM(OSRRefH13x_0)</f>
        <v>4334056.1099999994</v>
      </c>
      <c r="I12" s="4"/>
      <c r="J12" s="12"/>
      <c r="K12" s="4"/>
      <c r="L12" s="4">
        <f t="shared" ref="L12:L126" si="0">+D12-H12</f>
        <v>-115760.56000000332</v>
      </c>
      <c r="M12" s="4"/>
      <c r="N12" s="12">
        <f t="shared" ref="N12:N126" si="1">IF(H12=0,0,L12/H12)</f>
        <v>-2.6709520380437189E-2</v>
      </c>
      <c r="O12" s="10"/>
      <c r="P12" s="4">
        <f>SUM(OSRRefP13x_0)</f>
        <v>5725206.9299999988</v>
      </c>
      <c r="Q12" s="4"/>
      <c r="R12" s="12"/>
      <c r="S12" s="4"/>
      <c r="T12" s="4">
        <f>SUM(OSRRefT13x_0)</f>
        <v>5998771.6900000023</v>
      </c>
      <c r="U12" s="4"/>
      <c r="V12" s="12"/>
      <c r="W12" s="4"/>
      <c r="X12" s="4">
        <f t="shared" ref="X12:X126" si="2">+P12-T12</f>
        <v>-273564.7600000035</v>
      </c>
      <c r="Y12" s="4"/>
      <c r="Z12" s="12">
        <f t="shared" ref="Z12:Z126" si="3">IF(T12=0,0,X12/T12)</f>
        <v>-4.5603462531510916E-2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--1090909.72</f>
        <v>1090909.72</v>
      </c>
      <c r="E13" s="2"/>
      <c r="F13" s="21"/>
      <c r="G13" s="2"/>
      <c r="H13" s="2">
        <f>--1329973.05</f>
        <v>1329973.05</v>
      </c>
      <c r="I13" s="2"/>
      <c r="J13" s="21"/>
      <c r="K13" s="2"/>
      <c r="L13" s="2">
        <f t="shared" si="0"/>
        <v>-239063.33000000007</v>
      </c>
      <c r="M13" s="2"/>
      <c r="N13" s="21">
        <f t="shared" si="1"/>
        <v>-0.17975050697455866</v>
      </c>
      <c r="O13" s="11"/>
      <c r="P13" s="2">
        <f>--1127221.97</f>
        <v>1127221.97</v>
      </c>
      <c r="Q13" s="2"/>
      <c r="R13" s="21"/>
      <c r="S13" s="2"/>
      <c r="T13" s="2">
        <f>--1403237.68</f>
        <v>1403237.68</v>
      </c>
      <c r="U13" s="2"/>
      <c r="V13" s="21"/>
      <c r="W13" s="2"/>
      <c r="X13" s="2">
        <f t="shared" si="2"/>
        <v>-276015.70999999996</v>
      </c>
      <c r="Y13" s="2"/>
      <c r="Z13" s="21">
        <f t="shared" si="3"/>
        <v>-0.1966991864129532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--533666.11</f>
        <v>533666.11</v>
      </c>
      <c r="E14" s="2"/>
      <c r="F14" s="21"/>
      <c r="G14" s="2"/>
      <c r="H14" s="2">
        <f>--590742.61</f>
        <v>590742.61</v>
      </c>
      <c r="I14" s="2"/>
      <c r="J14" s="21"/>
      <c r="K14" s="2"/>
      <c r="L14" s="2">
        <f t="shared" si="0"/>
        <v>-57076.5</v>
      </c>
      <c r="M14" s="2"/>
      <c r="N14" s="21">
        <f t="shared" si="1"/>
        <v>-9.661822092027525E-2</v>
      </c>
      <c r="O14" s="11"/>
      <c r="P14" s="2">
        <f>--555460.92</f>
        <v>555460.92000000004</v>
      </c>
      <c r="Q14" s="2"/>
      <c r="R14" s="21"/>
      <c r="S14" s="2"/>
      <c r="T14" s="2">
        <f>--617324.19</f>
        <v>617324.18999999994</v>
      </c>
      <c r="U14" s="2"/>
      <c r="V14" s="21"/>
      <c r="W14" s="2"/>
      <c r="X14" s="2">
        <f t="shared" si="2"/>
        <v>-61863.269999999902</v>
      </c>
      <c r="Y14" s="2"/>
      <c r="Z14" s="21">
        <f t="shared" si="3"/>
        <v>-0.10021196480248069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--12302.07</f>
        <v>12302.07</v>
      </c>
      <c r="E15" s="2"/>
      <c r="F15" s="21"/>
      <c r="G15" s="2"/>
      <c r="H15" s="2">
        <f>--5041.8</f>
        <v>5041.8</v>
      </c>
      <c r="I15" s="2"/>
      <c r="J15" s="21"/>
      <c r="K15" s="2"/>
      <c r="L15" s="2">
        <f t="shared" si="0"/>
        <v>7260.2699999999995</v>
      </c>
      <c r="M15" s="2"/>
      <c r="N15" s="21">
        <f t="shared" si="1"/>
        <v>1.4400154706652384</v>
      </c>
      <c r="O15" s="11"/>
      <c r="P15" s="2">
        <f>--12736.05</f>
        <v>12736.05</v>
      </c>
      <c r="Q15" s="2"/>
      <c r="R15" s="21"/>
      <c r="S15" s="2"/>
      <c r="T15" s="2">
        <f>--5525.8</f>
        <v>5525.8</v>
      </c>
      <c r="U15" s="2"/>
      <c r="V15" s="21"/>
      <c r="W15" s="2"/>
      <c r="X15" s="2">
        <f t="shared" si="2"/>
        <v>7210.2499999999991</v>
      </c>
      <c r="Y15" s="2"/>
      <c r="Z15" s="21">
        <f t="shared" si="3"/>
        <v>1.3048336892395669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--22276.72</f>
        <v>22276.720000000001</v>
      </c>
      <c r="E16" s="2"/>
      <c r="F16" s="21"/>
      <c r="G16" s="2"/>
      <c r="H16" s="2">
        <f>--37220.14</f>
        <v>37220.14</v>
      </c>
      <c r="I16" s="2"/>
      <c r="J16" s="21"/>
      <c r="K16" s="2"/>
      <c r="L16" s="2">
        <f t="shared" si="0"/>
        <v>-14943.419999999998</v>
      </c>
      <c r="M16" s="2"/>
      <c r="N16" s="21">
        <f t="shared" si="1"/>
        <v>-0.40148747425452991</v>
      </c>
      <c r="O16" s="11"/>
      <c r="P16" s="2">
        <f>--22410.07</f>
        <v>22410.07</v>
      </c>
      <c r="Q16" s="2"/>
      <c r="R16" s="21"/>
      <c r="S16" s="2"/>
      <c r="T16" s="2">
        <f>--37363.14</f>
        <v>37363.14</v>
      </c>
      <c r="U16" s="2"/>
      <c r="V16" s="21"/>
      <c r="W16" s="2"/>
      <c r="X16" s="2">
        <f t="shared" si="2"/>
        <v>-14953.07</v>
      </c>
      <c r="Y16" s="2"/>
      <c r="Z16" s="21">
        <f t="shared" si="3"/>
        <v>-0.40020913659826235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--70.86</f>
        <v>70.86</v>
      </c>
      <c r="E17" s="2"/>
      <c r="F17" s="21"/>
      <c r="G17" s="2"/>
      <c r="H17" s="2">
        <f>--1031.71</f>
        <v>1031.71</v>
      </c>
      <c r="I17" s="2"/>
      <c r="J17" s="21"/>
      <c r="K17" s="2"/>
      <c r="L17" s="2">
        <f t="shared" si="0"/>
        <v>-960.85</v>
      </c>
      <c r="M17" s="2"/>
      <c r="N17" s="21">
        <f t="shared" si="1"/>
        <v>-0.93131790910236401</v>
      </c>
      <c r="O17" s="11"/>
      <c r="P17" s="2">
        <f>--110.81</f>
        <v>110.81</v>
      </c>
      <c r="Q17" s="2"/>
      <c r="R17" s="21"/>
      <c r="S17" s="2"/>
      <c r="T17" s="2">
        <f>--1085.67</f>
        <v>1085.67</v>
      </c>
      <c r="U17" s="2"/>
      <c r="V17" s="21"/>
      <c r="W17" s="2"/>
      <c r="X17" s="2">
        <f t="shared" si="2"/>
        <v>-974.86000000000013</v>
      </c>
      <c r="Y17" s="2"/>
      <c r="Z17" s="21">
        <f t="shared" si="3"/>
        <v>-0.89793399467609869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--175</f>
        <v>175</v>
      </c>
      <c r="E18" s="2"/>
      <c r="F18" s="21"/>
      <c r="G18" s="2"/>
      <c r="H18" s="2">
        <f>--147.02</f>
        <v>147.02000000000001</v>
      </c>
      <c r="I18" s="2"/>
      <c r="J18" s="21"/>
      <c r="K18" s="2"/>
      <c r="L18" s="2">
        <f t="shared" si="0"/>
        <v>27.97999999999999</v>
      </c>
      <c r="M18" s="2"/>
      <c r="N18" s="21">
        <f t="shared" si="1"/>
        <v>0.19031424296014141</v>
      </c>
      <c r="O18" s="11"/>
      <c r="P18" s="2">
        <f>--425.65</f>
        <v>425.65</v>
      </c>
      <c r="Q18" s="2"/>
      <c r="R18" s="21"/>
      <c r="S18" s="2"/>
      <c r="T18" s="2">
        <f>--347.51</f>
        <v>347.51</v>
      </c>
      <c r="U18" s="2"/>
      <c r="V18" s="21"/>
      <c r="W18" s="2"/>
      <c r="X18" s="2">
        <f t="shared" si="2"/>
        <v>78.139999999999986</v>
      </c>
      <c r="Y18" s="2"/>
      <c r="Z18" s="21">
        <f t="shared" si="3"/>
        <v>0.22485683865212508</v>
      </c>
    </row>
    <row r="19" spans="1:26" s="24" customFormat="1" hidden="1" outlineLevel="1" x14ac:dyDescent="0.25">
      <c r="A19" s="50"/>
      <c r="B19" s="11" t="str">
        <f>CONCATENATE("          ", "4017", " - ", "TAXABLE SALES-DORM/HOUSEWARES")</f>
        <v xml:space="preserve">          4017 - TAXABLE SALES-DORM/HOUSEWARES</v>
      </c>
      <c r="C19" s="11"/>
      <c r="D19" s="2">
        <f>--152.83</f>
        <v>152.83000000000001</v>
      </c>
      <c r="E19" s="2"/>
      <c r="F19" s="21"/>
      <c r="G19" s="2"/>
      <c r="H19" s="2">
        <f>--335.74</f>
        <v>335.74</v>
      </c>
      <c r="I19" s="2"/>
      <c r="J19" s="21"/>
      <c r="K19" s="2"/>
      <c r="L19" s="2">
        <f t="shared" si="0"/>
        <v>-182.91</v>
      </c>
      <c r="M19" s="2"/>
      <c r="N19" s="21">
        <f t="shared" si="1"/>
        <v>-0.54479656877345561</v>
      </c>
      <c r="O19" s="11"/>
      <c r="P19" s="2">
        <f>--157.3</f>
        <v>157.30000000000001</v>
      </c>
      <c r="Q19" s="2"/>
      <c r="R19" s="21"/>
      <c r="S19" s="2"/>
      <c r="T19" s="2">
        <f>--600.35</f>
        <v>600.35</v>
      </c>
      <c r="U19" s="2"/>
      <c r="V19" s="21"/>
      <c r="W19" s="2"/>
      <c r="X19" s="2">
        <f t="shared" si="2"/>
        <v>-443.05</v>
      </c>
      <c r="Y19" s="2"/>
      <c r="Z19" s="21">
        <f t="shared" si="3"/>
        <v>-0.73798617473140671</v>
      </c>
    </row>
    <row r="20" spans="1:26" s="24" customFormat="1" hidden="1" outlineLevel="1" x14ac:dyDescent="0.25">
      <c r="A20" s="50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--1184.84</f>
        <v>1184.8399999999999</v>
      </c>
      <c r="E20" s="2"/>
      <c r="F20" s="21"/>
      <c r="G20" s="2"/>
      <c r="H20" s="2">
        <f>--1550.73</f>
        <v>1550.73</v>
      </c>
      <c r="I20" s="2"/>
      <c r="J20" s="21"/>
      <c r="K20" s="2"/>
      <c r="L20" s="2">
        <f t="shared" si="0"/>
        <v>-365.8900000000001</v>
      </c>
      <c r="M20" s="2"/>
      <c r="N20" s="21">
        <f t="shared" si="1"/>
        <v>-0.23594694111805414</v>
      </c>
      <c r="O20" s="11"/>
      <c r="P20" s="2">
        <f>--1364.13</f>
        <v>1364.13</v>
      </c>
      <c r="Q20" s="2"/>
      <c r="R20" s="21"/>
      <c r="S20" s="2"/>
      <c r="T20" s="2">
        <f>--2030.07</f>
        <v>2030.07</v>
      </c>
      <c r="U20" s="2"/>
      <c r="V20" s="21"/>
      <c r="W20" s="2"/>
      <c r="X20" s="2">
        <f t="shared" si="2"/>
        <v>-665.93999999999983</v>
      </c>
      <c r="Y20" s="2"/>
      <c r="Z20" s="21">
        <f t="shared" si="3"/>
        <v>-0.32803794943031511</v>
      </c>
    </row>
    <row r="21" spans="1:26" s="24" customFormat="1" hidden="1" outlineLevel="1" x14ac:dyDescent="0.25">
      <c r="A21" s="50"/>
      <c r="B21" s="11" t="str">
        <f>CONCATENATE("          ", "4019", " - ", "TAXABLE SALES-BOOK RELATED")</f>
        <v xml:space="preserve">          4019 - TAXABLE SALES-BOOK RELATED</v>
      </c>
      <c r="C21" s="11"/>
      <c r="D21" s="2">
        <f>--14.95</f>
        <v>14.95</v>
      </c>
      <c r="E21" s="2"/>
      <c r="F21" s="21"/>
      <c r="G21" s="2"/>
      <c r="H21" s="2">
        <f>0</f>
        <v>0</v>
      </c>
      <c r="I21" s="2"/>
      <c r="J21" s="21"/>
      <c r="K21" s="2"/>
      <c r="L21" s="2">
        <f t="shared" si="0"/>
        <v>14.95</v>
      </c>
      <c r="M21" s="2"/>
      <c r="N21" s="21">
        <f t="shared" si="1"/>
        <v>0</v>
      </c>
      <c r="O21" s="11"/>
      <c r="P21" s="2">
        <f>--14.95</f>
        <v>14.95</v>
      </c>
      <c r="Q21" s="2"/>
      <c r="R21" s="21"/>
      <c r="S21" s="2"/>
      <c r="T21" s="2">
        <f>--39.9</f>
        <v>39.9</v>
      </c>
      <c r="U21" s="2"/>
      <c r="V21" s="21"/>
      <c r="W21" s="2"/>
      <c r="X21" s="2">
        <f t="shared" si="2"/>
        <v>-24.95</v>
      </c>
      <c r="Y21" s="2"/>
      <c r="Z21" s="21">
        <f t="shared" si="3"/>
        <v>-0.62531328320802004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2">
        <f>--4066.24</f>
        <v>4066.24</v>
      </c>
      <c r="E22" s="2"/>
      <c r="F22" s="21"/>
      <c r="G22" s="2"/>
      <c r="H22" s="2">
        <f>--4267.77</f>
        <v>4267.7700000000004</v>
      </c>
      <c r="I22" s="2"/>
      <c r="J22" s="21"/>
      <c r="K22" s="2"/>
      <c r="L22" s="2">
        <f t="shared" si="0"/>
        <v>-201.53000000000065</v>
      </c>
      <c r="M22" s="2"/>
      <c r="N22" s="21">
        <f t="shared" si="1"/>
        <v>-4.7221382595594566E-2</v>
      </c>
      <c r="O22" s="11"/>
      <c r="P22" s="2">
        <f>--4458.53</f>
        <v>4458.53</v>
      </c>
      <c r="Q22" s="2"/>
      <c r="R22" s="21"/>
      <c r="S22" s="2"/>
      <c r="T22" s="2">
        <f>--4887.65</f>
        <v>4887.6499999999996</v>
      </c>
      <c r="U22" s="2"/>
      <c r="V22" s="21"/>
      <c r="W22" s="2"/>
      <c r="X22" s="2">
        <f t="shared" si="2"/>
        <v>-429.11999999999989</v>
      </c>
      <c r="Y22" s="2"/>
      <c r="Z22" s="21">
        <f t="shared" si="3"/>
        <v>-8.7796793960287653E-2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--10841.03</f>
        <v>10841.03</v>
      </c>
      <c r="E23" s="2"/>
      <c r="F23" s="21"/>
      <c r="G23" s="2"/>
      <c r="H23" s="2">
        <f>--10528.34</f>
        <v>10528.34</v>
      </c>
      <c r="I23" s="2"/>
      <c r="J23" s="21"/>
      <c r="K23" s="2"/>
      <c r="L23" s="2">
        <f t="shared" si="0"/>
        <v>312.69000000000051</v>
      </c>
      <c r="M23" s="2"/>
      <c r="N23" s="21">
        <f t="shared" si="1"/>
        <v>2.9699838721013998E-2</v>
      </c>
      <c r="O23" s="11"/>
      <c r="P23" s="2">
        <f>--12776.54</f>
        <v>12776.54</v>
      </c>
      <c r="Q23" s="2"/>
      <c r="R23" s="21"/>
      <c r="S23" s="2"/>
      <c r="T23" s="2">
        <f>--12602.86</f>
        <v>12602.86</v>
      </c>
      <c r="U23" s="2"/>
      <c r="V23" s="21"/>
      <c r="W23" s="2"/>
      <c r="X23" s="2">
        <f t="shared" si="2"/>
        <v>173.68000000000029</v>
      </c>
      <c r="Y23" s="2"/>
      <c r="Z23" s="21">
        <f t="shared" si="3"/>
        <v>1.3780998916119062E-2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--65949.25</f>
        <v>65949.25</v>
      </c>
      <c r="E24" s="2"/>
      <c r="F24" s="21"/>
      <c r="G24" s="2"/>
      <c r="H24" s="2">
        <f>--61380.88</f>
        <v>61380.88</v>
      </c>
      <c r="I24" s="2"/>
      <c r="J24" s="21"/>
      <c r="K24" s="2"/>
      <c r="L24" s="2">
        <f t="shared" si="0"/>
        <v>4568.3700000000026</v>
      </c>
      <c r="M24" s="2"/>
      <c r="N24" s="21">
        <f t="shared" si="1"/>
        <v>7.442659668613423E-2</v>
      </c>
      <c r="O24" s="11"/>
      <c r="P24" s="2">
        <f>--79099.25</f>
        <v>79099.25</v>
      </c>
      <c r="Q24" s="2"/>
      <c r="R24" s="21"/>
      <c r="S24" s="2"/>
      <c r="T24" s="2">
        <f>--73303.38</f>
        <v>73303.38</v>
      </c>
      <c r="U24" s="2"/>
      <c r="V24" s="21"/>
      <c r="W24" s="2"/>
      <c r="X24" s="2">
        <f t="shared" si="2"/>
        <v>5795.8699999999953</v>
      </c>
      <c r="Y24" s="2"/>
      <c r="Z24" s="21">
        <f t="shared" si="3"/>
        <v>7.90668861381289E-2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2">
        <f>--46631.39</f>
        <v>46631.39</v>
      </c>
      <c r="E25" s="2"/>
      <c r="F25" s="21"/>
      <c r="G25" s="2"/>
      <c r="H25" s="2">
        <f>--45686.16</f>
        <v>45686.16</v>
      </c>
      <c r="I25" s="2"/>
      <c r="J25" s="21"/>
      <c r="K25" s="2"/>
      <c r="L25" s="2">
        <f t="shared" si="0"/>
        <v>945.22999999999593</v>
      </c>
      <c r="M25" s="2"/>
      <c r="N25" s="21">
        <f t="shared" si="1"/>
        <v>2.0689635548270982E-2</v>
      </c>
      <c r="O25" s="11"/>
      <c r="P25" s="2">
        <f>--48915.55</f>
        <v>48915.55</v>
      </c>
      <c r="Q25" s="2"/>
      <c r="R25" s="21"/>
      <c r="S25" s="2"/>
      <c r="T25" s="2">
        <f>--47699.65</f>
        <v>47699.65</v>
      </c>
      <c r="U25" s="2"/>
      <c r="V25" s="21"/>
      <c r="W25" s="2"/>
      <c r="X25" s="2">
        <f t="shared" si="2"/>
        <v>1215.9000000000015</v>
      </c>
      <c r="Y25" s="2"/>
      <c r="Z25" s="21">
        <f t="shared" si="3"/>
        <v>2.5490753076804578E-2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2">
        <f>--30.82</f>
        <v>30.82</v>
      </c>
      <c r="E26" s="2"/>
      <c r="F26" s="21"/>
      <c r="G26" s="2"/>
      <c r="H26" s="2">
        <f>--43.71</f>
        <v>43.71</v>
      </c>
      <c r="I26" s="2"/>
      <c r="J26" s="21"/>
      <c r="K26" s="2"/>
      <c r="L26" s="2">
        <f t="shared" si="0"/>
        <v>-12.89</v>
      </c>
      <c r="M26" s="2"/>
      <c r="N26" s="21">
        <f t="shared" si="1"/>
        <v>-0.29489819263326472</v>
      </c>
      <c r="O26" s="11"/>
      <c r="P26" s="2">
        <f>--32.34</f>
        <v>32.340000000000003</v>
      </c>
      <c r="Q26" s="2"/>
      <c r="R26" s="21"/>
      <c r="S26" s="2"/>
      <c r="T26" s="2">
        <f>--44.94</f>
        <v>44.94</v>
      </c>
      <c r="U26" s="2"/>
      <c r="V26" s="21"/>
      <c r="W26" s="2"/>
      <c r="X26" s="2">
        <f t="shared" si="2"/>
        <v>-12.599999999999994</v>
      </c>
      <c r="Y26" s="2"/>
      <c r="Z26" s="21">
        <f t="shared" si="3"/>
        <v>-0.2803738317757008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2">
        <f>--17871.46</f>
        <v>17871.46</v>
      </c>
      <c r="E27" s="2"/>
      <c r="F27" s="21"/>
      <c r="G27" s="2"/>
      <c r="H27" s="2">
        <f>--18993.22</f>
        <v>18993.22</v>
      </c>
      <c r="I27" s="2"/>
      <c r="J27" s="21"/>
      <c r="K27" s="2"/>
      <c r="L27" s="2">
        <f t="shared" si="0"/>
        <v>-1121.760000000002</v>
      </c>
      <c r="M27" s="2"/>
      <c r="N27" s="21">
        <f t="shared" si="1"/>
        <v>-5.9061075478512963E-2</v>
      </c>
      <c r="O27" s="11"/>
      <c r="P27" s="2">
        <f>--24753.19</f>
        <v>24753.19</v>
      </c>
      <c r="Q27" s="2"/>
      <c r="R27" s="21"/>
      <c r="S27" s="2"/>
      <c r="T27" s="2">
        <f>--26215.18</f>
        <v>26215.18</v>
      </c>
      <c r="U27" s="2"/>
      <c r="V27" s="21"/>
      <c r="W27" s="2"/>
      <c r="X27" s="2">
        <f t="shared" si="2"/>
        <v>-1461.9900000000016</v>
      </c>
      <c r="Y27" s="2"/>
      <c r="Z27" s="21">
        <f t="shared" si="3"/>
        <v>-5.5768833172230803E-2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2">
        <f>--9.83</f>
        <v>9.83</v>
      </c>
      <c r="E28" s="2"/>
      <c r="F28" s="21"/>
      <c r="G28" s="2"/>
      <c r="H28" s="2">
        <f>--2.36</f>
        <v>2.36</v>
      </c>
      <c r="I28" s="2"/>
      <c r="J28" s="21"/>
      <c r="K28" s="2"/>
      <c r="L28" s="2">
        <f t="shared" si="0"/>
        <v>7.4700000000000006</v>
      </c>
      <c r="M28" s="2"/>
      <c r="N28" s="21">
        <f t="shared" si="1"/>
        <v>3.1652542372881358</v>
      </c>
      <c r="O28" s="11"/>
      <c r="P28" s="2">
        <f>--13</f>
        <v>13</v>
      </c>
      <c r="Q28" s="2"/>
      <c r="R28" s="21"/>
      <c r="S28" s="2"/>
      <c r="T28" s="2">
        <f>--3.04</f>
        <v>3.04</v>
      </c>
      <c r="U28" s="2"/>
      <c r="V28" s="21"/>
      <c r="W28" s="2"/>
      <c r="X28" s="2">
        <f t="shared" si="2"/>
        <v>9.9600000000000009</v>
      </c>
      <c r="Y28" s="2"/>
      <c r="Z28" s="21">
        <f t="shared" si="3"/>
        <v>3.2763157894736845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2">
        <f>--638.45</f>
        <v>638.45000000000005</v>
      </c>
      <c r="E29" s="2"/>
      <c r="F29" s="21"/>
      <c r="G29" s="2"/>
      <c r="H29" s="2">
        <f>--653.48</f>
        <v>653.48</v>
      </c>
      <c r="I29" s="2"/>
      <c r="J29" s="21"/>
      <c r="K29" s="2"/>
      <c r="L29" s="2">
        <f t="shared" si="0"/>
        <v>-15.029999999999973</v>
      </c>
      <c r="M29" s="2"/>
      <c r="N29" s="21">
        <f t="shared" si="1"/>
        <v>-2.2999938789251349E-2</v>
      </c>
      <c r="O29" s="11"/>
      <c r="P29" s="2">
        <f>--961.94</f>
        <v>961.94</v>
      </c>
      <c r="Q29" s="2"/>
      <c r="R29" s="21"/>
      <c r="S29" s="2"/>
      <c r="T29" s="2">
        <f>--895.79</f>
        <v>895.79</v>
      </c>
      <c r="U29" s="2"/>
      <c r="V29" s="21"/>
      <c r="W29" s="2"/>
      <c r="X29" s="2">
        <f t="shared" si="2"/>
        <v>66.150000000000091</v>
      </c>
      <c r="Y29" s="2"/>
      <c r="Z29" s="21">
        <f t="shared" si="3"/>
        <v>7.3845432523247739E-2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--92.48</f>
        <v>92.48</v>
      </c>
      <c r="E30" s="2"/>
      <c r="F30" s="21"/>
      <c r="G30" s="2"/>
      <c r="H30" s="2">
        <f>--97.58</f>
        <v>97.58</v>
      </c>
      <c r="I30" s="2"/>
      <c r="J30" s="21"/>
      <c r="K30" s="2"/>
      <c r="L30" s="2">
        <f t="shared" si="0"/>
        <v>-5.0999999999999943</v>
      </c>
      <c r="M30" s="2"/>
      <c r="N30" s="21">
        <f t="shared" si="1"/>
        <v>-5.2264808362369283E-2</v>
      </c>
      <c r="O30" s="11"/>
      <c r="P30" s="2">
        <f>--98.45</f>
        <v>98.45</v>
      </c>
      <c r="Q30" s="2"/>
      <c r="R30" s="21"/>
      <c r="S30" s="2"/>
      <c r="T30" s="2">
        <f>--145.63</f>
        <v>145.63</v>
      </c>
      <c r="U30" s="2"/>
      <c r="V30" s="21"/>
      <c r="W30" s="2"/>
      <c r="X30" s="2">
        <f t="shared" si="2"/>
        <v>-47.179999999999993</v>
      </c>
      <c r="Y30" s="2"/>
      <c r="Z30" s="21">
        <f t="shared" si="3"/>
        <v>-0.32397170912586687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2">
        <f>--36.88</f>
        <v>36.880000000000003</v>
      </c>
      <c r="E31" s="2"/>
      <c r="F31" s="21"/>
      <c r="G31" s="2"/>
      <c r="H31" s="2">
        <f>--27.96</f>
        <v>27.96</v>
      </c>
      <c r="I31" s="2"/>
      <c r="J31" s="21"/>
      <c r="K31" s="2"/>
      <c r="L31" s="2">
        <f t="shared" si="0"/>
        <v>8.9200000000000017</v>
      </c>
      <c r="M31" s="2"/>
      <c r="N31" s="21">
        <f t="shared" si="1"/>
        <v>0.31902718168812594</v>
      </c>
      <c r="O31" s="11"/>
      <c r="P31" s="2">
        <f>--42.17</f>
        <v>42.17</v>
      </c>
      <c r="Q31" s="2"/>
      <c r="R31" s="21"/>
      <c r="S31" s="2"/>
      <c r="T31" s="2">
        <f>--33.27</f>
        <v>33.270000000000003</v>
      </c>
      <c r="U31" s="2"/>
      <c r="V31" s="21"/>
      <c r="W31" s="2"/>
      <c r="X31" s="2">
        <f t="shared" si="2"/>
        <v>8.8999999999999986</v>
      </c>
      <c r="Y31" s="2"/>
      <c r="Z31" s="21">
        <f t="shared" si="3"/>
        <v>0.26750826570483915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2">
        <f>--219441.66</f>
        <v>219441.66</v>
      </c>
      <c r="E32" s="2"/>
      <c r="F32" s="21"/>
      <c r="G32" s="2"/>
      <c r="H32" s="2">
        <f>--183864.69</f>
        <v>183864.69</v>
      </c>
      <c r="I32" s="2"/>
      <c r="J32" s="21"/>
      <c r="K32" s="2"/>
      <c r="L32" s="2">
        <f t="shared" si="0"/>
        <v>35576.97</v>
      </c>
      <c r="M32" s="2"/>
      <c r="N32" s="21">
        <f t="shared" si="1"/>
        <v>0.19349539055051843</v>
      </c>
      <c r="O32" s="11"/>
      <c r="P32" s="2">
        <f>--389753.68</f>
        <v>389753.68</v>
      </c>
      <c r="Q32" s="2"/>
      <c r="R32" s="21"/>
      <c r="S32" s="2"/>
      <c r="T32" s="2">
        <f>--329836.35</f>
        <v>329836.34999999998</v>
      </c>
      <c r="U32" s="2"/>
      <c r="V32" s="21"/>
      <c r="W32" s="2"/>
      <c r="X32" s="2">
        <f t="shared" si="2"/>
        <v>59917.330000000016</v>
      </c>
      <c r="Y32" s="2"/>
      <c r="Z32" s="21">
        <f t="shared" si="3"/>
        <v>0.18165775239751478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2">
        <f>--120650.82</f>
        <v>120650.82</v>
      </c>
      <c r="E33" s="2"/>
      <c r="F33" s="21"/>
      <c r="G33" s="2"/>
      <c r="H33" s="2">
        <f>--114605.27</f>
        <v>114605.27</v>
      </c>
      <c r="I33" s="2"/>
      <c r="J33" s="21"/>
      <c r="K33" s="2"/>
      <c r="L33" s="2">
        <f t="shared" si="0"/>
        <v>6045.5500000000029</v>
      </c>
      <c r="M33" s="2"/>
      <c r="N33" s="21">
        <f t="shared" si="1"/>
        <v>5.2751064588914653E-2</v>
      </c>
      <c r="O33" s="11"/>
      <c r="P33" s="2">
        <f>--151692.41</f>
        <v>151692.41</v>
      </c>
      <c r="Q33" s="2"/>
      <c r="R33" s="21"/>
      <c r="S33" s="2"/>
      <c r="T33" s="2">
        <f>--149783.35</f>
        <v>149783.35</v>
      </c>
      <c r="U33" s="2"/>
      <c r="V33" s="21"/>
      <c r="W33" s="2"/>
      <c r="X33" s="2">
        <f t="shared" si="2"/>
        <v>1909.0599999999977</v>
      </c>
      <c r="Y33" s="2"/>
      <c r="Z33" s="21">
        <f t="shared" si="3"/>
        <v>1.2745475381609488E-2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--44445.92</f>
        <v>44445.919999999998</v>
      </c>
      <c r="E34" s="2"/>
      <c r="F34" s="21"/>
      <c r="G34" s="2"/>
      <c r="H34" s="2">
        <f>--29885.59</f>
        <v>29885.59</v>
      </c>
      <c r="I34" s="2"/>
      <c r="J34" s="21"/>
      <c r="K34" s="2"/>
      <c r="L34" s="2">
        <f t="shared" si="0"/>
        <v>14560.329999999998</v>
      </c>
      <c r="M34" s="2"/>
      <c r="N34" s="21">
        <f t="shared" si="1"/>
        <v>0.48720236073639495</v>
      </c>
      <c r="O34" s="11"/>
      <c r="P34" s="2">
        <f>--60038.97</f>
        <v>60038.97</v>
      </c>
      <c r="Q34" s="2"/>
      <c r="R34" s="21"/>
      <c r="S34" s="2"/>
      <c r="T34" s="2">
        <f>--43065.99</f>
        <v>43065.99</v>
      </c>
      <c r="U34" s="2"/>
      <c r="V34" s="21"/>
      <c r="W34" s="2"/>
      <c r="X34" s="2">
        <f t="shared" si="2"/>
        <v>16972.980000000003</v>
      </c>
      <c r="Y34" s="2"/>
      <c r="Z34" s="21">
        <f t="shared" si="3"/>
        <v>0.39411563509860109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2">
        <f>--129.05</f>
        <v>129.05000000000001</v>
      </c>
      <c r="E35" s="2"/>
      <c r="F35" s="21"/>
      <c r="G35" s="2"/>
      <c r="H35" s="2">
        <f>--203.26</f>
        <v>203.26</v>
      </c>
      <c r="I35" s="2"/>
      <c r="J35" s="21"/>
      <c r="K35" s="2"/>
      <c r="L35" s="2">
        <f t="shared" si="0"/>
        <v>-74.20999999999998</v>
      </c>
      <c r="M35" s="2"/>
      <c r="N35" s="21">
        <f t="shared" si="1"/>
        <v>-0.36509888812358549</v>
      </c>
      <c r="O35" s="11"/>
      <c r="P35" s="2">
        <f>--185.45</f>
        <v>185.45</v>
      </c>
      <c r="Q35" s="2"/>
      <c r="R35" s="21"/>
      <c r="S35" s="2"/>
      <c r="T35" s="2">
        <f>--413.48</f>
        <v>413.48</v>
      </c>
      <c r="U35" s="2"/>
      <c r="V35" s="21"/>
      <c r="W35" s="2"/>
      <c r="X35" s="2">
        <f t="shared" si="2"/>
        <v>-228.03000000000003</v>
      </c>
      <c r="Y35" s="2"/>
      <c r="Z35" s="21">
        <f t="shared" si="3"/>
        <v>-0.55148979394408437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2">
        <f>--19434.42</f>
        <v>19434.419999999998</v>
      </c>
      <c r="E36" s="2"/>
      <c r="F36" s="21"/>
      <c r="G36" s="2"/>
      <c r="H36" s="2">
        <f>--19647.94</f>
        <v>19647.939999999999</v>
      </c>
      <c r="I36" s="2"/>
      <c r="J36" s="21"/>
      <c r="K36" s="2"/>
      <c r="L36" s="2">
        <f t="shared" si="0"/>
        <v>-213.52000000000044</v>
      </c>
      <c r="M36" s="2"/>
      <c r="N36" s="21">
        <f t="shared" si="1"/>
        <v>-1.0867297029612288E-2</v>
      </c>
      <c r="O36" s="11"/>
      <c r="P36" s="2">
        <f>--21777.07</f>
        <v>21777.07</v>
      </c>
      <c r="Q36" s="2"/>
      <c r="R36" s="21"/>
      <c r="S36" s="2"/>
      <c r="T36" s="2">
        <f>--23405.78</f>
        <v>23405.78</v>
      </c>
      <c r="U36" s="2"/>
      <c r="V36" s="21"/>
      <c r="W36" s="2"/>
      <c r="X36" s="2">
        <f t="shared" si="2"/>
        <v>-1628.7099999999991</v>
      </c>
      <c r="Y36" s="2"/>
      <c r="Z36" s="21">
        <f t="shared" si="3"/>
        <v>-6.9585803164859239E-2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--6103.32</f>
        <v>6103.32</v>
      </c>
      <c r="E37" s="2"/>
      <c r="F37" s="21"/>
      <c r="G37" s="2"/>
      <c r="H37" s="2">
        <f>--17649.91</f>
        <v>17649.91</v>
      </c>
      <c r="I37" s="2"/>
      <c r="J37" s="21"/>
      <c r="K37" s="2"/>
      <c r="L37" s="2">
        <f t="shared" si="0"/>
        <v>-11546.59</v>
      </c>
      <c r="M37" s="2"/>
      <c r="N37" s="21">
        <f t="shared" si="1"/>
        <v>-0.65420106958052482</v>
      </c>
      <c r="O37" s="11"/>
      <c r="P37" s="2">
        <f>--25524.04</f>
        <v>25524.04</v>
      </c>
      <c r="Q37" s="2"/>
      <c r="R37" s="21"/>
      <c r="S37" s="2"/>
      <c r="T37" s="2">
        <f>--42959.48</f>
        <v>42959.48</v>
      </c>
      <c r="U37" s="2"/>
      <c r="V37" s="21"/>
      <c r="W37" s="2"/>
      <c r="X37" s="2">
        <f t="shared" si="2"/>
        <v>-17435.440000000002</v>
      </c>
      <c r="Y37" s="2"/>
      <c r="Z37" s="21">
        <f t="shared" si="3"/>
        <v>-0.40585779902363811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2">
        <f>--442.38</f>
        <v>442.38</v>
      </c>
      <c r="E38" s="2"/>
      <c r="F38" s="21"/>
      <c r="G38" s="2"/>
      <c r="H38" s="2">
        <f>--299.3</f>
        <v>299.3</v>
      </c>
      <c r="I38" s="2"/>
      <c r="J38" s="21"/>
      <c r="K38" s="2"/>
      <c r="L38" s="2">
        <f t="shared" si="0"/>
        <v>143.07999999999998</v>
      </c>
      <c r="M38" s="2"/>
      <c r="N38" s="21">
        <f t="shared" si="1"/>
        <v>0.4780487804878048</v>
      </c>
      <c r="O38" s="11"/>
      <c r="P38" s="2">
        <f>--482.38</f>
        <v>482.38</v>
      </c>
      <c r="Q38" s="2"/>
      <c r="R38" s="21"/>
      <c r="S38" s="2"/>
      <c r="T38" s="2">
        <f>--349.29</f>
        <v>349.29</v>
      </c>
      <c r="U38" s="2"/>
      <c r="V38" s="21"/>
      <c r="W38" s="2"/>
      <c r="X38" s="2">
        <f t="shared" si="2"/>
        <v>133.08999999999997</v>
      </c>
      <c r="Y38" s="2"/>
      <c r="Z38" s="21">
        <f t="shared" si="3"/>
        <v>0.38103008961035234</v>
      </c>
    </row>
    <row r="39" spans="1:26" s="24" customFormat="1" hidden="1" outlineLevel="1" x14ac:dyDescent="0.25">
      <c r="A39" s="50"/>
      <c r="B39" s="11" t="str">
        <f>CONCATENATE("          ", "4051", " - ", "TAXABLE SALES-FOOD")</f>
        <v xml:space="preserve">          4051 - TAXABLE SALES-FOOD</v>
      </c>
      <c r="C39" s="11"/>
      <c r="D39" s="2">
        <f>--41756.26</f>
        <v>41756.26</v>
      </c>
      <c r="E39" s="2"/>
      <c r="F39" s="21"/>
      <c r="G39" s="2"/>
      <c r="H39" s="2">
        <f>--44865.46</f>
        <v>44865.46</v>
      </c>
      <c r="I39" s="2"/>
      <c r="J39" s="21"/>
      <c r="K39" s="2"/>
      <c r="L39" s="2">
        <f t="shared" si="0"/>
        <v>-3109.1999999999971</v>
      </c>
      <c r="M39" s="2"/>
      <c r="N39" s="21">
        <f t="shared" si="1"/>
        <v>-6.930052650747362E-2</v>
      </c>
      <c r="O39" s="11"/>
      <c r="P39" s="2">
        <f>--64362.63</f>
        <v>64362.63</v>
      </c>
      <c r="Q39" s="2"/>
      <c r="R39" s="21"/>
      <c r="S39" s="2"/>
      <c r="T39" s="2">
        <f>--69385.85</f>
        <v>69385.850000000006</v>
      </c>
      <c r="U39" s="2"/>
      <c r="V39" s="21"/>
      <c r="W39" s="2"/>
      <c r="X39" s="2">
        <f t="shared" si="2"/>
        <v>-5023.2200000000084</v>
      </c>
      <c r="Y39" s="2"/>
      <c r="Z39" s="21">
        <f t="shared" si="3"/>
        <v>-7.239545238690609E-2</v>
      </c>
    </row>
    <row r="40" spans="1:26" s="24" customFormat="1" hidden="1" outlineLevel="1" x14ac:dyDescent="0.25">
      <c r="A40" s="50"/>
      <c r="B40" s="11" t="str">
        <f>CONCATENATE("          ", "4052", " - ", "TAXABLE SALES-FOOD")</f>
        <v xml:space="preserve">          4052 - TAXABLE SALES-FOOD</v>
      </c>
      <c r="C40" s="11"/>
      <c r="D40" s="2">
        <f>--95751.36</f>
        <v>95751.360000000001</v>
      </c>
      <c r="E40" s="2"/>
      <c r="F40" s="21"/>
      <c r="G40" s="2"/>
      <c r="H40" s="2">
        <f>--90194.84</f>
        <v>90194.84</v>
      </c>
      <c r="I40" s="2"/>
      <c r="J40" s="21"/>
      <c r="K40" s="2"/>
      <c r="L40" s="2">
        <f t="shared" si="0"/>
        <v>5556.5200000000041</v>
      </c>
      <c r="M40" s="2"/>
      <c r="N40" s="21">
        <f t="shared" si="1"/>
        <v>6.1605741525790216E-2</v>
      </c>
      <c r="O40" s="11"/>
      <c r="P40" s="2">
        <f>--139530.2</f>
        <v>139530.20000000001</v>
      </c>
      <c r="Q40" s="2"/>
      <c r="R40" s="21"/>
      <c r="S40" s="2"/>
      <c r="T40" s="2">
        <f>--189834.62</f>
        <v>189834.62</v>
      </c>
      <c r="U40" s="2"/>
      <c r="V40" s="21"/>
      <c r="W40" s="2"/>
      <c r="X40" s="2">
        <f t="shared" si="2"/>
        <v>-50304.419999999984</v>
      </c>
      <c r="Y40" s="2"/>
      <c r="Z40" s="21">
        <f t="shared" si="3"/>
        <v>-0.26499075879836875</v>
      </c>
    </row>
    <row r="41" spans="1:26" s="24" customFormat="1" hidden="1" outlineLevel="1" x14ac:dyDescent="0.25">
      <c r="A41" s="50"/>
      <c r="B41" s="11" t="str">
        <f>CONCATENATE("          ", "4053", " - ", "TAXABLE SALES-FOOD")</f>
        <v xml:space="preserve">          4053 - TAXABLE SALES-FOOD</v>
      </c>
      <c r="C41" s="11"/>
      <c r="D41" s="2">
        <f>--20205.92</f>
        <v>20205.919999999998</v>
      </c>
      <c r="E41" s="2"/>
      <c r="F41" s="21"/>
      <c r="G41" s="2"/>
      <c r="H41" s="2">
        <f>--21638.18</f>
        <v>21638.18</v>
      </c>
      <c r="I41" s="2"/>
      <c r="J41" s="21"/>
      <c r="K41" s="2"/>
      <c r="L41" s="2">
        <f t="shared" si="0"/>
        <v>-1432.260000000002</v>
      </c>
      <c r="M41" s="2"/>
      <c r="N41" s="21">
        <f t="shared" si="1"/>
        <v>-6.6191334021622986E-2</v>
      </c>
      <c r="O41" s="11"/>
      <c r="P41" s="2">
        <f>--46281.13</f>
        <v>46281.13</v>
      </c>
      <c r="Q41" s="2"/>
      <c r="R41" s="21"/>
      <c r="S41" s="2"/>
      <c r="T41" s="2">
        <f>--35664.88</f>
        <v>35664.879999999997</v>
      </c>
      <c r="U41" s="2"/>
      <c r="V41" s="21"/>
      <c r="W41" s="2"/>
      <c r="X41" s="2">
        <f t="shared" si="2"/>
        <v>10616.25</v>
      </c>
      <c r="Y41" s="2"/>
      <c r="Z41" s="21">
        <f t="shared" si="3"/>
        <v>0.29766678031721966</v>
      </c>
    </row>
    <row r="42" spans="1:26" s="24" customFormat="1" hidden="1" outlineLevel="1" x14ac:dyDescent="0.25">
      <c r="A42" s="50"/>
      <c r="B42" s="11" t="str">
        <f>CONCATENATE("          ", "4055", " - ", "TAXABLE SALES-FOOD")</f>
        <v xml:space="preserve">          4055 - TAXABLE SALES-FOOD</v>
      </c>
      <c r="C42" s="11"/>
      <c r="D42" s="2">
        <f>--29739.09</f>
        <v>29739.09</v>
      </c>
      <c r="E42" s="2"/>
      <c r="F42" s="21"/>
      <c r="G42" s="2"/>
      <c r="H42" s="2">
        <f>--32104.59</f>
        <v>32104.59</v>
      </c>
      <c r="I42" s="2"/>
      <c r="J42" s="21"/>
      <c r="K42" s="2"/>
      <c r="L42" s="2">
        <f t="shared" si="0"/>
        <v>-2365.5</v>
      </c>
      <c r="M42" s="2"/>
      <c r="N42" s="21">
        <f t="shared" si="1"/>
        <v>-7.368105308306383E-2</v>
      </c>
      <c r="O42" s="11"/>
      <c r="P42" s="2">
        <f>--43982.72</f>
        <v>43982.720000000001</v>
      </c>
      <c r="Q42" s="2"/>
      <c r="R42" s="21"/>
      <c r="S42" s="2"/>
      <c r="T42" s="2">
        <f>--50200.41</f>
        <v>50200.41</v>
      </c>
      <c r="U42" s="2"/>
      <c r="V42" s="21"/>
      <c r="W42" s="2"/>
      <c r="X42" s="2">
        <f t="shared" si="2"/>
        <v>-6217.6900000000023</v>
      </c>
      <c r="Y42" s="2"/>
      <c r="Z42" s="21">
        <f t="shared" si="3"/>
        <v>-0.12385735494988989</v>
      </c>
    </row>
    <row r="43" spans="1:26" s="24" customFormat="1" hidden="1" outlineLevel="1" x14ac:dyDescent="0.25">
      <c r="A43" s="50"/>
      <c r="B43" s="11" t="str">
        <f>CONCATENATE("          ", "4057", " - ", "TAXABLE SALES-FOOD")</f>
        <v xml:space="preserve">          4057 - TAXABLE SALES-FOOD</v>
      </c>
      <c r="C43" s="11"/>
      <c r="D43" s="2">
        <f>0</f>
        <v>0</v>
      </c>
      <c r="E43" s="2"/>
      <c r="F43" s="21"/>
      <c r="G43" s="2"/>
      <c r="H43" s="2">
        <f>--11506.08</f>
        <v>11506.08</v>
      </c>
      <c r="I43" s="2"/>
      <c r="J43" s="21"/>
      <c r="K43" s="2"/>
      <c r="L43" s="2">
        <f t="shared" si="0"/>
        <v>-11506.08</v>
      </c>
      <c r="M43" s="2"/>
      <c r="N43" s="21">
        <f t="shared" si="1"/>
        <v>-1</v>
      </c>
      <c r="O43" s="11"/>
      <c r="P43" s="2">
        <f>0</f>
        <v>0</v>
      </c>
      <c r="Q43" s="2"/>
      <c r="R43" s="21"/>
      <c r="S43" s="2"/>
      <c r="T43" s="2">
        <f>--11506.08</f>
        <v>11506.08</v>
      </c>
      <c r="U43" s="2"/>
      <c r="V43" s="21"/>
      <c r="W43" s="2"/>
      <c r="X43" s="2">
        <f t="shared" si="2"/>
        <v>-11506.08</v>
      </c>
      <c r="Y43" s="2"/>
      <c r="Z43" s="21">
        <f t="shared" si="3"/>
        <v>-1</v>
      </c>
    </row>
    <row r="44" spans="1:26" s="24" customFormat="1" hidden="1" outlineLevel="1" x14ac:dyDescent="0.25">
      <c r="A44" s="50"/>
      <c r="B44" s="11" t="str">
        <f>CONCATENATE("          ", "4058", " - ", "TAXABLE SALES-FOOD")</f>
        <v xml:space="preserve">          4058 - TAXABLE SALES-FOOD</v>
      </c>
      <c r="C44" s="11"/>
      <c r="D44" s="2">
        <f>--9436.48</f>
        <v>9436.48</v>
      </c>
      <c r="E44" s="2"/>
      <c r="F44" s="21"/>
      <c r="G44" s="2"/>
      <c r="H44" s="2">
        <f>--13188.27</f>
        <v>13188.27</v>
      </c>
      <c r="I44" s="2"/>
      <c r="J44" s="21"/>
      <c r="K44" s="2"/>
      <c r="L44" s="2">
        <f t="shared" si="0"/>
        <v>-3751.7900000000009</v>
      </c>
      <c r="M44" s="2"/>
      <c r="N44" s="21">
        <f t="shared" si="1"/>
        <v>-0.28447931381447306</v>
      </c>
      <c r="O44" s="11"/>
      <c r="P44" s="2">
        <f>--17838.14</f>
        <v>17838.14</v>
      </c>
      <c r="Q44" s="2"/>
      <c r="R44" s="21"/>
      <c r="S44" s="2"/>
      <c r="T44" s="2">
        <f>--28372.29</f>
        <v>28372.29</v>
      </c>
      <c r="U44" s="2"/>
      <c r="V44" s="21"/>
      <c r="W44" s="2"/>
      <c r="X44" s="2">
        <f t="shared" si="2"/>
        <v>-10534.150000000001</v>
      </c>
      <c r="Y44" s="2"/>
      <c r="Z44" s="21">
        <f t="shared" si="3"/>
        <v>-0.37128303707596394</v>
      </c>
    </row>
    <row r="45" spans="1:26" s="24" customFormat="1" hidden="1" outlineLevel="1" x14ac:dyDescent="0.25">
      <c r="A45" s="50"/>
      <c r="B45" s="11" t="str">
        <f>CONCATENATE("          ", "4081", " - ", "TAXABLE SALES-ELECTRONICS")</f>
        <v xml:space="preserve">          4081 - TAXABLE SALES-ELECTRONICS</v>
      </c>
      <c r="C45" s="11"/>
      <c r="D45" s="2">
        <f>--88736.22</f>
        <v>88736.22</v>
      </c>
      <c r="E45" s="2"/>
      <c r="F45" s="21"/>
      <c r="G45" s="2"/>
      <c r="H45" s="2">
        <f>--62015.77</f>
        <v>62015.77</v>
      </c>
      <c r="I45" s="2"/>
      <c r="J45" s="21"/>
      <c r="K45" s="2"/>
      <c r="L45" s="2">
        <f t="shared" si="0"/>
        <v>26720.450000000004</v>
      </c>
      <c r="M45" s="2"/>
      <c r="N45" s="21">
        <f t="shared" si="1"/>
        <v>0.430865407298821</v>
      </c>
      <c r="O45" s="11"/>
      <c r="P45" s="2">
        <f>--109688.79</f>
        <v>109688.79</v>
      </c>
      <c r="Q45" s="2"/>
      <c r="R45" s="21"/>
      <c r="S45" s="2"/>
      <c r="T45" s="2">
        <f>--79072.65</f>
        <v>79072.649999999994</v>
      </c>
      <c r="U45" s="2"/>
      <c r="V45" s="21"/>
      <c r="W45" s="2"/>
      <c r="X45" s="2">
        <f t="shared" si="2"/>
        <v>30616.14</v>
      </c>
      <c r="Y45" s="2"/>
      <c r="Z45" s="21">
        <f t="shared" si="3"/>
        <v>0.3871900081760255</v>
      </c>
    </row>
    <row r="46" spans="1:26" s="24" customFormat="1" hidden="1" outlineLevel="1" x14ac:dyDescent="0.25">
      <c r="A46" s="50"/>
      <c r="B46" s="11" t="str">
        <f>CONCATENATE("          ", "4082", " - ", "TAXABLE SALES-COMPUTER HARDWAR")</f>
        <v xml:space="preserve">          4082 - TAXABLE SALES-COMPUTER HARDWAR</v>
      </c>
      <c r="C46" s="11"/>
      <c r="D46" s="2">
        <f>--414784.04</f>
        <v>414784.04</v>
      </c>
      <c r="E46" s="2"/>
      <c r="F46" s="21"/>
      <c r="G46" s="2"/>
      <c r="H46" s="2">
        <f>--221975.98</f>
        <v>221975.98</v>
      </c>
      <c r="I46" s="2"/>
      <c r="J46" s="21"/>
      <c r="K46" s="2"/>
      <c r="L46" s="2">
        <f t="shared" si="0"/>
        <v>192808.05999999997</v>
      </c>
      <c r="M46" s="2"/>
      <c r="N46" s="21">
        <f t="shared" si="1"/>
        <v>0.86859875559508715</v>
      </c>
      <c r="O46" s="11"/>
      <c r="P46" s="2">
        <f>--813572.78</f>
        <v>813572.78</v>
      </c>
      <c r="Q46" s="2"/>
      <c r="R46" s="21"/>
      <c r="S46" s="2"/>
      <c r="T46" s="2">
        <f>--593224.81</f>
        <v>593224.81000000006</v>
      </c>
      <c r="U46" s="2"/>
      <c r="V46" s="21"/>
      <c r="W46" s="2"/>
      <c r="X46" s="2">
        <f t="shared" si="2"/>
        <v>220347.96999999997</v>
      </c>
      <c r="Y46" s="2"/>
      <c r="Z46" s="21">
        <f t="shared" si="3"/>
        <v>0.37144092135998147</v>
      </c>
    </row>
    <row r="47" spans="1:26" s="24" customFormat="1" hidden="1" outlineLevel="1" x14ac:dyDescent="0.25">
      <c r="A47" s="50"/>
      <c r="B47" s="11" t="str">
        <f>CONCATENATE("          ", "4083", " - ", "TAXABLE SALES-COMPUTER EQUIPME")</f>
        <v xml:space="preserve">          4083 - TAXABLE SALES-COMPUTER EQUIPME</v>
      </c>
      <c r="C47" s="11"/>
      <c r="D47" s="2">
        <f>--15701.67</f>
        <v>15701.67</v>
      </c>
      <c r="E47" s="2"/>
      <c r="F47" s="21"/>
      <c r="G47" s="2"/>
      <c r="H47" s="2">
        <f>--17135.66</f>
        <v>17135.66</v>
      </c>
      <c r="I47" s="2"/>
      <c r="J47" s="21"/>
      <c r="K47" s="2"/>
      <c r="L47" s="2">
        <f t="shared" si="0"/>
        <v>-1433.9899999999998</v>
      </c>
      <c r="M47" s="2"/>
      <c r="N47" s="21">
        <f t="shared" si="1"/>
        <v>-8.3684550230338356E-2</v>
      </c>
      <c r="O47" s="11"/>
      <c r="P47" s="2">
        <f>--23607.77</f>
        <v>23607.77</v>
      </c>
      <c r="Q47" s="2"/>
      <c r="R47" s="21"/>
      <c r="S47" s="2"/>
      <c r="T47" s="2">
        <f>--24573.14</f>
        <v>24573.14</v>
      </c>
      <c r="U47" s="2"/>
      <c r="V47" s="21"/>
      <c r="W47" s="2"/>
      <c r="X47" s="2">
        <f t="shared" si="2"/>
        <v>-965.36999999999898</v>
      </c>
      <c r="Y47" s="2"/>
      <c r="Z47" s="21">
        <f t="shared" si="3"/>
        <v>-3.92855776673229E-2</v>
      </c>
    </row>
    <row r="48" spans="1:26" s="24" customFormat="1" hidden="1" outlineLevel="1" x14ac:dyDescent="0.25">
      <c r="A48" s="50"/>
      <c r="B48" s="11" t="str">
        <f>CONCATENATE("          ", "4084", " - ", "TAXABLE SALES-SOFTWARE LICENSE")</f>
        <v xml:space="preserve">          4084 - TAXABLE SALES-SOFTWARE LICENSE</v>
      </c>
      <c r="C48" s="11"/>
      <c r="D48" s="2">
        <f t="shared" ref="D48:D49" si="4">0</f>
        <v>0</v>
      </c>
      <c r="E48" s="2"/>
      <c r="F48" s="21"/>
      <c r="G48" s="2"/>
      <c r="H48" s="2">
        <f>0</f>
        <v>0</v>
      </c>
      <c r="I48" s="2"/>
      <c r="J48" s="21"/>
      <c r="K48" s="2"/>
      <c r="L48" s="2">
        <f t="shared" si="0"/>
        <v>0</v>
      </c>
      <c r="M48" s="2"/>
      <c r="N48" s="21">
        <f t="shared" si="1"/>
        <v>0</v>
      </c>
      <c r="O48" s="11"/>
      <c r="P48" s="2">
        <f>--129</f>
        <v>129</v>
      </c>
      <c r="Q48" s="2"/>
      <c r="R48" s="21"/>
      <c r="S48" s="2"/>
      <c r="T48" s="2">
        <f>--278.99</f>
        <v>278.99</v>
      </c>
      <c r="U48" s="2"/>
      <c r="V48" s="21"/>
      <c r="W48" s="2"/>
      <c r="X48" s="2">
        <f t="shared" si="2"/>
        <v>-149.99</v>
      </c>
      <c r="Y48" s="2"/>
      <c r="Z48" s="21">
        <f t="shared" si="3"/>
        <v>-0.53761783576472277</v>
      </c>
    </row>
    <row r="49" spans="1:26" s="24" customFormat="1" hidden="1" outlineLevel="1" x14ac:dyDescent="0.25">
      <c r="A49" s="50"/>
      <c r="B49" s="11" t="str">
        <f>CONCATENATE("          ", "4085", " - ", "TAXABLE SALES-SOFTWARE")</f>
        <v xml:space="preserve">          4085 - TAXABLE SALES-SOFTWARE</v>
      </c>
      <c r="C49" s="11"/>
      <c r="D49" s="2">
        <f t="shared" si="4"/>
        <v>0</v>
      </c>
      <c r="E49" s="2"/>
      <c r="F49" s="21"/>
      <c r="G49" s="2"/>
      <c r="H49" s="2">
        <f>--4160.95</f>
        <v>4160.95</v>
      </c>
      <c r="I49" s="2"/>
      <c r="J49" s="21"/>
      <c r="K49" s="2"/>
      <c r="L49" s="2">
        <f t="shared" si="0"/>
        <v>-4160.95</v>
      </c>
      <c r="M49" s="2"/>
      <c r="N49" s="21">
        <f t="shared" si="1"/>
        <v>-1</v>
      </c>
      <c r="O49" s="11"/>
      <c r="P49" s="2">
        <f>--493.95</f>
        <v>493.95</v>
      </c>
      <c r="Q49" s="2"/>
      <c r="R49" s="21"/>
      <c r="S49" s="2"/>
      <c r="T49" s="2">
        <f>--4976.95</f>
        <v>4976.95</v>
      </c>
      <c r="U49" s="2"/>
      <c r="V49" s="21"/>
      <c r="W49" s="2"/>
      <c r="X49" s="2">
        <f t="shared" si="2"/>
        <v>-4483</v>
      </c>
      <c r="Y49" s="2"/>
      <c r="Z49" s="21">
        <f t="shared" si="3"/>
        <v>-0.90075246888154392</v>
      </c>
    </row>
    <row r="50" spans="1:26" s="24" customFormat="1" hidden="1" outlineLevel="1" x14ac:dyDescent="0.25">
      <c r="A50" s="50"/>
      <c r="B50" s="11" t="str">
        <f>CONCATENATE("          ", "4086", " - ", "TAXABLE SALES-COMPUTER SUPPLIE")</f>
        <v xml:space="preserve">          4086 - TAXABLE SALES-COMPUTER SUPPLIE</v>
      </c>
      <c r="C50" s="11"/>
      <c r="D50" s="2">
        <f>--7672.23</f>
        <v>7672.23</v>
      </c>
      <c r="E50" s="2"/>
      <c r="F50" s="21"/>
      <c r="G50" s="2"/>
      <c r="H50" s="2">
        <f>--9461.9</f>
        <v>9461.9</v>
      </c>
      <c r="I50" s="2"/>
      <c r="J50" s="21"/>
      <c r="K50" s="2"/>
      <c r="L50" s="2">
        <f t="shared" si="0"/>
        <v>-1789.67</v>
      </c>
      <c r="M50" s="2"/>
      <c r="N50" s="21">
        <f t="shared" si="1"/>
        <v>-0.18914488633361165</v>
      </c>
      <c r="O50" s="11"/>
      <c r="P50" s="2">
        <f>--9667.55</f>
        <v>9667.5499999999993</v>
      </c>
      <c r="Q50" s="2"/>
      <c r="R50" s="21"/>
      <c r="S50" s="2"/>
      <c r="T50" s="2">
        <f>--13957.31</f>
        <v>13957.31</v>
      </c>
      <c r="U50" s="2"/>
      <c r="V50" s="21"/>
      <c r="W50" s="2"/>
      <c r="X50" s="2">
        <f t="shared" si="2"/>
        <v>-4289.76</v>
      </c>
      <c r="Y50" s="2"/>
      <c r="Z50" s="21">
        <f t="shared" si="3"/>
        <v>-0.30734862233481958</v>
      </c>
    </row>
    <row r="51" spans="1:26" s="24" customFormat="1" hidden="1" outlineLevel="1" x14ac:dyDescent="0.25">
      <c r="A51" s="50"/>
      <c r="B51" s="11" t="str">
        <f>CONCATENATE("          ", "4088", " - ", "TAXABLE SALES-MUSIC")</f>
        <v xml:space="preserve">          4088 - TAXABLE SALES-MUSIC</v>
      </c>
      <c r="C51" s="11"/>
      <c r="D51" s="2">
        <f>--259.98</f>
        <v>259.98</v>
      </c>
      <c r="E51" s="2"/>
      <c r="F51" s="21"/>
      <c r="G51" s="2"/>
      <c r="H51" s="2">
        <f>--357.94</f>
        <v>357.94</v>
      </c>
      <c r="I51" s="2"/>
      <c r="J51" s="21"/>
      <c r="K51" s="2"/>
      <c r="L51" s="2">
        <f t="shared" si="0"/>
        <v>-97.95999999999998</v>
      </c>
      <c r="M51" s="2"/>
      <c r="N51" s="21">
        <f t="shared" si="1"/>
        <v>-0.27367715259540698</v>
      </c>
      <c r="O51" s="11"/>
      <c r="P51" s="2">
        <f>--518.97</f>
        <v>518.97</v>
      </c>
      <c r="Q51" s="2"/>
      <c r="R51" s="21"/>
      <c r="S51" s="2"/>
      <c r="T51" s="2">
        <f>--688.93</f>
        <v>688.93</v>
      </c>
      <c r="U51" s="2"/>
      <c r="V51" s="21"/>
      <c r="W51" s="2"/>
      <c r="X51" s="2">
        <f t="shared" si="2"/>
        <v>-169.95999999999992</v>
      </c>
      <c r="Y51" s="2"/>
      <c r="Z51" s="21">
        <f t="shared" si="3"/>
        <v>-0.24670140652896511</v>
      </c>
    </row>
    <row r="52" spans="1:26" s="24" customFormat="1" hidden="1" outlineLevel="1" x14ac:dyDescent="0.25">
      <c r="A52" s="50"/>
      <c r="B52" s="11" t="str">
        <f>CONCATENATE("          ", "4092", " - ", "TAXABLE SALES-GRAD MERCH")</f>
        <v xml:space="preserve">          4092 - TAXABLE SALES-GRAD MERCH</v>
      </c>
      <c r="C52" s="11"/>
      <c r="D52" s="2">
        <f>--1694.1</f>
        <v>1694.1</v>
      </c>
      <c r="E52" s="2"/>
      <c r="F52" s="21"/>
      <c r="G52" s="2"/>
      <c r="H52" s="2">
        <f>--677.9</f>
        <v>677.9</v>
      </c>
      <c r="I52" s="2"/>
      <c r="J52" s="21"/>
      <c r="K52" s="2"/>
      <c r="L52" s="2">
        <f t="shared" si="0"/>
        <v>1016.1999999999999</v>
      </c>
      <c r="M52" s="2"/>
      <c r="N52" s="21">
        <f t="shared" si="1"/>
        <v>1.4990411565127599</v>
      </c>
      <c r="O52" s="11"/>
      <c r="P52" s="2">
        <f>--3822.73</f>
        <v>3822.73</v>
      </c>
      <c r="Q52" s="2"/>
      <c r="R52" s="21"/>
      <c r="S52" s="2"/>
      <c r="T52" s="2">
        <f>--4016.4</f>
        <v>4016.4</v>
      </c>
      <c r="U52" s="2"/>
      <c r="V52" s="21"/>
      <c r="W52" s="2"/>
      <c r="X52" s="2">
        <f t="shared" si="2"/>
        <v>-193.67000000000007</v>
      </c>
      <c r="Y52" s="2"/>
      <c r="Z52" s="21">
        <f t="shared" si="3"/>
        <v>-4.8219798824818264E-2</v>
      </c>
    </row>
    <row r="53" spans="1:26" s="24" customFormat="1" hidden="1" outlineLevel="1" x14ac:dyDescent="0.25">
      <c r="A53" s="50"/>
      <c r="B53" s="11" t="str">
        <f>CONCATENATE("          ", "4095", " - ", "TAXABLE SALES-CUSTOMER SERVICE")</f>
        <v xml:space="preserve">          4095 - TAXABLE SALES-CUSTOMER SERVICE</v>
      </c>
      <c r="C53" s="11"/>
      <c r="D53" s="2">
        <f>--127.49</f>
        <v>127.49</v>
      </c>
      <c r="E53" s="2"/>
      <c r="F53" s="21"/>
      <c r="G53" s="2"/>
      <c r="H53" s="2">
        <f>--326.7</f>
        <v>326.7</v>
      </c>
      <c r="I53" s="2"/>
      <c r="J53" s="21"/>
      <c r="K53" s="2"/>
      <c r="L53" s="2">
        <f t="shared" si="0"/>
        <v>-199.20999999999998</v>
      </c>
      <c r="M53" s="2"/>
      <c r="N53" s="21">
        <f t="shared" si="1"/>
        <v>-0.60976430976430973</v>
      </c>
      <c r="O53" s="11"/>
      <c r="P53" s="2">
        <f>--174.02</f>
        <v>174.02</v>
      </c>
      <c r="Q53" s="2"/>
      <c r="R53" s="21"/>
      <c r="S53" s="2"/>
      <c r="T53" s="2">
        <f>--513.81</f>
        <v>513.80999999999995</v>
      </c>
      <c r="U53" s="2"/>
      <c r="V53" s="21"/>
      <c r="W53" s="2"/>
      <c r="X53" s="2">
        <f t="shared" si="2"/>
        <v>-339.78999999999996</v>
      </c>
      <c r="Y53" s="2"/>
      <c r="Z53" s="21">
        <f t="shared" si="3"/>
        <v>-0.66131449368443584</v>
      </c>
    </row>
    <row r="54" spans="1:26" s="24" customFormat="1" hidden="1" outlineLevel="1" x14ac:dyDescent="0.25">
      <c r="A54" s="50"/>
      <c r="B54" s="11" t="str">
        <f>CONCATENATE("          ", "4100", " - ", "NON-TAXABLE SALES")</f>
        <v xml:space="preserve">          4100 - NON-TAXABLE SALES</v>
      </c>
      <c r="C54" s="11"/>
      <c r="D54" s="2">
        <f>--292227.23</f>
        <v>292227.23</v>
      </c>
      <c r="E54" s="2"/>
      <c r="F54" s="21"/>
      <c r="G54" s="2"/>
      <c r="H54" s="2">
        <f>--335868.31</f>
        <v>335868.31</v>
      </c>
      <c r="I54" s="2"/>
      <c r="J54" s="21"/>
      <c r="K54" s="2"/>
      <c r="L54" s="2">
        <f t="shared" si="0"/>
        <v>-43641.080000000016</v>
      </c>
      <c r="M54" s="2"/>
      <c r="N54" s="21">
        <f t="shared" si="1"/>
        <v>-0.12993509271535625</v>
      </c>
      <c r="O54" s="11"/>
      <c r="P54" s="2">
        <f>--333400.43</f>
        <v>333400.43</v>
      </c>
      <c r="Q54" s="2"/>
      <c r="R54" s="21"/>
      <c r="S54" s="2"/>
      <c r="T54" s="2">
        <f>--412822.16</f>
        <v>412822.16</v>
      </c>
      <c r="U54" s="2"/>
      <c r="V54" s="21"/>
      <c r="W54" s="2"/>
      <c r="X54" s="2">
        <f t="shared" si="2"/>
        <v>-79421.729999999981</v>
      </c>
      <c r="Y54" s="2"/>
      <c r="Z54" s="21">
        <f t="shared" si="3"/>
        <v>-0.19238727397773411</v>
      </c>
    </row>
    <row r="55" spans="1:26" s="24" customFormat="1" hidden="1" outlineLevel="1" x14ac:dyDescent="0.25">
      <c r="A55" s="50"/>
      <c r="B55" s="11" t="str">
        <f>CONCATENATE("          ", "4101", " - ", "NON-TAXABLE SALES-NEW TEXT")</f>
        <v xml:space="preserve">          4101 - NON-TAXABLE SALES-NEW TEXT</v>
      </c>
      <c r="C55" s="11"/>
      <c r="D55" s="2">
        <f>--48156.44</f>
        <v>48156.44</v>
      </c>
      <c r="E55" s="2"/>
      <c r="F55" s="21"/>
      <c r="G55" s="2"/>
      <c r="H55" s="2">
        <f>--72613.98</f>
        <v>72613.98</v>
      </c>
      <c r="I55" s="2"/>
      <c r="J55" s="21"/>
      <c r="K55" s="2"/>
      <c r="L55" s="2">
        <f t="shared" si="0"/>
        <v>-24457.539999999994</v>
      </c>
      <c r="M55" s="2"/>
      <c r="N55" s="21">
        <f t="shared" si="1"/>
        <v>-0.33681585832370015</v>
      </c>
      <c r="O55" s="11"/>
      <c r="P55" s="2">
        <f>--55893.02</f>
        <v>55893.02</v>
      </c>
      <c r="Q55" s="2"/>
      <c r="R55" s="21"/>
      <c r="S55" s="2"/>
      <c r="T55" s="2">
        <f>--89447.21</f>
        <v>89447.21</v>
      </c>
      <c r="U55" s="2"/>
      <c r="V55" s="21"/>
      <c r="W55" s="2"/>
      <c r="X55" s="2">
        <f t="shared" si="2"/>
        <v>-33554.19000000001</v>
      </c>
      <c r="Y55" s="2"/>
      <c r="Z55" s="21">
        <f t="shared" si="3"/>
        <v>-0.3751284137314066</v>
      </c>
    </row>
    <row r="56" spans="1:26" s="24" customFormat="1" hidden="1" outlineLevel="1" x14ac:dyDescent="0.25">
      <c r="A56" s="50"/>
      <c r="B56" s="11" t="str">
        <f>CONCATENATE("          ", "4102", " - ", "NON-TAXABLE SALES-USED TEXT")</f>
        <v xml:space="preserve">          4102 - NON-TAXABLE SALES-USED TEXT</v>
      </c>
      <c r="C56" s="11"/>
      <c r="D56" s="2">
        <f>--27115.09</f>
        <v>27115.09</v>
      </c>
      <c r="E56" s="2"/>
      <c r="F56" s="21"/>
      <c r="G56" s="2"/>
      <c r="H56" s="2">
        <f>--38685.49</f>
        <v>38685.49</v>
      </c>
      <c r="I56" s="2"/>
      <c r="J56" s="21"/>
      <c r="K56" s="2"/>
      <c r="L56" s="2">
        <f t="shared" si="0"/>
        <v>-11570.399999999998</v>
      </c>
      <c r="M56" s="2"/>
      <c r="N56" s="21">
        <f t="shared" si="1"/>
        <v>-0.29908888319625776</v>
      </c>
      <c r="O56" s="11"/>
      <c r="P56" s="2">
        <f>--32474.33</f>
        <v>32474.33</v>
      </c>
      <c r="Q56" s="2"/>
      <c r="R56" s="21"/>
      <c r="S56" s="2"/>
      <c r="T56" s="2">
        <f>--41302.43</f>
        <v>41302.43</v>
      </c>
      <c r="U56" s="2"/>
      <c r="V56" s="21"/>
      <c r="W56" s="2"/>
      <c r="X56" s="2">
        <f t="shared" si="2"/>
        <v>-8828.0999999999985</v>
      </c>
      <c r="Y56" s="2"/>
      <c r="Z56" s="21">
        <f t="shared" si="3"/>
        <v>-0.21374287178744686</v>
      </c>
    </row>
    <row r="57" spans="1:26" s="24" customFormat="1" hidden="1" outlineLevel="1" x14ac:dyDescent="0.25">
      <c r="A57" s="50"/>
      <c r="B57" s="11" t="str">
        <f>CONCATENATE("          ", "4103", " - ", "NON-TAXABLE SALES-RENTAL TEXT")</f>
        <v xml:space="preserve">          4103 - NON-TAXABLE SALES-RENTAL TEXT</v>
      </c>
      <c r="C57" s="11"/>
      <c r="D57" s="2">
        <f>--474.97</f>
        <v>474.97</v>
      </c>
      <c r="E57" s="2"/>
      <c r="F57" s="21"/>
      <c r="G57" s="2"/>
      <c r="H57" s="2">
        <f>--169.95</f>
        <v>169.95</v>
      </c>
      <c r="I57" s="2"/>
      <c r="J57" s="21"/>
      <c r="K57" s="2"/>
      <c r="L57" s="2">
        <f t="shared" si="0"/>
        <v>305.02000000000004</v>
      </c>
      <c r="M57" s="2"/>
      <c r="N57" s="21">
        <f t="shared" si="1"/>
        <v>1.7947631656369525</v>
      </c>
      <c r="O57" s="11"/>
      <c r="P57" s="2">
        <f>--474.97</f>
        <v>474.97</v>
      </c>
      <c r="Q57" s="2"/>
      <c r="R57" s="21"/>
      <c r="S57" s="2"/>
      <c r="T57" s="2">
        <f>--169.95</f>
        <v>169.95</v>
      </c>
      <c r="U57" s="2"/>
      <c r="V57" s="21"/>
      <c r="W57" s="2"/>
      <c r="X57" s="2">
        <f t="shared" si="2"/>
        <v>305.02000000000004</v>
      </c>
      <c r="Y57" s="2"/>
      <c r="Z57" s="21">
        <f t="shared" si="3"/>
        <v>1.7947631656369525</v>
      </c>
    </row>
    <row r="58" spans="1:26" s="24" customFormat="1" hidden="1" outlineLevel="1" x14ac:dyDescent="0.25">
      <c r="A58" s="50"/>
      <c r="B58" s="11" t="str">
        <f>CONCATENATE("          ", "4104", " - ", "NON-TAXABLE SALES-DIGITAL TEXT")</f>
        <v xml:space="preserve">          4104 - NON-TAXABLE SALES-DIGITAL TEXT</v>
      </c>
      <c r="C58" s="11"/>
      <c r="D58" s="2">
        <f>--246443.9</f>
        <v>246443.9</v>
      </c>
      <c r="E58" s="2"/>
      <c r="F58" s="21"/>
      <c r="G58" s="2"/>
      <c r="H58" s="2">
        <f>--257792.9</f>
        <v>257792.9</v>
      </c>
      <c r="I58" s="2"/>
      <c r="J58" s="21"/>
      <c r="K58" s="2"/>
      <c r="L58" s="2">
        <f t="shared" si="0"/>
        <v>-11349</v>
      </c>
      <c r="M58" s="2"/>
      <c r="N58" s="21">
        <f t="shared" si="1"/>
        <v>-4.4023710505603532E-2</v>
      </c>
      <c r="O58" s="11"/>
      <c r="P58" s="2">
        <f>--259868.07</f>
        <v>259868.07</v>
      </c>
      <c r="Q58" s="2"/>
      <c r="R58" s="21"/>
      <c r="S58" s="2"/>
      <c r="T58" s="2">
        <f>--265140.56</f>
        <v>265140.56</v>
      </c>
      <c r="U58" s="2"/>
      <c r="V58" s="21"/>
      <c r="W58" s="2"/>
      <c r="X58" s="2">
        <f t="shared" si="2"/>
        <v>-5272.4899999999907</v>
      </c>
      <c r="Y58" s="2"/>
      <c r="Z58" s="21">
        <f t="shared" si="3"/>
        <v>-1.9885641035079622E-2</v>
      </c>
    </row>
    <row r="59" spans="1:26" s="24" customFormat="1" hidden="1" outlineLevel="1" x14ac:dyDescent="0.25">
      <c r="A59" s="50"/>
      <c r="B59" s="11" t="str">
        <f>CONCATENATE("          ", "4111", " - ", "NON-TAXABLE SALES-NO VALUE TEX")</f>
        <v xml:space="preserve">          4111 - NON-TAXABLE SALES-NO VALUE TEX</v>
      </c>
      <c r="C59" s="11"/>
      <c r="D59" s="2">
        <f>--3067.16</f>
        <v>3067.16</v>
      </c>
      <c r="E59" s="2"/>
      <c r="F59" s="21"/>
      <c r="G59" s="2"/>
      <c r="H59" s="2">
        <f>--3839.39</f>
        <v>3839.39</v>
      </c>
      <c r="I59" s="2"/>
      <c r="J59" s="21"/>
      <c r="K59" s="2"/>
      <c r="L59" s="2">
        <f t="shared" si="0"/>
        <v>-772.23</v>
      </c>
      <c r="M59" s="2"/>
      <c r="N59" s="21">
        <f t="shared" si="1"/>
        <v>-0.20113351339665939</v>
      </c>
      <c r="O59" s="11"/>
      <c r="P59" s="2">
        <f>--5748.11</f>
        <v>5748.11</v>
      </c>
      <c r="Q59" s="2"/>
      <c r="R59" s="21"/>
      <c r="S59" s="2"/>
      <c r="T59" s="2">
        <f>--6667.97</f>
        <v>6667.97</v>
      </c>
      <c r="U59" s="2"/>
      <c r="V59" s="21"/>
      <c r="W59" s="2"/>
      <c r="X59" s="2">
        <f t="shared" si="2"/>
        <v>-919.86000000000058</v>
      </c>
      <c r="Y59" s="2"/>
      <c r="Z59" s="21">
        <f t="shared" si="3"/>
        <v>-0.13795203037806117</v>
      </c>
    </row>
    <row r="60" spans="1:26" s="24" customFormat="1" hidden="1" outlineLevel="1" x14ac:dyDescent="0.25">
      <c r="A60" s="50"/>
      <c r="B60" s="11" t="str">
        <f>CONCATENATE("          ", "4113", " - ", "NON-TAXABLE SALES-TRADE BOOKS")</f>
        <v xml:space="preserve">          4113 - NON-TAXABLE SALES-TRADE BOOKS</v>
      </c>
      <c r="C60" s="11"/>
      <c r="D60" s="2">
        <f>--12.72</f>
        <v>12.72</v>
      </c>
      <c r="E60" s="2"/>
      <c r="F60" s="21"/>
      <c r="G60" s="2"/>
      <c r="H60" s="2">
        <f>--31.17</f>
        <v>31.17</v>
      </c>
      <c r="I60" s="2"/>
      <c r="J60" s="21"/>
      <c r="K60" s="2"/>
      <c r="L60" s="2">
        <f t="shared" si="0"/>
        <v>-18.450000000000003</v>
      </c>
      <c r="M60" s="2"/>
      <c r="N60" s="21">
        <f t="shared" si="1"/>
        <v>-0.59191530317613095</v>
      </c>
      <c r="O60" s="11"/>
      <c r="P60" s="2">
        <f>--1146.72</f>
        <v>1146.72</v>
      </c>
      <c r="Q60" s="2"/>
      <c r="R60" s="21"/>
      <c r="S60" s="2"/>
      <c r="T60" s="2">
        <f>--38.23</f>
        <v>38.229999999999997</v>
      </c>
      <c r="U60" s="2"/>
      <c r="V60" s="21"/>
      <c r="W60" s="2"/>
      <c r="X60" s="2">
        <f t="shared" si="2"/>
        <v>1108.49</v>
      </c>
      <c r="Y60" s="2"/>
      <c r="Z60" s="21">
        <f t="shared" si="3"/>
        <v>28.995291655767723</v>
      </c>
    </row>
    <row r="61" spans="1:26" s="24" customFormat="1" hidden="1" outlineLevel="1" x14ac:dyDescent="0.25">
      <c r="A61" s="50"/>
      <c r="B61" s="11" t="str">
        <f>CONCATENATE("          ", "4118", " - ", "NON-TAXABLE SALES-STUDY GUIDES")</f>
        <v xml:space="preserve">          4118 - NON-TAXABLE SALES-STUDY GUIDES</v>
      </c>
      <c r="C61" s="11"/>
      <c r="D61" s="2">
        <f>--7.02</f>
        <v>7.02</v>
      </c>
      <c r="E61" s="2"/>
      <c r="F61" s="21"/>
      <c r="G61" s="2"/>
      <c r="H61" s="2">
        <f>--75.48</f>
        <v>75.48</v>
      </c>
      <c r="I61" s="2"/>
      <c r="J61" s="21"/>
      <c r="K61" s="2"/>
      <c r="L61" s="2">
        <f t="shared" si="0"/>
        <v>-68.460000000000008</v>
      </c>
      <c r="M61" s="2"/>
      <c r="N61" s="21">
        <f t="shared" si="1"/>
        <v>-0.90699523052464237</v>
      </c>
      <c r="O61" s="11"/>
      <c r="P61" s="2">
        <f>--13.97</f>
        <v>13.97</v>
      </c>
      <c r="Q61" s="2"/>
      <c r="R61" s="21"/>
      <c r="S61" s="2"/>
      <c r="T61" s="2">
        <f>--111.41</f>
        <v>111.41</v>
      </c>
      <c r="U61" s="2"/>
      <c r="V61" s="21"/>
      <c r="W61" s="2"/>
      <c r="X61" s="2">
        <f t="shared" si="2"/>
        <v>-97.44</v>
      </c>
      <c r="Y61" s="2"/>
      <c r="Z61" s="21">
        <f t="shared" si="3"/>
        <v>-0.87460730634592943</v>
      </c>
    </row>
    <row r="62" spans="1:26" s="24" customFormat="1" hidden="1" outlineLevel="1" x14ac:dyDescent="0.25">
      <c r="A62" s="50"/>
      <c r="B62" s="11" t="str">
        <f>CONCATENATE("          ", "4125", " - ", "NON-TAXABLE SALES-TEST FORMS")</f>
        <v xml:space="preserve">          4125 - NON-TAXABLE SALES-TEST FORMS</v>
      </c>
      <c r="C62" s="11"/>
      <c r="D62" s="2">
        <f>--77.17</f>
        <v>77.17</v>
      </c>
      <c r="E62" s="2"/>
      <c r="F62" s="21"/>
      <c r="G62" s="2"/>
      <c r="H62" s="2">
        <f>--102.67</f>
        <v>102.67</v>
      </c>
      <c r="I62" s="2"/>
      <c r="J62" s="21"/>
      <c r="K62" s="2"/>
      <c r="L62" s="2">
        <f t="shared" si="0"/>
        <v>-25.5</v>
      </c>
      <c r="M62" s="2"/>
      <c r="N62" s="21">
        <f t="shared" si="1"/>
        <v>-0.24836855946235512</v>
      </c>
      <c r="O62" s="11"/>
      <c r="P62" s="2">
        <f>--82.15</f>
        <v>82.15</v>
      </c>
      <c r="Q62" s="2"/>
      <c r="R62" s="21"/>
      <c r="S62" s="2"/>
      <c r="T62" s="2">
        <f>--108.79</f>
        <v>108.79</v>
      </c>
      <c r="U62" s="2"/>
      <c r="V62" s="21"/>
      <c r="W62" s="2"/>
      <c r="X62" s="2">
        <f t="shared" si="2"/>
        <v>-26.64</v>
      </c>
      <c r="Y62" s="2"/>
      <c r="Z62" s="21">
        <f t="shared" si="3"/>
        <v>-0.24487544811103962</v>
      </c>
    </row>
    <row r="63" spans="1:26" s="24" customFormat="1" hidden="1" outlineLevel="1" x14ac:dyDescent="0.25">
      <c r="A63" s="50"/>
      <c r="B63" s="11" t="str">
        <f>CONCATENATE("          ", "4126", " - ", "NON-TAXABLE SALES-WRITING INST")</f>
        <v xml:space="preserve">          4126 - NON-TAXABLE SALES-WRITING INST</v>
      </c>
      <c r="C63" s="11"/>
      <c r="D63" s="2">
        <f>--844.09</f>
        <v>844.09</v>
      </c>
      <c r="E63" s="2"/>
      <c r="F63" s="21"/>
      <c r="G63" s="2"/>
      <c r="H63" s="2">
        <f>--916.07</f>
        <v>916.07</v>
      </c>
      <c r="I63" s="2"/>
      <c r="J63" s="21"/>
      <c r="K63" s="2"/>
      <c r="L63" s="2">
        <f t="shared" si="0"/>
        <v>-71.980000000000018</v>
      </c>
      <c r="M63" s="2"/>
      <c r="N63" s="21">
        <f t="shared" si="1"/>
        <v>-7.8574781403167898E-2</v>
      </c>
      <c r="O63" s="11"/>
      <c r="P63" s="2">
        <f>--1011.12</f>
        <v>1011.12</v>
      </c>
      <c r="Q63" s="2"/>
      <c r="R63" s="21"/>
      <c r="S63" s="2"/>
      <c r="T63" s="2">
        <f>--1180.97</f>
        <v>1180.97</v>
      </c>
      <c r="U63" s="2"/>
      <c r="V63" s="21"/>
      <c r="W63" s="2"/>
      <c r="X63" s="2">
        <f t="shared" si="2"/>
        <v>-169.85000000000002</v>
      </c>
      <c r="Y63" s="2"/>
      <c r="Z63" s="21">
        <f t="shared" si="3"/>
        <v>-0.14382245103601279</v>
      </c>
    </row>
    <row r="64" spans="1:26" s="24" customFormat="1" hidden="1" outlineLevel="1" x14ac:dyDescent="0.25">
      <c r="A64" s="50"/>
      <c r="B64" s="11" t="str">
        <f>CONCATENATE("          ", "4127", " - ", "NON-TAXABLE SALES-SCHOOL SUPPL")</f>
        <v xml:space="preserve">          4127 - NON-TAXABLE SALES-SCHOOL SUPPL</v>
      </c>
      <c r="C64" s="11"/>
      <c r="D64" s="2">
        <f>--1692.39</f>
        <v>1692.39</v>
      </c>
      <c r="E64" s="2"/>
      <c r="F64" s="21"/>
      <c r="G64" s="2"/>
      <c r="H64" s="2">
        <f>--1764.56</f>
        <v>1764.56</v>
      </c>
      <c r="I64" s="2"/>
      <c r="J64" s="21"/>
      <c r="K64" s="2"/>
      <c r="L64" s="2">
        <f t="shared" si="0"/>
        <v>-72.169999999999845</v>
      </c>
      <c r="M64" s="2"/>
      <c r="N64" s="21">
        <f t="shared" si="1"/>
        <v>-4.0899714376388362E-2</v>
      </c>
      <c r="O64" s="11"/>
      <c r="P64" s="2">
        <f>--1870.28</f>
        <v>1870.28</v>
      </c>
      <c r="Q64" s="2"/>
      <c r="R64" s="21"/>
      <c r="S64" s="2"/>
      <c r="T64" s="2">
        <f>--1899.72</f>
        <v>1899.72</v>
      </c>
      <c r="U64" s="2"/>
      <c r="V64" s="21"/>
      <c r="W64" s="2"/>
      <c r="X64" s="2">
        <f t="shared" si="2"/>
        <v>-29.440000000000055</v>
      </c>
      <c r="Y64" s="2"/>
      <c r="Z64" s="21">
        <f t="shared" si="3"/>
        <v>-1.5497020613564132E-2</v>
      </c>
    </row>
    <row r="65" spans="1:26" s="24" customFormat="1" hidden="1" outlineLevel="1" x14ac:dyDescent="0.25">
      <c r="A65" s="50"/>
      <c r="B65" s="11" t="str">
        <f>CONCATENATE("          ", "4128", " - ", "NON-TAXABLE SALES-ART/TECH")</f>
        <v xml:space="preserve">          4128 - NON-TAXABLE SALES-ART/TECH</v>
      </c>
      <c r="C65" s="11"/>
      <c r="D65" s="2">
        <f>--128.61</f>
        <v>128.61000000000001</v>
      </c>
      <c r="E65" s="2"/>
      <c r="F65" s="21"/>
      <c r="G65" s="2"/>
      <c r="H65" s="2">
        <f>--373.3</f>
        <v>373.3</v>
      </c>
      <c r="I65" s="2"/>
      <c r="J65" s="21"/>
      <c r="K65" s="2"/>
      <c r="L65" s="2">
        <f t="shared" si="0"/>
        <v>-244.69</v>
      </c>
      <c r="M65" s="2"/>
      <c r="N65" s="21">
        <f t="shared" si="1"/>
        <v>-0.65547816769354406</v>
      </c>
      <c r="O65" s="11"/>
      <c r="P65" s="2">
        <f>--130.1</f>
        <v>130.1</v>
      </c>
      <c r="Q65" s="2"/>
      <c r="R65" s="21"/>
      <c r="S65" s="2"/>
      <c r="T65" s="2">
        <f>--403.99</f>
        <v>403.99</v>
      </c>
      <c r="U65" s="2"/>
      <c r="V65" s="21"/>
      <c r="W65" s="2"/>
      <c r="X65" s="2">
        <f t="shared" si="2"/>
        <v>-273.89</v>
      </c>
      <c r="Y65" s="2"/>
      <c r="Z65" s="21">
        <f t="shared" si="3"/>
        <v>-0.67796232580014348</v>
      </c>
    </row>
    <row r="66" spans="1:26" s="24" customFormat="1" hidden="1" outlineLevel="1" x14ac:dyDescent="0.25">
      <c r="A66" s="50"/>
      <c r="B66" s="11" t="str">
        <f>CONCATENATE("          ", "4131", " - ", "NON-TAXABLE SALES-FOOD")</f>
        <v xml:space="preserve">          4131 - NON-TAXABLE SALES-FOOD</v>
      </c>
      <c r="C66" s="11"/>
      <c r="D66" s="2">
        <f>--2447.58</f>
        <v>2447.58</v>
      </c>
      <c r="E66" s="2"/>
      <c r="F66" s="21"/>
      <c r="G66" s="2"/>
      <c r="H66" s="2">
        <f>--2624.89</f>
        <v>2624.89</v>
      </c>
      <c r="I66" s="2"/>
      <c r="J66" s="21"/>
      <c r="K66" s="2"/>
      <c r="L66" s="2">
        <f t="shared" si="0"/>
        <v>-177.30999999999995</v>
      </c>
      <c r="M66" s="2"/>
      <c r="N66" s="21">
        <f t="shared" si="1"/>
        <v>-6.7549497312268308E-2</v>
      </c>
      <c r="O66" s="11"/>
      <c r="P66" s="2">
        <f>--2717.2</f>
        <v>2717.2</v>
      </c>
      <c r="Q66" s="2"/>
      <c r="R66" s="21"/>
      <c r="S66" s="2"/>
      <c r="T66" s="2">
        <f>--2954.45</f>
        <v>2954.45</v>
      </c>
      <c r="U66" s="2"/>
      <c r="V66" s="21"/>
      <c r="W66" s="2"/>
      <c r="X66" s="2">
        <f t="shared" si="2"/>
        <v>-237.25</v>
      </c>
      <c r="Y66" s="2"/>
      <c r="Z66" s="21">
        <f t="shared" si="3"/>
        <v>-8.030259439151112E-2</v>
      </c>
    </row>
    <row r="67" spans="1:26" s="24" customFormat="1" hidden="1" outlineLevel="1" x14ac:dyDescent="0.25">
      <c r="A67" s="50"/>
      <c r="B67" s="11" t="str">
        <f>CONCATENATE("          ", "4132", " - ", "NON-TAXABLE SALES-JUICE")</f>
        <v xml:space="preserve">          4132 - NON-TAXABLE SALES-JUICE</v>
      </c>
      <c r="C67" s="11"/>
      <c r="D67" s="2">
        <f>--62624.81</f>
        <v>62624.81</v>
      </c>
      <c r="E67" s="2"/>
      <c r="F67" s="21"/>
      <c r="G67" s="2"/>
      <c r="H67" s="2">
        <f>--64449.77</f>
        <v>64449.77</v>
      </c>
      <c r="I67" s="2"/>
      <c r="J67" s="21"/>
      <c r="K67" s="2"/>
      <c r="L67" s="2">
        <f t="shared" si="0"/>
        <v>-1824.9599999999991</v>
      </c>
      <c r="M67" s="2"/>
      <c r="N67" s="21">
        <f t="shared" si="1"/>
        <v>-2.8316004851530102E-2</v>
      </c>
      <c r="O67" s="11"/>
      <c r="P67" s="2">
        <f>--94757.75</f>
        <v>94757.75</v>
      </c>
      <c r="Q67" s="2"/>
      <c r="R67" s="21"/>
      <c r="S67" s="2"/>
      <c r="T67" s="2">
        <f>--93555.36</f>
        <v>93555.36</v>
      </c>
      <c r="U67" s="2"/>
      <c r="V67" s="21"/>
      <c r="W67" s="2"/>
      <c r="X67" s="2">
        <f t="shared" si="2"/>
        <v>1202.3899999999994</v>
      </c>
      <c r="Y67" s="2"/>
      <c r="Z67" s="21">
        <f t="shared" si="3"/>
        <v>1.285217650811241E-2</v>
      </c>
    </row>
    <row r="68" spans="1:26" s="24" customFormat="1" hidden="1" outlineLevel="1" x14ac:dyDescent="0.25">
      <c r="A68" s="50"/>
      <c r="B68" s="11" t="str">
        <f>CONCATENATE("          ", "4133", " - ", "NON-TAXABLE SALES-CANDY")</f>
        <v xml:space="preserve">          4133 - NON-TAXABLE SALES-CANDY</v>
      </c>
      <c r="C68" s="11"/>
      <c r="D68" s="2">
        <f>--900.13</f>
        <v>900.13</v>
      </c>
      <c r="E68" s="2"/>
      <c r="F68" s="21"/>
      <c r="G68" s="2"/>
      <c r="H68" s="2">
        <f>--824.26</f>
        <v>824.26</v>
      </c>
      <c r="I68" s="2"/>
      <c r="J68" s="21"/>
      <c r="K68" s="2"/>
      <c r="L68" s="2">
        <f t="shared" si="0"/>
        <v>75.87</v>
      </c>
      <c r="M68" s="2"/>
      <c r="N68" s="21">
        <f t="shared" si="1"/>
        <v>9.2046199014873958E-2</v>
      </c>
      <c r="O68" s="11"/>
      <c r="P68" s="2">
        <f>--1372.35</f>
        <v>1372.35</v>
      </c>
      <c r="Q68" s="2"/>
      <c r="R68" s="21"/>
      <c r="S68" s="2"/>
      <c r="T68" s="2">
        <f>--1192.81</f>
        <v>1192.81</v>
      </c>
      <c r="U68" s="2"/>
      <c r="V68" s="21"/>
      <c r="W68" s="2"/>
      <c r="X68" s="2">
        <f t="shared" si="2"/>
        <v>179.53999999999996</v>
      </c>
      <c r="Y68" s="2"/>
      <c r="Z68" s="21">
        <f t="shared" si="3"/>
        <v>0.15051852348655692</v>
      </c>
    </row>
    <row r="69" spans="1:26" s="24" customFormat="1" hidden="1" outlineLevel="1" x14ac:dyDescent="0.25">
      <c r="A69" s="50"/>
      <c r="B69" s="11" t="str">
        <f>CONCATENATE("          ", "4134", " - ", "NON-TAXABLE SALES-SODA")</f>
        <v xml:space="preserve">          4134 - NON-TAXABLE SALES-SODA</v>
      </c>
      <c r="C69" s="11"/>
      <c r="D69" s="2">
        <f>0</f>
        <v>0</v>
      </c>
      <c r="E69" s="2"/>
      <c r="F69" s="21"/>
      <c r="G69" s="2"/>
      <c r="H69" s="2">
        <f>--79.72</f>
        <v>79.72</v>
      </c>
      <c r="I69" s="2"/>
      <c r="J69" s="21"/>
      <c r="K69" s="2"/>
      <c r="L69" s="2">
        <f t="shared" si="0"/>
        <v>-79.72</v>
      </c>
      <c r="M69" s="2"/>
      <c r="N69" s="21">
        <f t="shared" si="1"/>
        <v>-1</v>
      </c>
      <c r="O69" s="11"/>
      <c r="P69" s="2">
        <f>-3.39</f>
        <v>-3.39</v>
      </c>
      <c r="Q69" s="2"/>
      <c r="R69" s="21"/>
      <c r="S69" s="2"/>
      <c r="T69" s="2">
        <f>--102.47</f>
        <v>102.47</v>
      </c>
      <c r="U69" s="2"/>
      <c r="V69" s="21"/>
      <c r="W69" s="2"/>
      <c r="X69" s="2">
        <f t="shared" si="2"/>
        <v>-105.86</v>
      </c>
      <c r="Y69" s="2"/>
      <c r="Z69" s="21">
        <f t="shared" si="3"/>
        <v>-1.0330828535181029</v>
      </c>
    </row>
    <row r="70" spans="1:26" s="24" customFormat="1" hidden="1" outlineLevel="1" x14ac:dyDescent="0.25">
      <c r="A70" s="50"/>
      <c r="B70" s="11" t="str">
        <f>CONCATENATE("          ", "4135", " - ", "NON-TAXABLE SALES")</f>
        <v xml:space="preserve">          4135 - NON-TAXABLE SALES</v>
      </c>
      <c r="C70" s="11"/>
      <c r="D70" s="2">
        <f>--32.21</f>
        <v>32.21</v>
      </c>
      <c r="E70" s="2"/>
      <c r="F70" s="21"/>
      <c r="G70" s="2"/>
      <c r="H70" s="2">
        <f>--9.41</f>
        <v>9.41</v>
      </c>
      <c r="I70" s="2"/>
      <c r="J70" s="21"/>
      <c r="K70" s="2"/>
      <c r="L70" s="2">
        <f t="shared" si="0"/>
        <v>22.8</v>
      </c>
      <c r="M70" s="2"/>
      <c r="N70" s="21">
        <f t="shared" si="1"/>
        <v>2.4229543039319874</v>
      </c>
      <c r="O70" s="11"/>
      <c r="P70" s="2">
        <f>--53.75</f>
        <v>53.75</v>
      </c>
      <c r="Q70" s="2"/>
      <c r="R70" s="21"/>
      <c r="S70" s="2"/>
      <c r="T70" s="2">
        <f>--16.59</f>
        <v>16.59</v>
      </c>
      <c r="U70" s="2"/>
      <c r="V70" s="21"/>
      <c r="W70" s="2"/>
      <c r="X70" s="2">
        <f t="shared" si="2"/>
        <v>37.159999999999997</v>
      </c>
      <c r="Y70" s="2"/>
      <c r="Z70" s="21">
        <f t="shared" si="3"/>
        <v>2.2399035563592524</v>
      </c>
    </row>
    <row r="71" spans="1:26" s="24" customFormat="1" hidden="1" outlineLevel="1" x14ac:dyDescent="0.25">
      <c r="A71" s="50"/>
      <c r="B71" s="11" t="str">
        <f>CONCATENATE("          ", "4137", " - ", "NON-TAXABLE SALES-WATER")</f>
        <v xml:space="preserve">          4137 - NON-TAXABLE SALES-WATER</v>
      </c>
      <c r="C71" s="11"/>
      <c r="D71" s="2">
        <f>--726.72</f>
        <v>726.72</v>
      </c>
      <c r="E71" s="2"/>
      <c r="F71" s="21"/>
      <c r="G71" s="2"/>
      <c r="H71" s="2">
        <f>--754.63</f>
        <v>754.63</v>
      </c>
      <c r="I71" s="2"/>
      <c r="J71" s="21"/>
      <c r="K71" s="2"/>
      <c r="L71" s="2">
        <f t="shared" si="0"/>
        <v>-27.909999999999968</v>
      </c>
      <c r="M71" s="2"/>
      <c r="N71" s="21">
        <f t="shared" si="1"/>
        <v>-3.6985012522693199E-2</v>
      </c>
      <c r="O71" s="11"/>
      <c r="P71" s="2">
        <f>--990.24</f>
        <v>990.24</v>
      </c>
      <c r="Q71" s="2"/>
      <c r="R71" s="21"/>
      <c r="S71" s="2"/>
      <c r="T71" s="2">
        <f>--999.69</f>
        <v>999.69</v>
      </c>
      <c r="U71" s="2"/>
      <c r="V71" s="21"/>
      <c r="W71" s="2"/>
      <c r="X71" s="2">
        <f t="shared" si="2"/>
        <v>-9.4500000000000455</v>
      </c>
      <c r="Y71" s="2"/>
      <c r="Z71" s="21">
        <f t="shared" si="3"/>
        <v>-9.4529304084266571E-3</v>
      </c>
    </row>
    <row r="72" spans="1:26" s="24" customFormat="1" hidden="1" outlineLevel="1" x14ac:dyDescent="0.25">
      <c r="A72" s="50"/>
      <c r="B72" s="11" t="str">
        <f>CONCATENATE("          ", "4140", " - ", "NON-TAXABLE SALES-LOGO CLOTHIN")</f>
        <v xml:space="preserve">          4140 - NON-TAXABLE SALES-LOGO CLOTHIN</v>
      </c>
      <c r="C72" s="11"/>
      <c r="D72" s="2">
        <f>--1979.29</f>
        <v>1979.29</v>
      </c>
      <c r="E72" s="2"/>
      <c r="F72" s="21"/>
      <c r="G72" s="2"/>
      <c r="H72" s="2">
        <f>--3444.26</f>
        <v>3444.26</v>
      </c>
      <c r="I72" s="2"/>
      <c r="J72" s="21"/>
      <c r="K72" s="2"/>
      <c r="L72" s="2">
        <f t="shared" si="0"/>
        <v>-1464.9700000000003</v>
      </c>
      <c r="M72" s="2"/>
      <c r="N72" s="21">
        <f t="shared" si="1"/>
        <v>-0.42533664705916513</v>
      </c>
      <c r="O72" s="11"/>
      <c r="P72" s="2">
        <f>--5142.96</f>
        <v>5142.96</v>
      </c>
      <c r="Q72" s="2"/>
      <c r="R72" s="21"/>
      <c r="S72" s="2"/>
      <c r="T72" s="2">
        <f>--5257.81</f>
        <v>5257.81</v>
      </c>
      <c r="U72" s="2"/>
      <c r="V72" s="21"/>
      <c r="W72" s="2"/>
      <c r="X72" s="2">
        <f t="shared" si="2"/>
        <v>-114.85000000000036</v>
      </c>
      <c r="Y72" s="2"/>
      <c r="Z72" s="21">
        <f t="shared" si="3"/>
        <v>-2.1843695378874543E-2</v>
      </c>
    </row>
    <row r="73" spans="1:26" s="24" customFormat="1" hidden="1" outlineLevel="1" x14ac:dyDescent="0.25">
      <c r="A73" s="50"/>
      <c r="B73" s="11" t="str">
        <f>CONCATENATE("          ", "4141", " - ", "NON-TAXABLE SALES-LOGO GIFTS")</f>
        <v xml:space="preserve">          4141 - NON-TAXABLE SALES-LOGO GIFTS</v>
      </c>
      <c r="C73" s="11"/>
      <c r="D73" s="2">
        <f>--432.15</f>
        <v>432.15</v>
      </c>
      <c r="E73" s="2"/>
      <c r="F73" s="21"/>
      <c r="G73" s="2"/>
      <c r="H73" s="2">
        <f>--926.4</f>
        <v>926.4</v>
      </c>
      <c r="I73" s="2"/>
      <c r="J73" s="21"/>
      <c r="K73" s="2"/>
      <c r="L73" s="2">
        <f t="shared" si="0"/>
        <v>-494.25</v>
      </c>
      <c r="M73" s="2"/>
      <c r="N73" s="21">
        <f t="shared" si="1"/>
        <v>-0.53351683937823835</v>
      </c>
      <c r="O73" s="11"/>
      <c r="P73" s="2">
        <f>--694.3</f>
        <v>694.3</v>
      </c>
      <c r="Q73" s="2"/>
      <c r="R73" s="21"/>
      <c r="S73" s="2"/>
      <c r="T73" s="2">
        <f>--1120</f>
        <v>1120</v>
      </c>
      <c r="U73" s="2"/>
      <c r="V73" s="21"/>
      <c r="W73" s="2"/>
      <c r="X73" s="2">
        <f t="shared" si="2"/>
        <v>-425.70000000000005</v>
      </c>
      <c r="Y73" s="2"/>
      <c r="Z73" s="21">
        <f t="shared" si="3"/>
        <v>-0.38008928571428574</v>
      </c>
    </row>
    <row r="74" spans="1:26" s="24" customFormat="1" hidden="1" outlineLevel="1" x14ac:dyDescent="0.25">
      <c r="A74" s="50"/>
      <c r="B74" s="11" t="str">
        <f>CONCATENATE("          ", "4142", " - ", "NON-TAXABLE SALES-EVERYDAY GIF")</f>
        <v xml:space="preserve">          4142 - NON-TAXABLE SALES-EVERYDAY GIF</v>
      </c>
      <c r="C74" s="11"/>
      <c r="D74" s="2">
        <f>--577.66</f>
        <v>577.66</v>
      </c>
      <c r="E74" s="2"/>
      <c r="F74" s="21"/>
      <c r="G74" s="2"/>
      <c r="H74" s="2">
        <f>--510.04</f>
        <v>510.04</v>
      </c>
      <c r="I74" s="2"/>
      <c r="J74" s="21"/>
      <c r="K74" s="2"/>
      <c r="L74" s="2">
        <f t="shared" si="0"/>
        <v>67.619999999999948</v>
      </c>
      <c r="M74" s="2"/>
      <c r="N74" s="21">
        <f t="shared" si="1"/>
        <v>0.13257783703238951</v>
      </c>
      <c r="O74" s="11"/>
      <c r="P74" s="2">
        <f>--920.1</f>
        <v>920.1</v>
      </c>
      <c r="Q74" s="2"/>
      <c r="R74" s="21"/>
      <c r="S74" s="2"/>
      <c r="T74" s="2">
        <f>--658.99</f>
        <v>658.99</v>
      </c>
      <c r="U74" s="2"/>
      <c r="V74" s="21"/>
      <c r="W74" s="2"/>
      <c r="X74" s="2">
        <f t="shared" si="2"/>
        <v>261.11</v>
      </c>
      <c r="Y74" s="2"/>
      <c r="Z74" s="21">
        <f t="shared" si="3"/>
        <v>0.39622756035751683</v>
      </c>
    </row>
    <row r="75" spans="1:26" s="24" customFormat="1" hidden="1" outlineLevel="1" x14ac:dyDescent="0.25">
      <c r="A75" s="50"/>
      <c r="B75" s="11" t="str">
        <f>CONCATENATE("          ", "4144", " - ", "NON-TAXABLE SALES-ACCESSORIES")</f>
        <v xml:space="preserve">          4144 - NON-TAXABLE SALES-ACCESSORIES</v>
      </c>
      <c r="C75" s="11"/>
      <c r="D75" s="2">
        <f>--117.86</f>
        <v>117.86</v>
      </c>
      <c r="E75" s="2"/>
      <c r="F75" s="21"/>
      <c r="G75" s="2"/>
      <c r="H75" s="2">
        <f>--39.95</f>
        <v>39.950000000000003</v>
      </c>
      <c r="I75" s="2"/>
      <c r="J75" s="21"/>
      <c r="K75" s="2"/>
      <c r="L75" s="2">
        <f t="shared" si="0"/>
        <v>77.91</v>
      </c>
      <c r="M75" s="2"/>
      <c r="N75" s="21">
        <f t="shared" si="1"/>
        <v>1.9501877346683352</v>
      </c>
      <c r="O75" s="11"/>
      <c r="P75" s="2">
        <f>--139.76</f>
        <v>139.76</v>
      </c>
      <c r="Q75" s="2"/>
      <c r="R75" s="21"/>
      <c r="S75" s="2"/>
      <c r="T75" s="2">
        <f>--84.9</f>
        <v>84.9</v>
      </c>
      <c r="U75" s="2"/>
      <c r="V75" s="21"/>
      <c r="W75" s="2"/>
      <c r="X75" s="2">
        <f t="shared" si="2"/>
        <v>54.859999999999985</v>
      </c>
      <c r="Y75" s="2"/>
      <c r="Z75" s="21">
        <f t="shared" si="3"/>
        <v>0.64617196702002333</v>
      </c>
    </row>
    <row r="76" spans="1:26" s="24" customFormat="1" hidden="1" outlineLevel="1" x14ac:dyDescent="0.25">
      <c r="A76" s="50"/>
      <c r="B76" s="11" t="str">
        <f>CONCATENATE("          ", "4145", " - ", "NON-TAXABLE SALES-SPECIAL ORDE")</f>
        <v xml:space="preserve">          4145 - NON-TAXABLE SALES-SPECIAL ORDE</v>
      </c>
      <c r="C76" s="11"/>
      <c r="D76" s="2">
        <f>--90</f>
        <v>90</v>
      </c>
      <c r="E76" s="2"/>
      <c r="F76" s="21"/>
      <c r="G76" s="2"/>
      <c r="H76" s="2">
        <f>--141.9</f>
        <v>141.9</v>
      </c>
      <c r="I76" s="2"/>
      <c r="J76" s="21"/>
      <c r="K76" s="2"/>
      <c r="L76" s="2">
        <f t="shared" si="0"/>
        <v>-51.900000000000006</v>
      </c>
      <c r="M76" s="2"/>
      <c r="N76" s="21">
        <f t="shared" si="1"/>
        <v>-0.36575052854122625</v>
      </c>
      <c r="O76" s="11"/>
      <c r="P76" s="2">
        <f>--90</f>
        <v>90</v>
      </c>
      <c r="Q76" s="2"/>
      <c r="R76" s="21"/>
      <c r="S76" s="2"/>
      <c r="T76" s="2">
        <f>--201.75</f>
        <v>201.75</v>
      </c>
      <c r="U76" s="2"/>
      <c r="V76" s="21"/>
      <c r="W76" s="2"/>
      <c r="X76" s="2">
        <f t="shared" si="2"/>
        <v>-111.75</v>
      </c>
      <c r="Y76" s="2"/>
      <c r="Z76" s="21">
        <f t="shared" si="3"/>
        <v>-0.55390334572490707</v>
      </c>
    </row>
    <row r="77" spans="1:26" s="24" customFormat="1" hidden="1" outlineLevel="1" x14ac:dyDescent="0.25">
      <c r="A77" s="50"/>
      <c r="B77" s="11" t="str">
        <f>CONCATENATE("          ", "4146", " - ", "NON-TAXABLE SALES-COIN OP MACH")</f>
        <v xml:space="preserve">          4146 - NON-TAXABLE SALES-COIN OP MACH</v>
      </c>
      <c r="C77" s="11"/>
      <c r="D77" s="2">
        <f>--13281.65</f>
        <v>13281.65</v>
      </c>
      <c r="E77" s="2"/>
      <c r="F77" s="21"/>
      <c r="G77" s="2"/>
      <c r="H77" s="2">
        <f>--12322.4</f>
        <v>12322.4</v>
      </c>
      <c r="I77" s="2"/>
      <c r="J77" s="21"/>
      <c r="K77" s="2"/>
      <c r="L77" s="2">
        <f t="shared" si="0"/>
        <v>959.25</v>
      </c>
      <c r="M77" s="2"/>
      <c r="N77" s="21">
        <f t="shared" si="1"/>
        <v>7.7846036486398762E-2</v>
      </c>
      <c r="O77" s="11"/>
      <c r="P77" s="2">
        <f>--15348.75</f>
        <v>15348.75</v>
      </c>
      <c r="Q77" s="2"/>
      <c r="R77" s="21"/>
      <c r="S77" s="2"/>
      <c r="T77" s="2">
        <f>--14703.05</f>
        <v>14703.05</v>
      </c>
      <c r="U77" s="2"/>
      <c r="V77" s="21"/>
      <c r="W77" s="2"/>
      <c r="X77" s="2">
        <f t="shared" si="2"/>
        <v>645.70000000000073</v>
      </c>
      <c r="Y77" s="2"/>
      <c r="Z77" s="21">
        <f t="shared" si="3"/>
        <v>4.3916058232815691E-2</v>
      </c>
    </row>
    <row r="78" spans="1:26" s="24" customFormat="1" hidden="1" outlineLevel="1" x14ac:dyDescent="0.25">
      <c r="A78" s="50"/>
      <c r="B78" s="11" t="str">
        <f>CONCATENATE("          ", "4147", " - ", "NON-TAXABLE SALES-MISC")</f>
        <v xml:space="preserve">          4147 - NON-TAXABLE SALES-MISC</v>
      </c>
      <c r="C78" s="11"/>
      <c r="D78" s="2">
        <f>--53.9</f>
        <v>53.9</v>
      </c>
      <c r="E78" s="2"/>
      <c r="F78" s="21"/>
      <c r="G78" s="2"/>
      <c r="H78" s="2">
        <f>--80</f>
        <v>80</v>
      </c>
      <c r="I78" s="2"/>
      <c r="J78" s="21"/>
      <c r="K78" s="2"/>
      <c r="L78" s="2">
        <f t="shared" si="0"/>
        <v>-26.1</v>
      </c>
      <c r="M78" s="2"/>
      <c r="N78" s="21">
        <f t="shared" si="1"/>
        <v>-0.32625000000000004</v>
      </c>
      <c r="O78" s="11"/>
      <c r="P78" s="2">
        <f>--70.4</f>
        <v>70.400000000000006</v>
      </c>
      <c r="Q78" s="2"/>
      <c r="R78" s="21"/>
      <c r="S78" s="2"/>
      <c r="T78" s="2">
        <f>--98</f>
        <v>98</v>
      </c>
      <c r="U78" s="2"/>
      <c r="V78" s="21"/>
      <c r="W78" s="2"/>
      <c r="X78" s="2">
        <f t="shared" si="2"/>
        <v>-27.599999999999994</v>
      </c>
      <c r="Y78" s="2"/>
      <c r="Z78" s="21">
        <f t="shared" si="3"/>
        <v>-0.28163265306122442</v>
      </c>
    </row>
    <row r="79" spans="1:26" s="24" customFormat="1" hidden="1" outlineLevel="1" x14ac:dyDescent="0.25">
      <c r="A79" s="50"/>
      <c r="B79" s="11" t="str">
        <f>CONCATENATE("          ", "4151", " - ", "NON-TAXABLE SALES-FOOD")</f>
        <v xml:space="preserve">          4151 - NON-TAXABLE SALES-FOOD</v>
      </c>
      <c r="C79" s="11"/>
      <c r="D79" s="2">
        <f>--524471.91</f>
        <v>524471.91</v>
      </c>
      <c r="E79" s="2"/>
      <c r="F79" s="21"/>
      <c r="G79" s="2"/>
      <c r="H79" s="2">
        <f>--506032.04</f>
        <v>506032.04</v>
      </c>
      <c r="I79" s="2"/>
      <c r="J79" s="21"/>
      <c r="K79" s="2"/>
      <c r="L79" s="2">
        <f t="shared" si="0"/>
        <v>18439.870000000054</v>
      </c>
      <c r="M79" s="2"/>
      <c r="N79" s="21">
        <f t="shared" si="1"/>
        <v>3.64401234356624E-2</v>
      </c>
      <c r="O79" s="11"/>
      <c r="P79" s="2">
        <f>--1059514.93</f>
        <v>1059514.93</v>
      </c>
      <c r="Q79" s="2"/>
      <c r="R79" s="21"/>
      <c r="S79" s="2"/>
      <c r="T79" s="2">
        <f>--1012464.3</f>
        <v>1012464.3</v>
      </c>
      <c r="U79" s="2"/>
      <c r="V79" s="21"/>
      <c r="W79" s="2"/>
      <c r="X79" s="2">
        <f t="shared" si="2"/>
        <v>47050.629999999888</v>
      </c>
      <c r="Y79" s="2"/>
      <c r="Z79" s="21">
        <f t="shared" si="3"/>
        <v>4.6471396571711107E-2</v>
      </c>
    </row>
    <row r="80" spans="1:26" s="24" customFormat="1" hidden="1" outlineLevel="1" x14ac:dyDescent="0.25">
      <c r="A80" s="50"/>
      <c r="B80" s="11" t="str">
        <f>CONCATENATE("          ", "4152", " - ", "NON-TAXABLE SALES-FOOD")</f>
        <v xml:space="preserve">          4152 - NON-TAXABLE SALES-FOOD</v>
      </c>
      <c r="C80" s="11"/>
      <c r="D80" s="2">
        <f>--3990.43</f>
        <v>3990.43</v>
      </c>
      <c r="E80" s="2"/>
      <c r="F80" s="21"/>
      <c r="G80" s="2"/>
      <c r="H80" s="2">
        <f>--3838.79</f>
        <v>3838.79</v>
      </c>
      <c r="I80" s="2"/>
      <c r="J80" s="21"/>
      <c r="K80" s="2"/>
      <c r="L80" s="2">
        <f t="shared" si="0"/>
        <v>151.63999999999987</v>
      </c>
      <c r="M80" s="2"/>
      <c r="N80" s="21">
        <f t="shared" si="1"/>
        <v>3.9502030587763297E-2</v>
      </c>
      <c r="O80" s="11"/>
      <c r="P80" s="2">
        <f>--7657.52</f>
        <v>7657.52</v>
      </c>
      <c r="Q80" s="2"/>
      <c r="R80" s="21"/>
      <c r="S80" s="2"/>
      <c r="T80" s="2">
        <f>--7672.53</f>
        <v>7672.53</v>
      </c>
      <c r="U80" s="2"/>
      <c r="V80" s="21"/>
      <c r="W80" s="2"/>
      <c r="X80" s="2">
        <f t="shared" si="2"/>
        <v>-15.009999999999309</v>
      </c>
      <c r="Y80" s="2"/>
      <c r="Z80" s="21">
        <f t="shared" si="3"/>
        <v>-1.956329919856854E-3</v>
      </c>
    </row>
    <row r="81" spans="1:26" s="24" customFormat="1" hidden="1" outlineLevel="1" x14ac:dyDescent="0.25">
      <c r="A81" s="50"/>
      <c r="B81" s="11" t="str">
        <f>CONCATENATE("          ", "4153", " - ", "NON-TAXABLE SALES-FOOD")</f>
        <v xml:space="preserve">          4153 - NON-TAXABLE SALES-FOOD</v>
      </c>
      <c r="C81" s="11"/>
      <c r="D81" s="2">
        <f>--100967.71</f>
        <v>100967.71</v>
      </c>
      <c r="E81" s="2"/>
      <c r="F81" s="21"/>
      <c r="G81" s="2"/>
      <c r="H81" s="2">
        <f>--64550.49</f>
        <v>64550.49</v>
      </c>
      <c r="I81" s="2"/>
      <c r="J81" s="21"/>
      <c r="K81" s="2"/>
      <c r="L81" s="2">
        <f t="shared" si="0"/>
        <v>36417.220000000008</v>
      </c>
      <c r="M81" s="2"/>
      <c r="N81" s="21">
        <f t="shared" si="1"/>
        <v>0.56416643777607278</v>
      </c>
      <c r="O81" s="11"/>
      <c r="P81" s="2">
        <f>--120216.42</f>
        <v>120216.42</v>
      </c>
      <c r="Q81" s="2"/>
      <c r="R81" s="21"/>
      <c r="S81" s="2"/>
      <c r="T81" s="2">
        <f>--92137.48</f>
        <v>92137.48</v>
      </c>
      <c r="U81" s="2"/>
      <c r="V81" s="21"/>
      <c r="W81" s="2"/>
      <c r="X81" s="2">
        <f t="shared" si="2"/>
        <v>28078.940000000002</v>
      </c>
      <c r="Y81" s="2"/>
      <c r="Z81" s="21">
        <f t="shared" si="3"/>
        <v>0.304750466368301</v>
      </c>
    </row>
    <row r="82" spans="1:26" s="24" customFormat="1" hidden="1" outlineLevel="1" x14ac:dyDescent="0.25">
      <c r="A82" s="50"/>
      <c r="B82" s="11" t="str">
        <f>CONCATENATE("          ", "4155", " - ", "NON-TAXABLE SALES-FOOD")</f>
        <v xml:space="preserve">          4155 - NON-TAXABLE SALES-FOOD</v>
      </c>
      <c r="C82" s="11"/>
      <c r="D82" s="2">
        <f>--45359.38</f>
        <v>45359.38</v>
      </c>
      <c r="E82" s="2"/>
      <c r="F82" s="21"/>
      <c r="G82" s="2"/>
      <c r="H82" s="2">
        <f>--45492.47</f>
        <v>45492.47</v>
      </c>
      <c r="I82" s="2"/>
      <c r="J82" s="21"/>
      <c r="K82" s="2"/>
      <c r="L82" s="2">
        <f t="shared" si="0"/>
        <v>-133.09000000000378</v>
      </c>
      <c r="M82" s="2"/>
      <c r="N82" s="21">
        <f t="shared" si="1"/>
        <v>-2.9255391057026311E-3</v>
      </c>
      <c r="O82" s="11"/>
      <c r="P82" s="2">
        <f>--70996.04</f>
        <v>70996.039999999994</v>
      </c>
      <c r="Q82" s="2"/>
      <c r="R82" s="21"/>
      <c r="S82" s="2"/>
      <c r="T82" s="2">
        <f>--67759.98</f>
        <v>67759.98</v>
      </c>
      <c r="U82" s="2"/>
      <c r="V82" s="21"/>
      <c r="W82" s="2"/>
      <c r="X82" s="2">
        <f t="shared" si="2"/>
        <v>3236.0599999999977</v>
      </c>
      <c r="Y82" s="2"/>
      <c r="Z82" s="21">
        <f t="shared" si="3"/>
        <v>4.7757688240167691E-2</v>
      </c>
    </row>
    <row r="83" spans="1:26" s="24" customFormat="1" hidden="1" outlineLevel="1" x14ac:dyDescent="0.25">
      <c r="A83" s="50"/>
      <c r="B83" s="11" t="str">
        <f>CONCATENATE("          ", "4158", " - ", "NON-TAXABLE SALES-FOOD")</f>
        <v xml:space="preserve">          4158 - NON-TAXABLE SALES-FOOD</v>
      </c>
      <c r="C83" s="11"/>
      <c r="D83" s="2">
        <f>--30810.22</f>
        <v>30810.22</v>
      </c>
      <c r="E83" s="2"/>
      <c r="F83" s="21"/>
      <c r="G83" s="2"/>
      <c r="H83" s="2">
        <f>--32062.58</f>
        <v>32062.58</v>
      </c>
      <c r="I83" s="2"/>
      <c r="J83" s="21"/>
      <c r="K83" s="2"/>
      <c r="L83" s="2">
        <f t="shared" si="0"/>
        <v>-1252.3600000000006</v>
      </c>
      <c r="M83" s="2"/>
      <c r="N83" s="21">
        <f t="shared" si="1"/>
        <v>-3.905986355433657E-2</v>
      </c>
      <c r="O83" s="11"/>
      <c r="P83" s="2">
        <f>--40369.91</f>
        <v>40369.910000000003</v>
      </c>
      <c r="Q83" s="2"/>
      <c r="R83" s="21"/>
      <c r="S83" s="2"/>
      <c r="T83" s="2">
        <f>--54475.37</f>
        <v>54475.37</v>
      </c>
      <c r="U83" s="2"/>
      <c r="V83" s="21"/>
      <c r="W83" s="2"/>
      <c r="X83" s="2">
        <f t="shared" si="2"/>
        <v>-14105.46</v>
      </c>
      <c r="Y83" s="2"/>
      <c r="Z83" s="21">
        <f t="shared" si="3"/>
        <v>-0.25893279843716527</v>
      </c>
    </row>
    <row r="84" spans="1:26" s="24" customFormat="1" hidden="1" outlineLevel="1" x14ac:dyDescent="0.25">
      <c r="A84" s="50"/>
      <c r="B84" s="11" t="str">
        <f>CONCATENATE("          ", "4159", " - ", "NON-TAXABLE SALES-FOOD")</f>
        <v xml:space="preserve">          4159 - NON-TAXABLE SALES-FOOD</v>
      </c>
      <c r="C84" s="11"/>
      <c r="D84" s="2">
        <f>0</f>
        <v>0</v>
      </c>
      <c r="E84" s="2"/>
      <c r="F84" s="21"/>
      <c r="G84" s="2"/>
      <c r="H84" s="2">
        <f>--1054.9</f>
        <v>1054.9000000000001</v>
      </c>
      <c r="I84" s="2"/>
      <c r="J84" s="21"/>
      <c r="K84" s="2"/>
      <c r="L84" s="2">
        <f t="shared" si="0"/>
        <v>-1054.9000000000001</v>
      </c>
      <c r="M84" s="2"/>
      <c r="N84" s="21">
        <f t="shared" si="1"/>
        <v>-1</v>
      </c>
      <c r="O84" s="11"/>
      <c r="P84" s="2">
        <f>0</f>
        <v>0</v>
      </c>
      <c r="Q84" s="2"/>
      <c r="R84" s="21"/>
      <c r="S84" s="2"/>
      <c r="T84" s="2">
        <f>--1054.9</f>
        <v>1054.9000000000001</v>
      </c>
      <c r="U84" s="2"/>
      <c r="V84" s="21"/>
      <c r="W84" s="2"/>
      <c r="X84" s="2">
        <f t="shared" si="2"/>
        <v>-1054.9000000000001</v>
      </c>
      <c r="Y84" s="2"/>
      <c r="Z84" s="21">
        <f t="shared" si="3"/>
        <v>-1</v>
      </c>
    </row>
    <row r="85" spans="1:26" s="24" customFormat="1" hidden="1" outlineLevel="1" x14ac:dyDescent="0.25">
      <c r="A85" s="50"/>
      <c r="B85" s="11" t="str">
        <f>CONCATENATE("          ", "4181", " - ", "NON-TAXABLE SALES-ELECTRONICS")</f>
        <v xml:space="preserve">          4181 - NON-TAXABLE SALES-ELECTRONICS</v>
      </c>
      <c r="C85" s="11"/>
      <c r="D85" s="2">
        <f>--87.95</f>
        <v>87.95</v>
      </c>
      <c r="E85" s="2"/>
      <c r="F85" s="21"/>
      <c r="G85" s="2"/>
      <c r="H85" s="2">
        <f>--147.95</f>
        <v>147.94999999999999</v>
      </c>
      <c r="I85" s="2"/>
      <c r="J85" s="21"/>
      <c r="K85" s="2"/>
      <c r="L85" s="2">
        <f t="shared" si="0"/>
        <v>-59.999999999999986</v>
      </c>
      <c r="M85" s="2"/>
      <c r="N85" s="21">
        <f t="shared" si="1"/>
        <v>-0.40554241297735716</v>
      </c>
      <c r="O85" s="11"/>
      <c r="P85" s="2">
        <f>--1390.56</f>
        <v>1390.56</v>
      </c>
      <c r="Q85" s="2"/>
      <c r="R85" s="21"/>
      <c r="S85" s="2"/>
      <c r="T85" s="2">
        <f>--341.97</f>
        <v>341.97</v>
      </c>
      <c r="U85" s="2"/>
      <c r="V85" s="21"/>
      <c r="W85" s="2"/>
      <c r="X85" s="2">
        <f t="shared" si="2"/>
        <v>1048.5899999999999</v>
      </c>
      <c r="Y85" s="2"/>
      <c r="Z85" s="21">
        <f t="shared" si="3"/>
        <v>3.066321607158522</v>
      </c>
    </row>
    <row r="86" spans="1:26" s="24" customFormat="1" hidden="1" outlineLevel="1" x14ac:dyDescent="0.25">
      <c r="A86" s="50"/>
      <c r="B86" s="11" t="str">
        <f>CONCATENATE("          ", "4182", " - ", "NON-TAXABLE SALES-COMPUTER HAR")</f>
        <v xml:space="preserve">          4182 - NON-TAXABLE SALES-COMPUTER HAR</v>
      </c>
      <c r="C86" s="11"/>
      <c r="D86" s="2">
        <f>--19953</f>
        <v>19953</v>
      </c>
      <c r="E86" s="2"/>
      <c r="F86" s="21"/>
      <c r="G86" s="2"/>
      <c r="H86" s="2">
        <f>--12039</f>
        <v>12039</v>
      </c>
      <c r="I86" s="2"/>
      <c r="J86" s="21"/>
      <c r="K86" s="2"/>
      <c r="L86" s="2">
        <f t="shared" si="0"/>
        <v>7914</v>
      </c>
      <c r="M86" s="2"/>
      <c r="N86" s="21">
        <f t="shared" si="1"/>
        <v>0.65736356840269128</v>
      </c>
      <c r="O86" s="11"/>
      <c r="P86" s="2">
        <f>--30571</f>
        <v>30571</v>
      </c>
      <c r="Q86" s="2"/>
      <c r="R86" s="21"/>
      <c r="S86" s="2"/>
      <c r="T86" s="2">
        <f>--43165.98</f>
        <v>43165.98</v>
      </c>
      <c r="U86" s="2"/>
      <c r="V86" s="21"/>
      <c r="W86" s="2"/>
      <c r="X86" s="2">
        <f t="shared" si="2"/>
        <v>-12594.980000000003</v>
      </c>
      <c r="Y86" s="2"/>
      <c r="Z86" s="21">
        <f t="shared" si="3"/>
        <v>-0.29178023990188573</v>
      </c>
    </row>
    <row r="87" spans="1:26" s="24" customFormat="1" hidden="1" outlineLevel="1" x14ac:dyDescent="0.25">
      <c r="A87" s="50"/>
      <c r="B87" s="11" t="str">
        <f>CONCATENATE("          ", "4183", " - ", "NON-TAXABLE SALES-COMPUTER EQU")</f>
        <v xml:space="preserve">          4183 - NON-TAXABLE SALES-COMPUTER EQU</v>
      </c>
      <c r="C87" s="11"/>
      <c r="D87" s="2">
        <f>--974.39</f>
        <v>974.39</v>
      </c>
      <c r="E87" s="2"/>
      <c r="F87" s="21"/>
      <c r="G87" s="2"/>
      <c r="H87" s="2">
        <f>--492.77</f>
        <v>492.77</v>
      </c>
      <c r="I87" s="2"/>
      <c r="J87" s="21"/>
      <c r="K87" s="2"/>
      <c r="L87" s="2">
        <f t="shared" si="0"/>
        <v>481.62</v>
      </c>
      <c r="M87" s="2"/>
      <c r="N87" s="21">
        <f t="shared" si="1"/>
        <v>0.97737281084481609</v>
      </c>
      <c r="O87" s="11"/>
      <c r="P87" s="2">
        <f>--1156.29</f>
        <v>1156.29</v>
      </c>
      <c r="Q87" s="2"/>
      <c r="R87" s="21"/>
      <c r="S87" s="2"/>
      <c r="T87" s="2">
        <f>--681.72</f>
        <v>681.72</v>
      </c>
      <c r="U87" s="2"/>
      <c r="V87" s="21"/>
      <c r="W87" s="2"/>
      <c r="X87" s="2">
        <f t="shared" si="2"/>
        <v>474.56999999999994</v>
      </c>
      <c r="Y87" s="2"/>
      <c r="Z87" s="21">
        <f t="shared" si="3"/>
        <v>0.696136243619081</v>
      </c>
    </row>
    <row r="88" spans="1:26" s="24" customFormat="1" hidden="1" outlineLevel="1" x14ac:dyDescent="0.25">
      <c r="A88" s="50"/>
      <c r="B88" s="11" t="str">
        <f>CONCATENATE("          ", "4184", " - ", "NON-TAXABLE SALES-SOFTWARE LIC")</f>
        <v xml:space="preserve">          4184 - NON-TAXABLE SALES-SOFTWARE LIC</v>
      </c>
      <c r="C88" s="11"/>
      <c r="D88" s="2">
        <f>--1522</f>
        <v>1522</v>
      </c>
      <c r="E88" s="2"/>
      <c r="F88" s="21"/>
      <c r="G88" s="2"/>
      <c r="H88" s="2">
        <f>--99</f>
        <v>99</v>
      </c>
      <c r="I88" s="2"/>
      <c r="J88" s="21"/>
      <c r="K88" s="2"/>
      <c r="L88" s="2">
        <f t="shared" si="0"/>
        <v>1423</v>
      </c>
      <c r="M88" s="2"/>
      <c r="N88" s="21">
        <f t="shared" si="1"/>
        <v>14.373737373737374</v>
      </c>
      <c r="O88" s="11"/>
      <c r="P88" s="2">
        <f>--1522</f>
        <v>1522</v>
      </c>
      <c r="Q88" s="2"/>
      <c r="R88" s="21"/>
      <c r="S88" s="2"/>
      <c r="T88" s="2">
        <f>--99</f>
        <v>99</v>
      </c>
      <c r="U88" s="2"/>
      <c r="V88" s="21"/>
      <c r="W88" s="2"/>
      <c r="X88" s="2">
        <f t="shared" si="2"/>
        <v>1423</v>
      </c>
      <c r="Y88" s="2"/>
      <c r="Z88" s="21">
        <f t="shared" si="3"/>
        <v>14.373737373737374</v>
      </c>
    </row>
    <row r="89" spans="1:26" s="24" customFormat="1" hidden="1" outlineLevel="1" x14ac:dyDescent="0.25">
      <c r="A89" s="50"/>
      <c r="B89" s="11" t="str">
        <f>CONCATENATE("          ", "4185", " - ", "NON-TAXABLE SALES-SOFTWARE")</f>
        <v xml:space="preserve">          4185 - NON-TAXABLE SALES-SOFTWARE</v>
      </c>
      <c r="C89" s="11"/>
      <c r="D89" s="2">
        <f>--3770</f>
        <v>3770</v>
      </c>
      <c r="E89" s="2"/>
      <c r="F89" s="21"/>
      <c r="G89" s="2"/>
      <c r="H89" s="2">
        <f>--1152.94</f>
        <v>1152.94</v>
      </c>
      <c r="I89" s="2"/>
      <c r="J89" s="21"/>
      <c r="K89" s="2"/>
      <c r="L89" s="2">
        <f t="shared" si="0"/>
        <v>2617.06</v>
      </c>
      <c r="M89" s="2"/>
      <c r="N89" s="21">
        <f t="shared" si="1"/>
        <v>2.2699012958176485</v>
      </c>
      <c r="O89" s="11"/>
      <c r="P89" s="2">
        <f>--4522</f>
        <v>4522</v>
      </c>
      <c r="Q89" s="2"/>
      <c r="R89" s="21"/>
      <c r="S89" s="2"/>
      <c r="T89" s="2">
        <f>--1921.92</f>
        <v>1921.92</v>
      </c>
      <c r="U89" s="2"/>
      <c r="V89" s="21"/>
      <c r="W89" s="2"/>
      <c r="X89" s="2">
        <f t="shared" si="2"/>
        <v>2600.08</v>
      </c>
      <c r="Y89" s="2"/>
      <c r="Z89" s="21">
        <f t="shared" si="3"/>
        <v>1.3528554778554778</v>
      </c>
    </row>
    <row r="90" spans="1:26" s="24" customFormat="1" hidden="1" outlineLevel="1" x14ac:dyDescent="0.25">
      <c r="A90" s="50"/>
      <c r="B90" s="11" t="str">
        <f>CONCATENATE("          ", "4186", " - ", "NON-TAXABLE SALES-COMPUTER SUP")</f>
        <v xml:space="preserve">          4186 - NON-TAXABLE SALES-COMPUTER SUP</v>
      </c>
      <c r="C90" s="11"/>
      <c r="D90" s="2">
        <f>--194.93</f>
        <v>194.93</v>
      </c>
      <c r="E90" s="2"/>
      <c r="F90" s="21"/>
      <c r="G90" s="2"/>
      <c r="H90" s="2">
        <f>--485.2</f>
        <v>485.2</v>
      </c>
      <c r="I90" s="2"/>
      <c r="J90" s="21"/>
      <c r="K90" s="2"/>
      <c r="L90" s="2">
        <f t="shared" si="0"/>
        <v>-290.27</v>
      </c>
      <c r="M90" s="2"/>
      <c r="N90" s="21">
        <f t="shared" si="1"/>
        <v>-0.59824814509480628</v>
      </c>
      <c r="O90" s="11"/>
      <c r="P90" s="2">
        <f>--274.9</f>
        <v>274.89999999999998</v>
      </c>
      <c r="Q90" s="2"/>
      <c r="R90" s="21"/>
      <c r="S90" s="2"/>
      <c r="T90" s="2">
        <f>--1309.44</f>
        <v>1309.44</v>
      </c>
      <c r="U90" s="2"/>
      <c r="V90" s="21"/>
      <c r="W90" s="2"/>
      <c r="X90" s="2">
        <f t="shared" si="2"/>
        <v>-1034.54</v>
      </c>
      <c r="Y90" s="2"/>
      <c r="Z90" s="21">
        <f t="shared" si="3"/>
        <v>-0.79006292766373409</v>
      </c>
    </row>
    <row r="91" spans="1:26" s="24" customFormat="1" hidden="1" outlineLevel="1" x14ac:dyDescent="0.25">
      <c r="A91" s="50"/>
      <c r="B91" s="11" t="str">
        <f>CONCATENATE("          ", "4188", " - ", "NON-TAXABLE SALES-MUSIC")</f>
        <v xml:space="preserve">          4188 - NON-TAXABLE SALES-MUSIC</v>
      </c>
      <c r="C91" s="11"/>
      <c r="D91" s="2">
        <f>0</f>
        <v>0</v>
      </c>
      <c r="E91" s="2"/>
      <c r="F91" s="21"/>
      <c r="G91" s="2"/>
      <c r="H91" s="2">
        <f>0</f>
        <v>0</v>
      </c>
      <c r="I91" s="2"/>
      <c r="J91" s="21"/>
      <c r="K91" s="2"/>
      <c r="L91" s="2">
        <f t="shared" si="0"/>
        <v>0</v>
      </c>
      <c r="M91" s="2"/>
      <c r="N91" s="21">
        <f t="shared" si="1"/>
        <v>0</v>
      </c>
      <c r="O91" s="11"/>
      <c r="P91" s="2">
        <f>--99.98</f>
        <v>99.98</v>
      </c>
      <c r="Q91" s="2"/>
      <c r="R91" s="21"/>
      <c r="S91" s="2"/>
      <c r="T91" s="2">
        <f>--199.98</f>
        <v>199.98</v>
      </c>
      <c r="U91" s="2"/>
      <c r="V91" s="21"/>
      <c r="W91" s="2"/>
      <c r="X91" s="2">
        <f t="shared" si="2"/>
        <v>-99.999999999999986</v>
      </c>
      <c r="Y91" s="2"/>
      <c r="Z91" s="21">
        <f t="shared" si="3"/>
        <v>-0.50005000500050001</v>
      </c>
    </row>
    <row r="92" spans="1:26" s="24" customFormat="1" hidden="1" outlineLevel="1" x14ac:dyDescent="0.25">
      <c r="A92" s="50"/>
      <c r="B92" s="11" t="str">
        <f>CONCATENATE("          ", "4201", " - ", "SALES RETURN TAXABLE-NEW TEXT")</f>
        <v xml:space="preserve">          4201 - SALES RETURN TAXABLE-NEW TEXT</v>
      </c>
      <c r="C92" s="11"/>
      <c r="D92" s="2">
        <f>-58563.26</f>
        <v>-58563.26</v>
      </c>
      <c r="E92" s="2"/>
      <c r="F92" s="21"/>
      <c r="G92" s="2"/>
      <c r="H92" s="2">
        <f>-73018.44</f>
        <v>-73018.44</v>
      </c>
      <c r="I92" s="2"/>
      <c r="J92" s="21"/>
      <c r="K92" s="2"/>
      <c r="L92" s="2">
        <f t="shared" si="0"/>
        <v>14455.18</v>
      </c>
      <c r="M92" s="2"/>
      <c r="N92" s="21">
        <f t="shared" si="1"/>
        <v>-0.19796615758978142</v>
      </c>
      <c r="O92" s="11"/>
      <c r="P92" s="2">
        <f>-59170.41</f>
        <v>-59170.41</v>
      </c>
      <c r="Q92" s="2"/>
      <c r="R92" s="21"/>
      <c r="S92" s="2"/>
      <c r="T92" s="2">
        <f>-74525.94</f>
        <v>-74525.94</v>
      </c>
      <c r="U92" s="2"/>
      <c r="V92" s="21"/>
      <c r="W92" s="2"/>
      <c r="X92" s="2">
        <f t="shared" si="2"/>
        <v>15355.529999999999</v>
      </c>
      <c r="Y92" s="2"/>
      <c r="Z92" s="21">
        <f t="shared" si="3"/>
        <v>-0.20604275504609534</v>
      </c>
    </row>
    <row r="93" spans="1:26" s="24" customFormat="1" hidden="1" outlineLevel="1" x14ac:dyDescent="0.25">
      <c r="A93" s="50"/>
      <c r="B93" s="11" t="str">
        <f>CONCATENATE("          ", "4202", " - ", "SALES RETURN TAXABLE-USED TEXT")</f>
        <v xml:space="preserve">          4202 - SALES RETURN TAXABLE-USED TEXT</v>
      </c>
      <c r="C93" s="11"/>
      <c r="D93" s="2">
        <f>-20533</f>
        <v>-20533</v>
      </c>
      <c r="E93" s="2"/>
      <c r="F93" s="21"/>
      <c r="G93" s="2"/>
      <c r="H93" s="2">
        <f>-22848</f>
        <v>-22848</v>
      </c>
      <c r="I93" s="2"/>
      <c r="J93" s="21"/>
      <c r="K93" s="2"/>
      <c r="L93" s="2">
        <f t="shared" si="0"/>
        <v>2315</v>
      </c>
      <c r="M93" s="2"/>
      <c r="N93" s="21">
        <f t="shared" si="1"/>
        <v>-0.10132177871148459</v>
      </c>
      <c r="O93" s="11"/>
      <c r="P93" s="2">
        <f>-21254.45</f>
        <v>-21254.45</v>
      </c>
      <c r="Q93" s="2"/>
      <c r="R93" s="21"/>
      <c r="S93" s="2"/>
      <c r="T93" s="2">
        <f>-23427.25</f>
        <v>-23427.25</v>
      </c>
      <c r="U93" s="2"/>
      <c r="V93" s="21"/>
      <c r="W93" s="2"/>
      <c r="X93" s="2">
        <f t="shared" si="2"/>
        <v>2172.7999999999993</v>
      </c>
      <c r="Y93" s="2"/>
      <c r="Z93" s="21">
        <f t="shared" si="3"/>
        <v>-9.2746694554418432E-2</v>
      </c>
    </row>
    <row r="94" spans="1:26" s="24" customFormat="1" hidden="1" outlineLevel="1" x14ac:dyDescent="0.25">
      <c r="A94" s="50"/>
      <c r="B94" s="11" t="str">
        <f>CONCATENATE("          ", "4204", " - ", "SALES RETURN TAXABLE-DIGITAL T")</f>
        <v xml:space="preserve">          4204 - SALES RETURN TAXABLE-DIGITAL T</v>
      </c>
      <c r="C94" s="11"/>
      <c r="D94" s="2">
        <f>-6848.37</f>
        <v>-6848.37</v>
      </c>
      <c r="E94" s="2"/>
      <c r="F94" s="21"/>
      <c r="G94" s="2"/>
      <c r="H94" s="2">
        <f>-12818.73</f>
        <v>-12818.73</v>
      </c>
      <c r="I94" s="2"/>
      <c r="J94" s="21"/>
      <c r="K94" s="2"/>
      <c r="L94" s="2">
        <f t="shared" si="0"/>
        <v>5970.36</v>
      </c>
      <c r="M94" s="2"/>
      <c r="N94" s="21">
        <f t="shared" si="1"/>
        <v>-0.46575284759098601</v>
      </c>
      <c r="O94" s="11"/>
      <c r="P94" s="2">
        <f>-6848.37</f>
        <v>-6848.37</v>
      </c>
      <c r="Q94" s="2"/>
      <c r="R94" s="21"/>
      <c r="S94" s="2"/>
      <c r="T94" s="2">
        <f>-12903.73</f>
        <v>-12903.73</v>
      </c>
      <c r="U94" s="2"/>
      <c r="V94" s="21"/>
      <c r="W94" s="2"/>
      <c r="X94" s="2">
        <f t="shared" si="2"/>
        <v>6055.36</v>
      </c>
      <c r="Y94" s="2"/>
      <c r="Z94" s="21">
        <f t="shared" si="3"/>
        <v>-0.46927206319413067</v>
      </c>
    </row>
    <row r="95" spans="1:26" s="24" customFormat="1" hidden="1" outlineLevel="1" x14ac:dyDescent="0.25">
      <c r="A95" s="50"/>
      <c r="B95" s="11" t="str">
        <f>CONCATENATE("          ", "4213", " - ", "NON-TAXABLE SALES-TRADE BOOKS")</f>
        <v xml:space="preserve">          4213 - NON-TAXABLE SALES-TRADE BOOKS</v>
      </c>
      <c r="C95" s="11"/>
      <c r="D95" s="2">
        <f t="shared" ref="D95:D96" si="5">0</f>
        <v>0</v>
      </c>
      <c r="E95" s="2"/>
      <c r="F95" s="21"/>
      <c r="G95" s="2"/>
      <c r="H95" s="2">
        <f>-15</f>
        <v>-15</v>
      </c>
      <c r="I95" s="2"/>
      <c r="J95" s="21"/>
      <c r="K95" s="2"/>
      <c r="L95" s="2">
        <f t="shared" si="0"/>
        <v>15</v>
      </c>
      <c r="M95" s="2"/>
      <c r="N95" s="21">
        <f t="shared" si="1"/>
        <v>-1</v>
      </c>
      <c r="O95" s="11"/>
      <c r="P95" s="2">
        <f t="shared" ref="P95:P96" si="6">0</f>
        <v>0</v>
      </c>
      <c r="Q95" s="2"/>
      <c r="R95" s="21"/>
      <c r="S95" s="2"/>
      <c r="T95" s="2">
        <f>-15</f>
        <v>-15</v>
      </c>
      <c r="U95" s="2"/>
      <c r="V95" s="21"/>
      <c r="W95" s="2"/>
      <c r="X95" s="2">
        <f t="shared" si="2"/>
        <v>15</v>
      </c>
      <c r="Y95" s="2"/>
      <c r="Z95" s="21">
        <f t="shared" si="3"/>
        <v>-1</v>
      </c>
    </row>
    <row r="96" spans="1:26" s="24" customFormat="1" hidden="1" outlineLevel="1" x14ac:dyDescent="0.25">
      <c r="A96" s="50"/>
      <c r="B96" s="11" t="str">
        <f>CONCATENATE("          ", "4217", " - ", "NON-TAXABLE SALES-DORM/HOUSEWA")</f>
        <v xml:space="preserve">          4217 - NON-TAXABLE SALES-DORM/HOUSEWA</v>
      </c>
      <c r="C96" s="11"/>
      <c r="D96" s="2">
        <f t="shared" si="5"/>
        <v>0</v>
      </c>
      <c r="E96" s="2"/>
      <c r="F96" s="21"/>
      <c r="G96" s="2"/>
      <c r="H96" s="2">
        <f>-1.5</f>
        <v>-1.5</v>
      </c>
      <c r="I96" s="2"/>
      <c r="J96" s="21"/>
      <c r="K96" s="2"/>
      <c r="L96" s="2">
        <f t="shared" si="0"/>
        <v>1.5</v>
      </c>
      <c r="M96" s="2"/>
      <c r="N96" s="21">
        <f t="shared" si="1"/>
        <v>-1</v>
      </c>
      <c r="O96" s="11"/>
      <c r="P96" s="2">
        <f t="shared" si="6"/>
        <v>0</v>
      </c>
      <c r="Q96" s="2"/>
      <c r="R96" s="21"/>
      <c r="S96" s="2"/>
      <c r="T96" s="2">
        <f>-1.5</f>
        <v>-1.5</v>
      </c>
      <c r="U96" s="2"/>
      <c r="V96" s="21"/>
      <c r="W96" s="2"/>
      <c r="X96" s="2">
        <f t="shared" si="2"/>
        <v>1.5</v>
      </c>
      <c r="Y96" s="2"/>
      <c r="Z96" s="21">
        <f t="shared" si="3"/>
        <v>-1</v>
      </c>
    </row>
    <row r="97" spans="1:26" s="24" customFormat="1" hidden="1" outlineLevel="1" x14ac:dyDescent="0.25">
      <c r="A97" s="50"/>
      <c r="B97" s="11" t="str">
        <f>CONCATENATE("          ", "4218", " - ", "SALES RETURN TAXABLE-STUDY GUI")</f>
        <v xml:space="preserve">          4218 - SALES RETURN TAXABLE-STUDY GUI</v>
      </c>
      <c r="C97" s="11"/>
      <c r="D97" s="2">
        <f>-26.8</f>
        <v>-26.8</v>
      </c>
      <c r="E97" s="2"/>
      <c r="F97" s="21"/>
      <c r="G97" s="2"/>
      <c r="H97" s="2">
        <f>0</f>
        <v>0</v>
      </c>
      <c r="I97" s="2"/>
      <c r="J97" s="21"/>
      <c r="K97" s="2"/>
      <c r="L97" s="2">
        <f t="shared" si="0"/>
        <v>-26.8</v>
      </c>
      <c r="M97" s="2"/>
      <c r="N97" s="21">
        <f t="shared" si="1"/>
        <v>0</v>
      </c>
      <c r="O97" s="11"/>
      <c r="P97" s="2">
        <f>-26.8</f>
        <v>-26.8</v>
      </c>
      <c r="Q97" s="2"/>
      <c r="R97" s="21"/>
      <c r="S97" s="2"/>
      <c r="T97" s="2">
        <f>-15.95</f>
        <v>-15.95</v>
      </c>
      <c r="U97" s="2"/>
      <c r="V97" s="21"/>
      <c r="W97" s="2"/>
      <c r="X97" s="2">
        <f t="shared" si="2"/>
        <v>-10.850000000000001</v>
      </c>
      <c r="Y97" s="2"/>
      <c r="Z97" s="21">
        <f t="shared" si="3"/>
        <v>0.68025078369905967</v>
      </c>
    </row>
    <row r="98" spans="1:26" s="24" customFormat="1" hidden="1" outlineLevel="1" x14ac:dyDescent="0.25">
      <c r="A98" s="50"/>
      <c r="B98" s="11" t="str">
        <f>CONCATENATE("          ", "4225", " - ", "SALES RETURN TAXABLE-TEST FORM")</f>
        <v xml:space="preserve">          4225 - SALES RETURN TAXABLE-TEST FORM</v>
      </c>
      <c r="C98" s="11"/>
      <c r="D98" s="2">
        <f>-8.61</f>
        <v>-8.61</v>
      </c>
      <c r="E98" s="2"/>
      <c r="F98" s="21"/>
      <c r="G98" s="2"/>
      <c r="H98" s="2">
        <f>-7.02</f>
        <v>-7.02</v>
      </c>
      <c r="I98" s="2"/>
      <c r="J98" s="21"/>
      <c r="K98" s="2"/>
      <c r="L98" s="2">
        <f t="shared" si="0"/>
        <v>-1.5899999999999999</v>
      </c>
      <c r="M98" s="2"/>
      <c r="N98" s="21">
        <f t="shared" si="1"/>
        <v>0.2264957264957265</v>
      </c>
      <c r="O98" s="11"/>
      <c r="P98" s="2">
        <f>-12.69</f>
        <v>-12.69</v>
      </c>
      <c r="Q98" s="2"/>
      <c r="R98" s="21"/>
      <c r="S98" s="2"/>
      <c r="T98" s="2">
        <f>-13.8</f>
        <v>-13.8</v>
      </c>
      <c r="U98" s="2"/>
      <c r="V98" s="21"/>
      <c r="W98" s="2"/>
      <c r="X98" s="2">
        <f t="shared" si="2"/>
        <v>1.1100000000000012</v>
      </c>
      <c r="Y98" s="2"/>
      <c r="Z98" s="21">
        <f t="shared" si="3"/>
        <v>-8.0434782608695729E-2</v>
      </c>
    </row>
    <row r="99" spans="1:26" s="24" customFormat="1" hidden="1" outlineLevel="1" x14ac:dyDescent="0.25">
      <c r="A99" s="50"/>
      <c r="B99" s="11" t="str">
        <f>CONCATENATE("          ", "4226", " - ", "SALES RETURN TAXABLE-WRITING I")</f>
        <v xml:space="preserve">          4226 - SALES RETURN TAXABLE-WRITING I</v>
      </c>
      <c r="C99" s="11"/>
      <c r="D99" s="2">
        <f>-60.28</f>
        <v>-60.28</v>
      </c>
      <c r="E99" s="2"/>
      <c r="F99" s="21"/>
      <c r="G99" s="2"/>
      <c r="H99" s="2">
        <f>-58.07</f>
        <v>-58.07</v>
      </c>
      <c r="I99" s="2"/>
      <c r="J99" s="21"/>
      <c r="K99" s="2"/>
      <c r="L99" s="2">
        <f t="shared" si="0"/>
        <v>-2.2100000000000009</v>
      </c>
      <c r="M99" s="2"/>
      <c r="N99" s="21">
        <f t="shared" si="1"/>
        <v>3.8057516790080952E-2</v>
      </c>
      <c r="O99" s="11"/>
      <c r="P99" s="2">
        <f>-124.21</f>
        <v>-124.21</v>
      </c>
      <c r="Q99" s="2"/>
      <c r="R99" s="21"/>
      <c r="S99" s="2"/>
      <c r="T99" s="2">
        <f>-69.24</f>
        <v>-69.239999999999995</v>
      </c>
      <c r="U99" s="2"/>
      <c r="V99" s="21"/>
      <c r="W99" s="2"/>
      <c r="X99" s="2">
        <f t="shared" si="2"/>
        <v>-54.97</v>
      </c>
      <c r="Y99" s="2"/>
      <c r="Z99" s="21">
        <f t="shared" si="3"/>
        <v>0.79390525707683424</v>
      </c>
    </row>
    <row r="100" spans="1:26" s="24" customFormat="1" hidden="1" outlineLevel="1" x14ac:dyDescent="0.25">
      <c r="A100" s="50"/>
      <c r="B100" s="11" t="str">
        <f>CONCATENATE("          ", "4227", " - ", "SALES RETURN TAXABLE-SCHOOL SU")</f>
        <v xml:space="preserve">          4227 - SALES RETURN TAXABLE-SCHOOL SU</v>
      </c>
      <c r="C100" s="11"/>
      <c r="D100" s="2">
        <f>-1531.15</f>
        <v>-1531.15</v>
      </c>
      <c r="E100" s="2"/>
      <c r="F100" s="21"/>
      <c r="G100" s="2"/>
      <c r="H100" s="2">
        <f>-849.92</f>
        <v>-849.92</v>
      </c>
      <c r="I100" s="2"/>
      <c r="J100" s="21"/>
      <c r="K100" s="2"/>
      <c r="L100" s="2">
        <f t="shared" si="0"/>
        <v>-681.23000000000013</v>
      </c>
      <c r="M100" s="2"/>
      <c r="N100" s="21">
        <f t="shared" si="1"/>
        <v>0.80152249623493999</v>
      </c>
      <c r="O100" s="11"/>
      <c r="P100" s="2">
        <f>-1696.59</f>
        <v>-1696.59</v>
      </c>
      <c r="Q100" s="2"/>
      <c r="R100" s="21"/>
      <c r="S100" s="2"/>
      <c r="T100" s="2">
        <f>-971.89</f>
        <v>-971.89</v>
      </c>
      <c r="U100" s="2"/>
      <c r="V100" s="21"/>
      <c r="W100" s="2"/>
      <c r="X100" s="2">
        <f t="shared" si="2"/>
        <v>-724.69999999999993</v>
      </c>
      <c r="Y100" s="2"/>
      <c r="Z100" s="21">
        <f t="shared" si="3"/>
        <v>0.745660517136713</v>
      </c>
    </row>
    <row r="101" spans="1:26" s="24" customFormat="1" hidden="1" outlineLevel="1" x14ac:dyDescent="0.25">
      <c r="A101" s="50"/>
      <c r="B101" s="11" t="str">
        <f>CONCATENATE("          ", "4228", " - ", "SALES RETURN TAXABLE-ART/TECH")</f>
        <v xml:space="preserve">          4228 - SALES RETURN TAXABLE-ART/TECH</v>
      </c>
      <c r="C101" s="11"/>
      <c r="D101" s="2">
        <f>-858.36</f>
        <v>-858.36</v>
      </c>
      <c r="E101" s="2"/>
      <c r="F101" s="21"/>
      <c r="G101" s="2"/>
      <c r="H101" s="2">
        <f>-916.05</f>
        <v>-916.05</v>
      </c>
      <c r="I101" s="2"/>
      <c r="J101" s="21"/>
      <c r="K101" s="2"/>
      <c r="L101" s="2">
        <f t="shared" si="0"/>
        <v>57.689999999999941</v>
      </c>
      <c r="M101" s="2"/>
      <c r="N101" s="21">
        <f t="shared" si="1"/>
        <v>-6.2976911740625446E-2</v>
      </c>
      <c r="O101" s="11"/>
      <c r="P101" s="2">
        <f>-868.73</f>
        <v>-868.73</v>
      </c>
      <c r="Q101" s="2"/>
      <c r="R101" s="21"/>
      <c r="S101" s="2"/>
      <c r="T101" s="2">
        <f>-1065.49</f>
        <v>-1065.49</v>
      </c>
      <c r="U101" s="2"/>
      <c r="V101" s="21"/>
      <c r="W101" s="2"/>
      <c r="X101" s="2">
        <f t="shared" si="2"/>
        <v>196.76</v>
      </c>
      <c r="Y101" s="2"/>
      <c r="Z101" s="21">
        <f t="shared" si="3"/>
        <v>-0.18466620991281005</v>
      </c>
    </row>
    <row r="102" spans="1:26" s="24" customFormat="1" hidden="1" outlineLevel="1" x14ac:dyDescent="0.25">
      <c r="A102" s="50"/>
      <c r="B102" s="11" t="str">
        <f>CONCATENATE("          ", "4233", " - ", "SALES RETURN TAXABLE-CANDY")</f>
        <v xml:space="preserve">          4233 - SALES RETURN TAXABLE-CANDY</v>
      </c>
      <c r="C102" s="11"/>
      <c r="D102" s="2">
        <f>0</f>
        <v>0</v>
      </c>
      <c r="E102" s="2"/>
      <c r="F102" s="21"/>
      <c r="G102" s="2"/>
      <c r="H102" s="2">
        <f>-1.69</f>
        <v>-1.69</v>
      </c>
      <c r="I102" s="2"/>
      <c r="J102" s="21"/>
      <c r="K102" s="2"/>
      <c r="L102" s="2">
        <f t="shared" si="0"/>
        <v>1.69</v>
      </c>
      <c r="M102" s="2"/>
      <c r="N102" s="21">
        <f t="shared" si="1"/>
        <v>-1</v>
      </c>
      <c r="O102" s="11"/>
      <c r="P102" s="2">
        <f>0</f>
        <v>0</v>
      </c>
      <c r="Q102" s="2"/>
      <c r="R102" s="21"/>
      <c r="S102" s="2"/>
      <c r="T102" s="2">
        <f>-1.69</f>
        <v>-1.69</v>
      </c>
      <c r="U102" s="2"/>
      <c r="V102" s="21"/>
      <c r="W102" s="2"/>
      <c r="X102" s="2">
        <f t="shared" si="2"/>
        <v>1.69</v>
      </c>
      <c r="Y102" s="2"/>
      <c r="Z102" s="21">
        <f t="shared" si="3"/>
        <v>-1</v>
      </c>
    </row>
    <row r="103" spans="1:26" s="24" customFormat="1" hidden="1" outlineLevel="1" x14ac:dyDescent="0.25">
      <c r="A103" s="50"/>
      <c r="B103" s="11" t="str">
        <f>CONCATENATE("          ", "4240", " - ", "SALES RETURN TAXABLE-LOGO CLOT")</f>
        <v xml:space="preserve">          4240 - SALES RETURN TAXABLE-LOGO CLOT</v>
      </c>
      <c r="C103" s="11"/>
      <c r="D103" s="2">
        <f>-6807.65</f>
        <v>-6807.65</v>
      </c>
      <c r="E103" s="2"/>
      <c r="F103" s="21"/>
      <c r="G103" s="2"/>
      <c r="H103" s="2">
        <f>-6341.85</f>
        <v>-6341.85</v>
      </c>
      <c r="I103" s="2"/>
      <c r="J103" s="21"/>
      <c r="K103" s="2"/>
      <c r="L103" s="2">
        <f t="shared" si="0"/>
        <v>-465.79999999999927</v>
      </c>
      <c r="M103" s="2"/>
      <c r="N103" s="21">
        <f t="shared" si="1"/>
        <v>7.3448599383460544E-2</v>
      </c>
      <c r="O103" s="11"/>
      <c r="P103" s="2">
        <f>-11254.49</f>
        <v>-11254.49</v>
      </c>
      <c r="Q103" s="2"/>
      <c r="R103" s="21"/>
      <c r="S103" s="2"/>
      <c r="T103" s="2">
        <f>-11571.8</f>
        <v>-11571.8</v>
      </c>
      <c r="U103" s="2"/>
      <c r="V103" s="21"/>
      <c r="W103" s="2"/>
      <c r="X103" s="2">
        <f t="shared" si="2"/>
        <v>317.30999999999949</v>
      </c>
      <c r="Y103" s="2"/>
      <c r="Z103" s="21">
        <f t="shared" si="3"/>
        <v>-2.7420971672514172E-2</v>
      </c>
    </row>
    <row r="104" spans="1:26" s="24" customFormat="1" hidden="1" outlineLevel="1" x14ac:dyDescent="0.25">
      <c r="A104" s="50"/>
      <c r="B104" s="11" t="str">
        <f>CONCATENATE("          ", "4241", " - ", "SALES RETURN TAXABLE-LOGO GIFT")</f>
        <v xml:space="preserve">          4241 - SALES RETURN TAXABLE-LOGO GIFT</v>
      </c>
      <c r="C104" s="11"/>
      <c r="D104" s="2">
        <f>-971.11</f>
        <v>-971.11</v>
      </c>
      <c r="E104" s="2"/>
      <c r="F104" s="21"/>
      <c r="G104" s="2"/>
      <c r="H104" s="2">
        <f>-1122.85</f>
        <v>-1122.8499999999999</v>
      </c>
      <c r="I104" s="2"/>
      <c r="J104" s="21"/>
      <c r="K104" s="2"/>
      <c r="L104" s="2">
        <f t="shared" si="0"/>
        <v>151.7399999999999</v>
      </c>
      <c r="M104" s="2"/>
      <c r="N104" s="21">
        <f t="shared" si="1"/>
        <v>-0.13513826423832204</v>
      </c>
      <c r="O104" s="11"/>
      <c r="P104" s="2">
        <f>-1690.01</f>
        <v>-1690.01</v>
      </c>
      <c r="Q104" s="2"/>
      <c r="R104" s="21"/>
      <c r="S104" s="2"/>
      <c r="T104" s="2">
        <f>-1597.91</f>
        <v>-1597.91</v>
      </c>
      <c r="U104" s="2"/>
      <c r="V104" s="21"/>
      <c r="W104" s="2"/>
      <c r="X104" s="2">
        <f t="shared" si="2"/>
        <v>-92.099999999999909</v>
      </c>
      <c r="Y104" s="2"/>
      <c r="Z104" s="21">
        <f t="shared" si="3"/>
        <v>5.7637789362354516E-2</v>
      </c>
    </row>
    <row r="105" spans="1:26" s="24" customFormat="1" hidden="1" outlineLevel="1" x14ac:dyDescent="0.25">
      <c r="A105" s="50"/>
      <c r="B105" s="11" t="str">
        <f>CONCATENATE("          ", "4242", " - ", "SALES RETURN TAXABLE-EVERYDAY")</f>
        <v xml:space="preserve">          4242 - SALES RETURN TAXABLE-EVERYDAY</v>
      </c>
      <c r="C105" s="11"/>
      <c r="D105" s="2">
        <f>-450.83</f>
        <v>-450.83</v>
      </c>
      <c r="E105" s="2"/>
      <c r="F105" s="21"/>
      <c r="G105" s="2"/>
      <c r="H105" s="2">
        <f>-261.05</f>
        <v>-261.05</v>
      </c>
      <c r="I105" s="2"/>
      <c r="J105" s="21"/>
      <c r="K105" s="2"/>
      <c r="L105" s="2">
        <f t="shared" si="0"/>
        <v>-189.77999999999997</v>
      </c>
      <c r="M105" s="2"/>
      <c r="N105" s="21">
        <f t="shared" si="1"/>
        <v>0.72698716720934675</v>
      </c>
      <c r="O105" s="11"/>
      <c r="P105" s="2">
        <f>-824.81</f>
        <v>-824.81</v>
      </c>
      <c r="Q105" s="2"/>
      <c r="R105" s="21"/>
      <c r="S105" s="2"/>
      <c r="T105" s="2">
        <f>-421.79</f>
        <v>-421.79</v>
      </c>
      <c r="U105" s="2"/>
      <c r="V105" s="21"/>
      <c r="W105" s="2"/>
      <c r="X105" s="2">
        <f t="shared" si="2"/>
        <v>-403.01999999999992</v>
      </c>
      <c r="Y105" s="2"/>
      <c r="Z105" s="21">
        <f t="shared" si="3"/>
        <v>0.95549918205742168</v>
      </c>
    </row>
    <row r="106" spans="1:26" s="24" customFormat="1" hidden="1" outlineLevel="1" x14ac:dyDescent="0.25">
      <c r="A106" s="50"/>
      <c r="B106" s="11" t="str">
        <f>CONCATENATE("          ", "4244", " - ", "SALES RETURN TAXABLE-ACCESSORI")</f>
        <v xml:space="preserve">          4244 - SALES RETURN TAXABLE-ACCESSORI</v>
      </c>
      <c r="C106" s="11"/>
      <c r="D106" s="2">
        <f>-443.68</f>
        <v>-443.68</v>
      </c>
      <c r="E106" s="2"/>
      <c r="F106" s="21"/>
      <c r="G106" s="2"/>
      <c r="H106" s="2">
        <f>-1614.36</f>
        <v>-1614.36</v>
      </c>
      <c r="I106" s="2"/>
      <c r="J106" s="21"/>
      <c r="K106" s="2"/>
      <c r="L106" s="2">
        <f t="shared" si="0"/>
        <v>1170.6799999999998</v>
      </c>
      <c r="M106" s="2"/>
      <c r="N106" s="21">
        <f t="shared" si="1"/>
        <v>-0.72516662950023536</v>
      </c>
      <c r="O106" s="11"/>
      <c r="P106" s="2">
        <f>-550.47</f>
        <v>-550.47</v>
      </c>
      <c r="Q106" s="2"/>
      <c r="R106" s="21"/>
      <c r="S106" s="2"/>
      <c r="T106" s="2">
        <f>-1759.26</f>
        <v>-1759.26</v>
      </c>
      <c r="U106" s="2"/>
      <c r="V106" s="21"/>
      <c r="W106" s="2"/>
      <c r="X106" s="2">
        <f t="shared" si="2"/>
        <v>1208.79</v>
      </c>
      <c r="Y106" s="2"/>
      <c r="Z106" s="21">
        <f t="shared" si="3"/>
        <v>-0.68710139490467581</v>
      </c>
    </row>
    <row r="107" spans="1:26" s="24" customFormat="1" hidden="1" outlineLevel="1" x14ac:dyDescent="0.25">
      <c r="A107" s="50"/>
      <c r="B107" s="11" t="str">
        <f>CONCATENATE("          ", "4245", " - ", "SALES RETURN TAXABLE-SPECIAL O")</f>
        <v xml:space="preserve">          4245 - SALES RETURN TAXABLE-SPECIAL O</v>
      </c>
      <c r="C107" s="11"/>
      <c r="D107" s="2">
        <f>-19.98</f>
        <v>-19.98</v>
      </c>
      <c r="E107" s="2"/>
      <c r="F107" s="21"/>
      <c r="G107" s="2"/>
      <c r="H107" s="2">
        <f>-154.9</f>
        <v>-154.9</v>
      </c>
      <c r="I107" s="2"/>
      <c r="J107" s="21"/>
      <c r="K107" s="2"/>
      <c r="L107" s="2">
        <f t="shared" si="0"/>
        <v>134.92000000000002</v>
      </c>
      <c r="M107" s="2"/>
      <c r="N107" s="21">
        <f t="shared" si="1"/>
        <v>-0.87101355713363471</v>
      </c>
      <c r="O107" s="11"/>
      <c r="P107" s="2">
        <f>-19.98</f>
        <v>-19.98</v>
      </c>
      <c r="Q107" s="2"/>
      <c r="R107" s="21"/>
      <c r="S107" s="2"/>
      <c r="T107" s="2">
        <f>-174.85</f>
        <v>-174.85</v>
      </c>
      <c r="U107" s="2"/>
      <c r="V107" s="21"/>
      <c r="W107" s="2"/>
      <c r="X107" s="2">
        <f t="shared" si="2"/>
        <v>154.87</v>
      </c>
      <c r="Y107" s="2"/>
      <c r="Z107" s="21">
        <f t="shared" si="3"/>
        <v>-0.88573062625107235</v>
      </c>
    </row>
    <row r="108" spans="1:26" s="24" customFormat="1" hidden="1" outlineLevel="1" x14ac:dyDescent="0.25">
      <c r="A108" s="50"/>
      <c r="B108" s="11" t="str">
        <f>CONCATENATE("          ", "4281", " - ", "SALES RETURN TAXABLE-ELECTRONI")</f>
        <v xml:space="preserve">          4281 - SALES RETURN TAXABLE-ELECTRONI</v>
      </c>
      <c r="C108" s="11"/>
      <c r="D108" s="2">
        <f>-575.76</f>
        <v>-575.76</v>
      </c>
      <c r="E108" s="2"/>
      <c r="F108" s="21"/>
      <c r="G108" s="2"/>
      <c r="H108" s="2">
        <f>-1454.43</f>
        <v>-1454.43</v>
      </c>
      <c r="I108" s="2"/>
      <c r="J108" s="21"/>
      <c r="K108" s="2"/>
      <c r="L108" s="2">
        <f t="shared" si="0"/>
        <v>878.67000000000007</v>
      </c>
      <c r="M108" s="2"/>
      <c r="N108" s="21">
        <f t="shared" si="1"/>
        <v>-0.60413357810276191</v>
      </c>
      <c r="O108" s="11"/>
      <c r="P108" s="2">
        <f>-2234.75</f>
        <v>-2234.75</v>
      </c>
      <c r="Q108" s="2"/>
      <c r="R108" s="21"/>
      <c r="S108" s="2"/>
      <c r="T108" s="2">
        <f>-1784.37</f>
        <v>-1784.37</v>
      </c>
      <c r="U108" s="2"/>
      <c r="V108" s="21"/>
      <c r="W108" s="2"/>
      <c r="X108" s="2">
        <f t="shared" si="2"/>
        <v>-450.38000000000011</v>
      </c>
      <c r="Y108" s="2"/>
      <c r="Z108" s="21">
        <f t="shared" si="3"/>
        <v>0.25240280883449068</v>
      </c>
    </row>
    <row r="109" spans="1:26" s="24" customFormat="1" hidden="1" outlineLevel="1" x14ac:dyDescent="0.25">
      <c r="A109" s="50"/>
      <c r="B109" s="11" t="str">
        <f>CONCATENATE("          ", "4282", " - ", "SALES RETURN TAXABLE-COMPUTER")</f>
        <v xml:space="preserve">          4282 - SALES RETURN TAXABLE-COMPUTER</v>
      </c>
      <c r="C109" s="11"/>
      <c r="D109" s="2">
        <f>-49848.66</f>
        <v>-49848.66</v>
      </c>
      <c r="E109" s="2"/>
      <c r="F109" s="21"/>
      <c r="G109" s="2"/>
      <c r="H109" s="2">
        <f>-9198.35</f>
        <v>-9198.35</v>
      </c>
      <c r="I109" s="2"/>
      <c r="J109" s="21"/>
      <c r="K109" s="2"/>
      <c r="L109" s="2">
        <f t="shared" si="0"/>
        <v>-40650.310000000005</v>
      </c>
      <c r="M109" s="2"/>
      <c r="N109" s="21">
        <f t="shared" si="1"/>
        <v>4.4193045491854521</v>
      </c>
      <c r="O109" s="11"/>
      <c r="P109" s="2">
        <f>-120189.72</f>
        <v>-120189.72</v>
      </c>
      <c r="Q109" s="2"/>
      <c r="R109" s="21"/>
      <c r="S109" s="2"/>
      <c r="T109" s="2">
        <f>-17349.35</f>
        <v>-17349.349999999999</v>
      </c>
      <c r="U109" s="2"/>
      <c r="V109" s="21"/>
      <c r="W109" s="2"/>
      <c r="X109" s="2">
        <f t="shared" si="2"/>
        <v>-102840.37</v>
      </c>
      <c r="Y109" s="2"/>
      <c r="Z109" s="21">
        <f t="shared" si="3"/>
        <v>5.927620919515717</v>
      </c>
    </row>
    <row r="110" spans="1:26" s="24" customFormat="1" hidden="1" outlineLevel="1" x14ac:dyDescent="0.25">
      <c r="A110" s="50"/>
      <c r="B110" s="11" t="str">
        <f>CONCATENATE("          ", "4283", " - ", "SALES RETURN TAXABLE-COMPUTER")</f>
        <v xml:space="preserve">          4283 - SALES RETURN TAXABLE-COMPUTER</v>
      </c>
      <c r="C110" s="11"/>
      <c r="D110" s="2">
        <f>-503.89</f>
        <v>-503.89</v>
      </c>
      <c r="E110" s="2"/>
      <c r="F110" s="21"/>
      <c r="G110" s="2"/>
      <c r="H110" s="2">
        <f>-672.01</f>
        <v>-672.01</v>
      </c>
      <c r="I110" s="2"/>
      <c r="J110" s="21"/>
      <c r="K110" s="2"/>
      <c r="L110" s="2">
        <f t="shared" si="0"/>
        <v>168.12</v>
      </c>
      <c r="M110" s="2"/>
      <c r="N110" s="21">
        <f t="shared" si="1"/>
        <v>-0.2501748485885627</v>
      </c>
      <c r="O110" s="11"/>
      <c r="P110" s="2">
        <f>-730.69</f>
        <v>-730.69</v>
      </c>
      <c r="Q110" s="2"/>
      <c r="R110" s="21"/>
      <c r="S110" s="2"/>
      <c r="T110" s="2">
        <f>-879.91</f>
        <v>-879.91</v>
      </c>
      <c r="U110" s="2"/>
      <c r="V110" s="21"/>
      <c r="W110" s="2"/>
      <c r="X110" s="2">
        <f t="shared" si="2"/>
        <v>149.21999999999991</v>
      </c>
      <c r="Y110" s="2"/>
      <c r="Z110" s="21">
        <f t="shared" si="3"/>
        <v>-0.16958552579241049</v>
      </c>
    </row>
    <row r="111" spans="1:26" s="24" customFormat="1" hidden="1" outlineLevel="1" x14ac:dyDescent="0.25">
      <c r="A111" s="50"/>
      <c r="B111" s="11" t="str">
        <f>CONCATENATE("          ", "4284", " - ", "SALES RETURN TAXABLE-SOFTWARE")</f>
        <v xml:space="preserve">          4284 - SALES RETURN TAXABLE-SOFTWARE</v>
      </c>
      <c r="C111" s="11"/>
      <c r="D111" s="2">
        <f>-129</f>
        <v>-129</v>
      </c>
      <c r="E111" s="2"/>
      <c r="F111" s="21"/>
      <c r="G111" s="2"/>
      <c r="H111" s="2">
        <f t="shared" ref="H111:H112" si="7">0</f>
        <v>0</v>
      </c>
      <c r="I111" s="2"/>
      <c r="J111" s="21"/>
      <c r="K111" s="2"/>
      <c r="L111" s="2">
        <f t="shared" si="0"/>
        <v>-129</v>
      </c>
      <c r="M111" s="2"/>
      <c r="N111" s="21">
        <f t="shared" si="1"/>
        <v>0</v>
      </c>
      <c r="O111" s="11"/>
      <c r="P111" s="2">
        <f>-129</f>
        <v>-129</v>
      </c>
      <c r="Q111" s="2"/>
      <c r="R111" s="21"/>
      <c r="S111" s="2"/>
      <c r="T111" s="2">
        <f t="shared" ref="T111:T112" si="8">0</f>
        <v>0</v>
      </c>
      <c r="U111" s="2"/>
      <c r="V111" s="21"/>
      <c r="W111" s="2"/>
      <c r="X111" s="2">
        <f t="shared" si="2"/>
        <v>-129</v>
      </c>
      <c r="Y111" s="2"/>
      <c r="Z111" s="21">
        <f t="shared" si="3"/>
        <v>0</v>
      </c>
    </row>
    <row r="112" spans="1:26" s="24" customFormat="1" hidden="1" outlineLevel="1" x14ac:dyDescent="0.25">
      <c r="A112" s="50"/>
      <c r="B112" s="11" t="str">
        <f>CONCATENATE("          ", "4285", " - ", "SALES RETURN TAXABLE-SOFTWARE")</f>
        <v xml:space="preserve">          4285 - SALES RETURN TAXABLE-SOFTWARE</v>
      </c>
      <c r="C112" s="11"/>
      <c r="D112" s="2">
        <f>0</f>
        <v>0</v>
      </c>
      <c r="E112" s="2"/>
      <c r="F112" s="21"/>
      <c r="G112" s="2"/>
      <c r="H112" s="2">
        <f t="shared" si="7"/>
        <v>0</v>
      </c>
      <c r="I112" s="2"/>
      <c r="J112" s="21"/>
      <c r="K112" s="2"/>
      <c r="L112" s="2">
        <f t="shared" si="0"/>
        <v>0</v>
      </c>
      <c r="M112" s="2"/>
      <c r="N112" s="21">
        <f t="shared" si="1"/>
        <v>0</v>
      </c>
      <c r="O112" s="11"/>
      <c r="P112" s="2">
        <f>-406.99</f>
        <v>-406.99</v>
      </c>
      <c r="Q112" s="2"/>
      <c r="R112" s="21"/>
      <c r="S112" s="2"/>
      <c r="T112" s="2">
        <f t="shared" si="8"/>
        <v>0</v>
      </c>
      <c r="U112" s="2"/>
      <c r="V112" s="21"/>
      <c r="W112" s="2"/>
      <c r="X112" s="2">
        <f t="shared" si="2"/>
        <v>-406.99</v>
      </c>
      <c r="Y112" s="2"/>
      <c r="Z112" s="21">
        <f t="shared" si="3"/>
        <v>0</v>
      </c>
    </row>
    <row r="113" spans="1:26" s="24" customFormat="1" hidden="1" outlineLevel="1" x14ac:dyDescent="0.25">
      <c r="A113" s="50"/>
      <c r="B113" s="11" t="str">
        <f>CONCATENATE("          ", "4286", " - ", "SALES RETURN TAXABLE-COMPUTER")</f>
        <v xml:space="preserve">          4286 - SALES RETURN TAXABLE-COMPUTER</v>
      </c>
      <c r="C113" s="11"/>
      <c r="D113" s="2">
        <f>-635.2</f>
        <v>-635.20000000000005</v>
      </c>
      <c r="E113" s="2"/>
      <c r="F113" s="21"/>
      <c r="G113" s="2"/>
      <c r="H113" s="2">
        <f>-826.29</f>
        <v>-826.29</v>
      </c>
      <c r="I113" s="2"/>
      <c r="J113" s="21"/>
      <c r="K113" s="2"/>
      <c r="L113" s="2">
        <f t="shared" si="0"/>
        <v>191.08999999999992</v>
      </c>
      <c r="M113" s="2"/>
      <c r="N113" s="21">
        <f t="shared" si="1"/>
        <v>-0.23126263176366643</v>
      </c>
      <c r="O113" s="11"/>
      <c r="P113" s="2">
        <f>-1181.15</f>
        <v>-1181.1500000000001</v>
      </c>
      <c r="Q113" s="2"/>
      <c r="R113" s="21"/>
      <c r="S113" s="2"/>
      <c r="T113" s="2">
        <f>-871.26</f>
        <v>-871.26</v>
      </c>
      <c r="U113" s="2"/>
      <c r="V113" s="21"/>
      <c r="W113" s="2"/>
      <c r="X113" s="2">
        <f t="shared" si="2"/>
        <v>-309.8900000000001</v>
      </c>
      <c r="Y113" s="2"/>
      <c r="Z113" s="21">
        <f t="shared" si="3"/>
        <v>0.35568027913596412</v>
      </c>
    </row>
    <row r="114" spans="1:26" s="24" customFormat="1" hidden="1" outlineLevel="1" x14ac:dyDescent="0.25">
      <c r="A114" s="50"/>
      <c r="B114" s="11" t="str">
        <f>CONCATENATE("          ", "4292", " - ", "SALES RETURN TAXABLE-GRAD MERC")</f>
        <v xml:space="preserve">          4292 - SALES RETURN TAXABLE-GRAD MERC</v>
      </c>
      <c r="C114" s="11"/>
      <c r="D114" s="2">
        <f>-359.2</f>
        <v>-359.2</v>
      </c>
      <c r="E114" s="2"/>
      <c r="F114" s="21"/>
      <c r="G114" s="2"/>
      <c r="H114" s="2">
        <f>0</f>
        <v>0</v>
      </c>
      <c r="I114" s="2"/>
      <c r="J114" s="21"/>
      <c r="K114" s="2"/>
      <c r="L114" s="2">
        <f t="shared" si="0"/>
        <v>-359.2</v>
      </c>
      <c r="M114" s="2"/>
      <c r="N114" s="21">
        <f t="shared" si="1"/>
        <v>0</v>
      </c>
      <c r="O114" s="11"/>
      <c r="P114" s="2">
        <f>-369.15</f>
        <v>-369.15</v>
      </c>
      <c r="Q114" s="2"/>
      <c r="R114" s="21"/>
      <c r="S114" s="2"/>
      <c r="T114" s="2">
        <f>-478.25</f>
        <v>-478.25</v>
      </c>
      <c r="U114" s="2"/>
      <c r="V114" s="21"/>
      <c r="W114" s="2"/>
      <c r="X114" s="2">
        <f t="shared" si="2"/>
        <v>109.10000000000002</v>
      </c>
      <c r="Y114" s="2"/>
      <c r="Z114" s="21">
        <f t="shared" si="3"/>
        <v>-0.22812336644014641</v>
      </c>
    </row>
    <row r="115" spans="1:26" s="24" customFormat="1" hidden="1" outlineLevel="1" x14ac:dyDescent="0.25">
      <c r="A115" s="50"/>
      <c r="B115" s="11" t="str">
        <f>CONCATENATE("          ", "4295", " - ", "SALES RETURN TAXABLE-CUSTOMER")</f>
        <v xml:space="preserve">          4295 - SALES RETURN TAXABLE-CUSTOMER</v>
      </c>
      <c r="C115" s="11"/>
      <c r="D115" s="2">
        <f>--0.99</f>
        <v>0.99</v>
      </c>
      <c r="E115" s="2"/>
      <c r="F115" s="21"/>
      <c r="G115" s="2"/>
      <c r="H115" s="2">
        <f>-99</f>
        <v>-99</v>
      </c>
      <c r="I115" s="2"/>
      <c r="J115" s="21"/>
      <c r="K115" s="2"/>
      <c r="L115" s="2">
        <f t="shared" si="0"/>
        <v>99.99</v>
      </c>
      <c r="M115" s="2"/>
      <c r="N115" s="21">
        <f t="shared" si="1"/>
        <v>-1.01</v>
      </c>
      <c r="O115" s="11"/>
      <c r="P115" s="2">
        <f>--0.99</f>
        <v>0.99</v>
      </c>
      <c r="Q115" s="2"/>
      <c r="R115" s="21"/>
      <c r="S115" s="2"/>
      <c r="T115" s="2">
        <f>-99</f>
        <v>-99</v>
      </c>
      <c r="U115" s="2"/>
      <c r="V115" s="21"/>
      <c r="W115" s="2"/>
      <c r="X115" s="2">
        <f t="shared" si="2"/>
        <v>99.99</v>
      </c>
      <c r="Y115" s="2"/>
      <c r="Z115" s="21">
        <f t="shared" si="3"/>
        <v>-1.01</v>
      </c>
    </row>
    <row r="116" spans="1:26" s="24" customFormat="1" hidden="1" outlineLevel="1" x14ac:dyDescent="0.25">
      <c r="A116" s="50"/>
      <c r="B116" s="11" t="str">
        <f>CONCATENATE("          ", "4301", " - ", "SALES RETURN NON TAXABLE-NEW T")</f>
        <v xml:space="preserve">          4301 - SALES RETURN NON TAXABLE-NEW T</v>
      </c>
      <c r="C116" s="11"/>
      <c r="D116" s="2">
        <f>-2665.19</f>
        <v>-2665.19</v>
      </c>
      <c r="E116" s="2"/>
      <c r="F116" s="21"/>
      <c r="G116" s="2"/>
      <c r="H116" s="2">
        <f>-1852.97</f>
        <v>-1852.97</v>
      </c>
      <c r="I116" s="2"/>
      <c r="J116" s="21"/>
      <c r="K116" s="2"/>
      <c r="L116" s="2">
        <f t="shared" si="0"/>
        <v>-812.22</v>
      </c>
      <c r="M116" s="2"/>
      <c r="N116" s="21">
        <f t="shared" si="1"/>
        <v>0.43833413384998138</v>
      </c>
      <c r="O116" s="11"/>
      <c r="P116" s="2">
        <f>-2919.78</f>
        <v>-2919.78</v>
      </c>
      <c r="Q116" s="2"/>
      <c r="R116" s="21"/>
      <c r="S116" s="2"/>
      <c r="T116" s="2">
        <f>-2849.1</f>
        <v>-2849.1</v>
      </c>
      <c r="U116" s="2"/>
      <c r="V116" s="21"/>
      <c r="W116" s="2"/>
      <c r="X116" s="2">
        <f t="shared" si="2"/>
        <v>-70.680000000000291</v>
      </c>
      <c r="Y116" s="2"/>
      <c r="Z116" s="21">
        <f t="shared" si="3"/>
        <v>2.4807834052858902E-2</v>
      </c>
    </row>
    <row r="117" spans="1:26" s="24" customFormat="1" hidden="1" outlineLevel="1" x14ac:dyDescent="0.25">
      <c r="A117" s="50"/>
      <c r="B117" s="11" t="str">
        <f>CONCATENATE("          ", "4302", " - ", "SALES RETURN NON TAXABLE-TEXT")</f>
        <v xml:space="preserve">          4302 - SALES RETURN NON TAXABLE-TEXT</v>
      </c>
      <c r="C117" s="11"/>
      <c r="D117" s="2">
        <f>-250.25</f>
        <v>-250.25</v>
      </c>
      <c r="E117" s="2"/>
      <c r="F117" s="21"/>
      <c r="G117" s="2"/>
      <c r="H117" s="2">
        <f>-554.73</f>
        <v>-554.73</v>
      </c>
      <c r="I117" s="2"/>
      <c r="J117" s="21"/>
      <c r="K117" s="2"/>
      <c r="L117" s="2">
        <f t="shared" si="0"/>
        <v>304.48</v>
      </c>
      <c r="M117" s="2"/>
      <c r="N117" s="21">
        <f t="shared" si="1"/>
        <v>-0.54887963513781479</v>
      </c>
      <c r="O117" s="11"/>
      <c r="P117" s="2">
        <f>-250.25</f>
        <v>-250.25</v>
      </c>
      <c r="Q117" s="2"/>
      <c r="R117" s="21"/>
      <c r="S117" s="2"/>
      <c r="T117" s="2">
        <f>-667.53</f>
        <v>-667.53</v>
      </c>
      <c r="U117" s="2"/>
      <c r="V117" s="21"/>
      <c r="W117" s="2"/>
      <c r="X117" s="2">
        <f t="shared" si="2"/>
        <v>417.28</v>
      </c>
      <c r="Y117" s="2"/>
      <c r="Z117" s="21">
        <f t="shared" si="3"/>
        <v>-0.6251104819259059</v>
      </c>
    </row>
    <row r="118" spans="1:26" s="24" customFormat="1" hidden="1" outlineLevel="1" x14ac:dyDescent="0.25">
      <c r="A118" s="50"/>
      <c r="B118" s="11" t="str">
        <f>CONCATENATE("          ", "4304", " - ", "SALES RETURN NON TAXABLE-DIGIT")</f>
        <v xml:space="preserve">          4304 - SALES RETURN NON TAXABLE-DIGIT</v>
      </c>
      <c r="C118" s="11"/>
      <c r="D118" s="2">
        <f>-8466.55</f>
        <v>-8466.5499999999993</v>
      </c>
      <c r="E118" s="2"/>
      <c r="F118" s="21"/>
      <c r="G118" s="2"/>
      <c r="H118" s="2">
        <f>-264.47</f>
        <v>-264.47000000000003</v>
      </c>
      <c r="I118" s="2"/>
      <c r="J118" s="21"/>
      <c r="K118" s="2"/>
      <c r="L118" s="2">
        <f t="shared" si="0"/>
        <v>-8202.08</v>
      </c>
      <c r="M118" s="2"/>
      <c r="N118" s="21">
        <f t="shared" si="1"/>
        <v>31.013271826672209</v>
      </c>
      <c r="O118" s="11"/>
      <c r="P118" s="2">
        <f>-8466.55</f>
        <v>-8466.5499999999993</v>
      </c>
      <c r="Q118" s="2"/>
      <c r="R118" s="21"/>
      <c r="S118" s="2"/>
      <c r="T118" s="2">
        <f>-284.47</f>
        <v>-284.47000000000003</v>
      </c>
      <c r="U118" s="2"/>
      <c r="V118" s="21"/>
      <c r="W118" s="2"/>
      <c r="X118" s="2">
        <f t="shared" si="2"/>
        <v>-8182.079999999999</v>
      </c>
      <c r="Y118" s="2"/>
      <c r="Z118" s="21">
        <f t="shared" si="3"/>
        <v>28.762540865469113</v>
      </c>
    </row>
    <row r="119" spans="1:26" s="24" customFormat="1" hidden="1" outlineLevel="1" x14ac:dyDescent="0.25">
      <c r="A119" s="50"/>
      <c r="B119" s="11" t="str">
        <f>CONCATENATE("          ", "4311", " - ", "SALES RETURN NON TAXABLE-NO VA")</f>
        <v xml:space="preserve">          4311 - SALES RETURN NON TAXABLE-NO VA</v>
      </c>
      <c r="C119" s="11"/>
      <c r="D119" s="2">
        <f>-79.06</f>
        <v>-79.06</v>
      </c>
      <c r="E119" s="2"/>
      <c r="F119" s="21"/>
      <c r="G119" s="2"/>
      <c r="H119" s="2">
        <f>-168.5</f>
        <v>-168.5</v>
      </c>
      <c r="I119" s="2"/>
      <c r="J119" s="21"/>
      <c r="K119" s="2"/>
      <c r="L119" s="2">
        <f t="shared" si="0"/>
        <v>89.44</v>
      </c>
      <c r="M119" s="2"/>
      <c r="N119" s="21">
        <f t="shared" si="1"/>
        <v>-0.53080118694362022</v>
      </c>
      <c r="O119" s="11"/>
      <c r="P119" s="2">
        <f>-111.04</f>
        <v>-111.04</v>
      </c>
      <c r="Q119" s="2"/>
      <c r="R119" s="21"/>
      <c r="S119" s="2"/>
      <c r="T119" s="2">
        <f>-212.88</f>
        <v>-212.88</v>
      </c>
      <c r="U119" s="2"/>
      <c r="V119" s="21"/>
      <c r="W119" s="2"/>
      <c r="X119" s="2">
        <f t="shared" si="2"/>
        <v>101.83999999999999</v>
      </c>
      <c r="Y119" s="2"/>
      <c r="Z119" s="21">
        <f t="shared" si="3"/>
        <v>-0.47839158211198796</v>
      </c>
    </row>
    <row r="120" spans="1:26" s="24" customFormat="1" hidden="1" outlineLevel="1" x14ac:dyDescent="0.25">
      <c r="A120" s="50"/>
      <c r="B120" s="11" t="str">
        <f>CONCATENATE("          ", "4326", " - ", "SALES RETURN NON TAXABLE-WRITI")</f>
        <v xml:space="preserve">          4326 - SALES RETURN NON TAXABLE-WRITI</v>
      </c>
      <c r="C120" s="11"/>
      <c r="D120" s="2">
        <f>0</f>
        <v>0</v>
      </c>
      <c r="E120" s="2"/>
      <c r="F120" s="21"/>
      <c r="G120" s="2"/>
      <c r="H120" s="2">
        <f>-3.29</f>
        <v>-3.29</v>
      </c>
      <c r="I120" s="2"/>
      <c r="J120" s="21"/>
      <c r="K120" s="2"/>
      <c r="L120" s="2">
        <f t="shared" si="0"/>
        <v>3.29</v>
      </c>
      <c r="M120" s="2"/>
      <c r="N120" s="21">
        <f t="shared" si="1"/>
        <v>-1</v>
      </c>
      <c r="O120" s="11"/>
      <c r="P120" s="2">
        <f>0</f>
        <v>0</v>
      </c>
      <c r="Q120" s="2"/>
      <c r="R120" s="21"/>
      <c r="S120" s="2"/>
      <c r="T120" s="2">
        <f>-5.58</f>
        <v>-5.58</v>
      </c>
      <c r="U120" s="2"/>
      <c r="V120" s="21"/>
      <c r="W120" s="2"/>
      <c r="X120" s="2">
        <f t="shared" si="2"/>
        <v>5.58</v>
      </c>
      <c r="Y120" s="2"/>
      <c r="Z120" s="21">
        <f t="shared" si="3"/>
        <v>-1</v>
      </c>
    </row>
    <row r="121" spans="1:26" s="24" customFormat="1" hidden="1" outlineLevel="1" x14ac:dyDescent="0.25">
      <c r="A121" s="50"/>
      <c r="B121" s="11" t="str">
        <f>CONCATENATE("          ", "4327", " - ", "SALES RETURN NON TAXABLE-SCHOO")</f>
        <v xml:space="preserve">          4327 - SALES RETURN NON TAXABLE-SCHOO</v>
      </c>
      <c r="C121" s="11"/>
      <c r="D121" s="2">
        <f>-13.58</f>
        <v>-13.58</v>
      </c>
      <c r="E121" s="2"/>
      <c r="F121" s="21"/>
      <c r="G121" s="2"/>
      <c r="H121" s="2">
        <f>0</f>
        <v>0</v>
      </c>
      <c r="I121" s="2"/>
      <c r="J121" s="21"/>
      <c r="K121" s="2"/>
      <c r="L121" s="2">
        <f t="shared" si="0"/>
        <v>-13.58</v>
      </c>
      <c r="M121" s="2"/>
      <c r="N121" s="21">
        <f t="shared" si="1"/>
        <v>0</v>
      </c>
      <c r="O121" s="11"/>
      <c r="P121" s="2">
        <f>-13.58</f>
        <v>-13.58</v>
      </c>
      <c r="Q121" s="2"/>
      <c r="R121" s="21"/>
      <c r="S121" s="2"/>
      <c r="T121" s="2">
        <f>0</f>
        <v>0</v>
      </c>
      <c r="U121" s="2"/>
      <c r="V121" s="21"/>
      <c r="W121" s="2"/>
      <c r="X121" s="2">
        <f t="shared" si="2"/>
        <v>-13.58</v>
      </c>
      <c r="Y121" s="2"/>
      <c r="Z121" s="21">
        <f t="shared" si="3"/>
        <v>0</v>
      </c>
    </row>
    <row r="122" spans="1:26" s="24" customFormat="1" hidden="1" outlineLevel="1" x14ac:dyDescent="0.25">
      <c r="A122" s="50"/>
      <c r="B122" s="11" t="str">
        <f>CONCATENATE("          ", "4340", " - ", "SALES RETURN NON TAXABLE-LOGO")</f>
        <v xml:space="preserve">          4340 - SALES RETURN NON TAXABLE-LOGO</v>
      </c>
      <c r="C122" s="11"/>
      <c r="D122" s="2">
        <f>-44.95</f>
        <v>-44.95</v>
      </c>
      <c r="E122" s="2"/>
      <c r="F122" s="21"/>
      <c r="G122" s="2"/>
      <c r="H122" s="2">
        <f>-191.74</f>
        <v>-191.74</v>
      </c>
      <c r="I122" s="2"/>
      <c r="J122" s="21"/>
      <c r="K122" s="2"/>
      <c r="L122" s="2">
        <f t="shared" si="0"/>
        <v>146.79000000000002</v>
      </c>
      <c r="M122" s="2"/>
      <c r="N122" s="21">
        <f t="shared" si="1"/>
        <v>-0.76556795660790666</v>
      </c>
      <c r="O122" s="11"/>
      <c r="P122" s="2">
        <f>-268.5</f>
        <v>-268.5</v>
      </c>
      <c r="Q122" s="2"/>
      <c r="R122" s="21"/>
      <c r="S122" s="2"/>
      <c r="T122" s="2">
        <f>-191.74</f>
        <v>-191.74</v>
      </c>
      <c r="U122" s="2"/>
      <c r="V122" s="21"/>
      <c r="W122" s="2"/>
      <c r="X122" s="2">
        <f t="shared" si="2"/>
        <v>-76.759999999999991</v>
      </c>
      <c r="Y122" s="2"/>
      <c r="Z122" s="21">
        <f t="shared" si="3"/>
        <v>0.4003337853343068</v>
      </c>
    </row>
    <row r="123" spans="1:26" s="24" customFormat="1" hidden="1" outlineLevel="1" x14ac:dyDescent="0.25">
      <c r="A123" s="50"/>
      <c r="B123" s="11" t="str">
        <f>CONCATENATE("          ", "4341", " - ", "SALES RETURN NON TAXABLE-LOGO")</f>
        <v xml:space="preserve">          4341 - SALES RETURN NON TAXABLE-LOGO</v>
      </c>
      <c r="C123" s="11"/>
      <c r="D123" s="2">
        <f>-3.95</f>
        <v>-3.95</v>
      </c>
      <c r="E123" s="2"/>
      <c r="F123" s="21"/>
      <c r="G123" s="2"/>
      <c r="H123" s="2">
        <f>-8.15</f>
        <v>-8.15</v>
      </c>
      <c r="I123" s="2"/>
      <c r="J123" s="21"/>
      <c r="K123" s="2"/>
      <c r="L123" s="2">
        <f t="shared" si="0"/>
        <v>4.2</v>
      </c>
      <c r="M123" s="2"/>
      <c r="N123" s="21">
        <f t="shared" si="1"/>
        <v>-0.51533742331288346</v>
      </c>
      <c r="O123" s="11"/>
      <c r="P123" s="2">
        <f>-3.95</f>
        <v>-3.95</v>
      </c>
      <c r="Q123" s="2"/>
      <c r="R123" s="21"/>
      <c r="S123" s="2"/>
      <c r="T123" s="2">
        <f>-8.15</f>
        <v>-8.15</v>
      </c>
      <c r="U123" s="2"/>
      <c r="V123" s="21"/>
      <c r="W123" s="2"/>
      <c r="X123" s="2">
        <f t="shared" si="2"/>
        <v>4.2</v>
      </c>
      <c r="Y123" s="2"/>
      <c r="Z123" s="21">
        <f t="shared" si="3"/>
        <v>-0.51533742331288346</v>
      </c>
    </row>
    <row r="124" spans="1:26" s="24" customFormat="1" hidden="1" outlineLevel="1" x14ac:dyDescent="0.25">
      <c r="A124" s="50"/>
      <c r="B124" s="11" t="str">
        <f>CONCATENATE("          ", "4346", " - ", "SALES RETURN NON TAXABLE-COIN-")</f>
        <v xml:space="preserve">          4346 - SALES RETURN NON TAXABLE-COIN-</v>
      </c>
      <c r="C124" s="11"/>
      <c r="D124" s="2">
        <f>-8.15</f>
        <v>-8.15</v>
      </c>
      <c r="E124" s="2"/>
      <c r="F124" s="21"/>
      <c r="G124" s="2"/>
      <c r="H124" s="2">
        <f t="shared" ref="H124:H126" si="9">0</f>
        <v>0</v>
      </c>
      <c r="I124" s="2"/>
      <c r="J124" s="21"/>
      <c r="K124" s="2"/>
      <c r="L124" s="2">
        <f t="shared" si="0"/>
        <v>-8.15</v>
      </c>
      <c r="M124" s="2"/>
      <c r="N124" s="21">
        <f t="shared" si="1"/>
        <v>0</v>
      </c>
      <c r="O124" s="11"/>
      <c r="P124" s="2">
        <f>-8.15</f>
        <v>-8.15</v>
      </c>
      <c r="Q124" s="2"/>
      <c r="R124" s="21"/>
      <c r="S124" s="2"/>
      <c r="T124" s="2">
        <f t="shared" ref="T124:T126" si="10">0</f>
        <v>0</v>
      </c>
      <c r="U124" s="2"/>
      <c r="V124" s="21"/>
      <c r="W124" s="2"/>
      <c r="X124" s="2">
        <f t="shared" si="2"/>
        <v>-8.15</v>
      </c>
      <c r="Y124" s="2"/>
      <c r="Z124" s="21">
        <f t="shared" si="3"/>
        <v>0</v>
      </c>
    </row>
    <row r="125" spans="1:26" s="24" customFormat="1" hidden="1" outlineLevel="1" x14ac:dyDescent="0.25">
      <c r="A125" s="50"/>
      <c r="B125" s="11" t="str">
        <f>CONCATENATE("          ", "4383", " - ", "SALES RETURN NON TAXABLE-COMPU")</f>
        <v xml:space="preserve">          4383 - SALES RETURN NON TAXABLE-COMPU</v>
      </c>
      <c r="C125" s="11"/>
      <c r="D125" s="2">
        <f>-24.99</f>
        <v>-24.99</v>
      </c>
      <c r="E125" s="2"/>
      <c r="F125" s="21"/>
      <c r="G125" s="2"/>
      <c r="H125" s="2">
        <f t="shared" si="9"/>
        <v>0</v>
      </c>
      <c r="I125" s="2"/>
      <c r="J125" s="21"/>
      <c r="K125" s="2"/>
      <c r="L125" s="2">
        <f t="shared" si="0"/>
        <v>-24.99</v>
      </c>
      <c r="M125" s="2"/>
      <c r="N125" s="21">
        <f t="shared" si="1"/>
        <v>0</v>
      </c>
      <c r="O125" s="11"/>
      <c r="P125" s="2">
        <f>-24.99</f>
        <v>-24.99</v>
      </c>
      <c r="Q125" s="2"/>
      <c r="R125" s="21"/>
      <c r="S125" s="2"/>
      <c r="T125" s="2">
        <f t="shared" si="10"/>
        <v>0</v>
      </c>
      <c r="U125" s="2"/>
      <c r="V125" s="21"/>
      <c r="W125" s="2"/>
      <c r="X125" s="2">
        <f t="shared" si="2"/>
        <v>-24.99</v>
      </c>
      <c r="Y125" s="2"/>
      <c r="Z125" s="21">
        <f t="shared" si="3"/>
        <v>0</v>
      </c>
    </row>
    <row r="126" spans="1:26" s="24" customFormat="1" hidden="1" outlineLevel="1" x14ac:dyDescent="0.25">
      <c r="A126" s="50"/>
      <c r="B126" s="11" t="str">
        <f>CONCATENATE("          ", "4386", " - ", "SALES RETURN NON TAXABLE-COMPU")</f>
        <v xml:space="preserve">          4386 - SALES RETURN NON TAXABLE-COMPU</v>
      </c>
      <c r="C126" s="11"/>
      <c r="D126" s="2">
        <f>-19.99</f>
        <v>-19.989999999999998</v>
      </c>
      <c r="E126" s="2"/>
      <c r="F126" s="21"/>
      <c r="G126" s="2"/>
      <c r="H126" s="2">
        <f t="shared" si="9"/>
        <v>0</v>
      </c>
      <c r="I126" s="2"/>
      <c r="J126" s="21"/>
      <c r="K126" s="2"/>
      <c r="L126" s="2">
        <f t="shared" si="0"/>
        <v>-19.989999999999998</v>
      </c>
      <c r="M126" s="2"/>
      <c r="N126" s="21">
        <f t="shared" si="1"/>
        <v>0</v>
      </c>
      <c r="O126" s="11"/>
      <c r="P126" s="2">
        <f>-19.99</f>
        <v>-19.989999999999998</v>
      </c>
      <c r="Q126" s="2"/>
      <c r="R126" s="21"/>
      <c r="S126" s="2"/>
      <c r="T126" s="2">
        <f t="shared" si="10"/>
        <v>0</v>
      </c>
      <c r="U126" s="2"/>
      <c r="V126" s="21"/>
      <c r="W126" s="2"/>
      <c r="X126" s="2">
        <f t="shared" si="2"/>
        <v>-19.989999999999998</v>
      </c>
      <c r="Y126" s="2"/>
      <c r="Z126" s="21">
        <f t="shared" si="3"/>
        <v>0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collapsed="1" x14ac:dyDescent="0.25">
      <c r="A128" s="10"/>
      <c r="B128" s="25" t="s">
        <v>8</v>
      </c>
      <c r="C128" s="10"/>
      <c r="D128" s="4">
        <f>SUM(OSRRefD16x_0)</f>
        <v>2542832.4300000006</v>
      </c>
      <c r="E128" s="4"/>
      <c r="F128" s="12">
        <f t="shared" ref="F128:F183" si="11">IF(D$12=0,0,D128/D$12)</f>
        <v>0.60281040051828583</v>
      </c>
      <c r="G128" s="4"/>
      <c r="H128" s="4">
        <f>SUM(OSRRefH16x_0)</f>
        <v>2662694.7100000004</v>
      </c>
      <c r="I128" s="4"/>
      <c r="J128" s="12">
        <f t="shared" ref="J128:J183" si="12">IF(H$12=0,0,H128/H$12)</f>
        <v>0.61436553713652797</v>
      </c>
      <c r="K128" s="4"/>
      <c r="L128" s="4">
        <f t="shared" ref="L128:L183" si="13">+D128-H128</f>
        <v>-119862.2799999998</v>
      </c>
      <c r="M128" s="4"/>
      <c r="N128" s="12">
        <f t="shared" ref="N128:N183" si="14">IF(H128=0,0,L128/H128)</f>
        <v>-4.5015404713820824E-2</v>
      </c>
      <c r="O128" s="10"/>
      <c r="P128" s="4">
        <f>SUM(OSRRefP16x_0)</f>
        <v>3332370.07</v>
      </c>
      <c r="Q128" s="4"/>
      <c r="R128" s="12">
        <f t="shared" ref="R128:R183" si="15">IF(P$12=0,0,P128/P$12)</f>
        <v>0.5820523364034984</v>
      </c>
      <c r="S128" s="4"/>
      <c r="T128" s="4">
        <f>SUM(OSRRefT16x_0)</f>
        <v>3471291.86</v>
      </c>
      <c r="U128" s="4"/>
      <c r="V128" s="12">
        <f t="shared" ref="V128:V183" si="16">IF(T$12=0,0,T128/T$12)</f>
        <v>0.57866710709905322</v>
      </c>
      <c r="W128" s="4"/>
      <c r="X128" s="4">
        <f t="shared" ref="X128:X183" si="17">+P128-T128</f>
        <v>-138921.79000000004</v>
      </c>
      <c r="Y128" s="4"/>
      <c r="Z128" s="12">
        <f t="shared" ref="Z128:Z183" si="18">IF(T128=0,0,X128/T128)</f>
        <v>-4.0020198704928268E-2</v>
      </c>
    </row>
    <row r="129" spans="1:26" s="24" customFormat="1" hidden="1" outlineLevel="1" x14ac:dyDescent="0.25">
      <c r="A129" s="50"/>
      <c r="B129" s="11" t="str">
        <f>CONCATENATE("          ", "5001", " - ", "PURCHASES @ COST-NEW TEXT")</f>
        <v xml:space="preserve">          5001 - PURCHASES @ COST-NEW TEXT</v>
      </c>
      <c r="C129" s="11"/>
      <c r="D129" s="2">
        <v>1483764.14</v>
      </c>
      <c r="E129" s="2"/>
      <c r="F129" s="21">
        <f t="shared" si="11"/>
        <v>0.35174494589408306</v>
      </c>
      <c r="G129" s="2"/>
      <c r="H129" s="2">
        <v>1253099.2100000002</v>
      </c>
      <c r="I129" s="2"/>
      <c r="J129" s="21">
        <f t="shared" si="12"/>
        <v>0.28912851568965969</v>
      </c>
      <c r="K129" s="2"/>
      <c r="L129" s="2">
        <f t="shared" si="13"/>
        <v>230664.9299999997</v>
      </c>
      <c r="M129" s="2"/>
      <c r="N129" s="21">
        <f t="shared" si="14"/>
        <v>0.18407555296439751</v>
      </c>
      <c r="O129" s="11"/>
      <c r="P129" s="2">
        <v>1827758.7</v>
      </c>
      <c r="Q129" s="2"/>
      <c r="R129" s="21">
        <f t="shared" si="15"/>
        <v>0.31924762237371224</v>
      </c>
      <c r="S129" s="2"/>
      <c r="T129" s="2">
        <v>1755170.96</v>
      </c>
      <c r="U129" s="2"/>
      <c r="V129" s="21">
        <f t="shared" si="16"/>
        <v>0.2925883915412022</v>
      </c>
      <c r="W129" s="2"/>
      <c r="X129" s="2">
        <f t="shared" si="17"/>
        <v>72587.739999999991</v>
      </c>
      <c r="Y129" s="2"/>
      <c r="Z129" s="21">
        <f t="shared" si="18"/>
        <v>4.1356506946764883E-2</v>
      </c>
    </row>
    <row r="130" spans="1:26" s="24" customFormat="1" hidden="1" outlineLevel="1" x14ac:dyDescent="0.25">
      <c r="A130" s="50"/>
      <c r="B130" s="11" t="str">
        <f>CONCATENATE("          ", "5002", " - ", "PURCHASES @ COST-USED TEXT")</f>
        <v xml:space="preserve">          5002 - PURCHASES @ COST-USED TEXT</v>
      </c>
      <c r="C130" s="11"/>
      <c r="D130" s="2">
        <v>224687.41999999998</v>
      </c>
      <c r="E130" s="2"/>
      <c r="F130" s="21">
        <f t="shared" si="11"/>
        <v>5.3264978078646052E-2</v>
      </c>
      <c r="G130" s="2"/>
      <c r="H130" s="2">
        <v>234692.72</v>
      </c>
      <c r="I130" s="2"/>
      <c r="J130" s="21">
        <f t="shared" si="12"/>
        <v>5.4150826395277109E-2</v>
      </c>
      <c r="K130" s="2"/>
      <c r="L130" s="2">
        <f t="shared" si="13"/>
        <v>-10005.300000000017</v>
      </c>
      <c r="M130" s="2"/>
      <c r="N130" s="21">
        <f t="shared" si="14"/>
        <v>-4.2631488526785229E-2</v>
      </c>
      <c r="O130" s="11"/>
      <c r="P130" s="2">
        <v>334980.67</v>
      </c>
      <c r="Q130" s="2"/>
      <c r="R130" s="21">
        <f t="shared" si="15"/>
        <v>5.8509792588405198E-2</v>
      </c>
      <c r="S130" s="2"/>
      <c r="T130" s="2">
        <v>170574.41999999998</v>
      </c>
      <c r="U130" s="2"/>
      <c r="V130" s="21">
        <f t="shared" si="16"/>
        <v>2.8434891143523402E-2</v>
      </c>
      <c r="W130" s="2"/>
      <c r="X130" s="2">
        <f t="shared" si="17"/>
        <v>164406.25</v>
      </c>
      <c r="Y130" s="2"/>
      <c r="Z130" s="21">
        <f t="shared" si="18"/>
        <v>0.96383883351325494</v>
      </c>
    </row>
    <row r="131" spans="1:26" s="24" customFormat="1" hidden="1" outlineLevel="1" x14ac:dyDescent="0.25">
      <c r="A131" s="50"/>
      <c r="B131" s="11" t="str">
        <f>CONCATENATE("          ", "5003", " - ", "PURCHASES @ COST-RENTAL TEXT")</f>
        <v xml:space="preserve">          5003 - PURCHASES @ COST-RENTAL TEXT</v>
      </c>
      <c r="C131" s="11"/>
      <c r="D131" s="2">
        <v>-38374.199999999997</v>
      </c>
      <c r="E131" s="2"/>
      <c r="F131" s="21">
        <f t="shared" si="11"/>
        <v>-9.097086618314364E-3</v>
      </c>
      <c r="G131" s="2"/>
      <c r="H131" s="2">
        <v>4208</v>
      </c>
      <c r="I131" s="2"/>
      <c r="J131" s="21">
        <f t="shared" si="12"/>
        <v>9.7091497968631528E-4</v>
      </c>
      <c r="K131" s="2"/>
      <c r="L131" s="2">
        <f t="shared" si="13"/>
        <v>-42582.2</v>
      </c>
      <c r="M131" s="2"/>
      <c r="N131" s="21">
        <f t="shared" si="14"/>
        <v>-10.119344106463878</v>
      </c>
      <c r="O131" s="11"/>
      <c r="P131" s="2">
        <v>-78.400000000000006</v>
      </c>
      <c r="Q131" s="2"/>
      <c r="R131" s="21">
        <f t="shared" si="15"/>
        <v>-1.3693828180984197E-5</v>
      </c>
      <c r="S131" s="2"/>
      <c r="T131" s="2">
        <v>2444.3000000000002</v>
      </c>
      <c r="U131" s="2"/>
      <c r="V131" s="21">
        <f t="shared" si="16"/>
        <v>4.0746674924712782E-4</v>
      </c>
      <c r="W131" s="2"/>
      <c r="X131" s="2">
        <f t="shared" si="17"/>
        <v>-2522.7000000000003</v>
      </c>
      <c r="Y131" s="2"/>
      <c r="Z131" s="21">
        <f t="shared" si="18"/>
        <v>-1.0320746225913349</v>
      </c>
    </row>
    <row r="132" spans="1:26" s="24" customFormat="1" hidden="1" outlineLevel="1" x14ac:dyDescent="0.25">
      <c r="A132" s="50"/>
      <c r="B132" s="11" t="str">
        <f>CONCATENATE("          ", "5004", " - ", "PURCHASES @ COST-DIGITAL TEXT")</f>
        <v xml:space="preserve">          5004 - PURCHASES @ COST-DIGITAL TEXT</v>
      </c>
      <c r="C132" s="11"/>
      <c r="D132" s="2">
        <v>169007.92</v>
      </c>
      <c r="E132" s="2"/>
      <c r="F132" s="21">
        <f t="shared" si="11"/>
        <v>4.0065452502492424E-2</v>
      </c>
      <c r="G132" s="2"/>
      <c r="H132" s="2">
        <v>56273.21</v>
      </c>
      <c r="I132" s="2"/>
      <c r="J132" s="21">
        <f t="shared" si="12"/>
        <v>1.2983959730046044E-2</v>
      </c>
      <c r="K132" s="2"/>
      <c r="L132" s="2">
        <f t="shared" si="13"/>
        <v>112734.71000000002</v>
      </c>
      <c r="M132" s="2"/>
      <c r="N132" s="21">
        <f t="shared" si="14"/>
        <v>2.0033459971450007</v>
      </c>
      <c r="O132" s="11"/>
      <c r="P132" s="2">
        <v>302966.49000000005</v>
      </c>
      <c r="Q132" s="2"/>
      <c r="R132" s="21">
        <f t="shared" si="15"/>
        <v>5.2917998197141165E-2</v>
      </c>
      <c r="S132" s="2"/>
      <c r="T132" s="2">
        <v>202213.11</v>
      </c>
      <c r="U132" s="2"/>
      <c r="V132" s="21">
        <f t="shared" si="16"/>
        <v>3.3709085867877048E-2</v>
      </c>
      <c r="W132" s="2"/>
      <c r="X132" s="2">
        <f t="shared" si="17"/>
        <v>100753.38000000006</v>
      </c>
      <c r="Y132" s="2"/>
      <c r="Z132" s="21">
        <f t="shared" si="18"/>
        <v>0.49825345151953832</v>
      </c>
    </row>
    <row r="133" spans="1:26" s="24" customFormat="1" hidden="1" outlineLevel="1" x14ac:dyDescent="0.25">
      <c r="A133" s="50"/>
      <c r="B133" s="11" t="str">
        <f>CONCATENATE("          ", "5011", " - ", "PURCHASES @ COST-NO VALUE TEXT")</f>
        <v xml:space="preserve">          5011 - PURCHASES @ COST-NO VALUE TEXT</v>
      </c>
      <c r="C133" s="11"/>
      <c r="D133" s="2">
        <v>369</v>
      </c>
      <c r="E133" s="2"/>
      <c r="F133" s="21">
        <f t="shared" si="11"/>
        <v>8.7476089720645668E-5</v>
      </c>
      <c r="G133" s="2"/>
      <c r="H133" s="2">
        <v>516</v>
      </c>
      <c r="I133" s="2"/>
      <c r="J133" s="21">
        <f t="shared" si="12"/>
        <v>1.1905706499955767E-4</v>
      </c>
      <c r="K133" s="2"/>
      <c r="L133" s="2">
        <f t="shared" si="13"/>
        <v>-147</v>
      </c>
      <c r="M133" s="2"/>
      <c r="N133" s="21">
        <f t="shared" si="14"/>
        <v>-0.28488372093023256</v>
      </c>
      <c r="O133" s="11"/>
      <c r="P133" s="2">
        <v>657</v>
      </c>
      <c r="Q133" s="2"/>
      <c r="R133" s="21">
        <f t="shared" si="15"/>
        <v>1.147556774860538E-4</v>
      </c>
      <c r="S133" s="2"/>
      <c r="T133" s="2">
        <v>957</v>
      </c>
      <c r="U133" s="2"/>
      <c r="V133" s="21">
        <f t="shared" si="16"/>
        <v>1.5953265926011592E-4</v>
      </c>
      <c r="W133" s="2"/>
      <c r="X133" s="2">
        <f t="shared" si="17"/>
        <v>-300</v>
      </c>
      <c r="Y133" s="2"/>
      <c r="Z133" s="21">
        <f t="shared" si="18"/>
        <v>-0.31347962382445144</v>
      </c>
    </row>
    <row r="134" spans="1:26" s="24" customFormat="1" hidden="1" outlineLevel="1" x14ac:dyDescent="0.25">
      <c r="A134" s="50"/>
      <c r="B134" s="11" t="str">
        <f>CONCATENATE("          ", "5013", " - ", "PURCHASES @ COST-TRADE BOOKS")</f>
        <v xml:space="preserve">          5013 - PURCHASES @ COST-TRADE BOOKS</v>
      </c>
      <c r="C134" s="11"/>
      <c r="D134" s="2"/>
      <c r="E134" s="2"/>
      <c r="F134" s="21">
        <f t="shared" si="11"/>
        <v>0</v>
      </c>
      <c r="G134" s="2"/>
      <c r="H134" s="2">
        <v>1483.2</v>
      </c>
      <c r="I134" s="2"/>
      <c r="J134" s="21">
        <f t="shared" si="12"/>
        <v>3.4221984264989138E-4</v>
      </c>
      <c r="K134" s="2"/>
      <c r="L134" s="2">
        <f t="shared" si="13"/>
        <v>-1483.2</v>
      </c>
      <c r="M134" s="2"/>
      <c r="N134" s="21">
        <f t="shared" si="14"/>
        <v>-1</v>
      </c>
      <c r="O134" s="11"/>
      <c r="P134" s="2">
        <v>204.9</v>
      </c>
      <c r="Q134" s="2"/>
      <c r="R134" s="21">
        <f t="shared" si="15"/>
        <v>3.5789099416883443E-5</v>
      </c>
      <c r="S134" s="2"/>
      <c r="T134" s="2">
        <v>1602.99</v>
      </c>
      <c r="U134" s="2"/>
      <c r="V134" s="21">
        <f t="shared" si="16"/>
        <v>2.6721970477259479E-4</v>
      </c>
      <c r="W134" s="2"/>
      <c r="X134" s="2">
        <f t="shared" si="17"/>
        <v>-1398.09</v>
      </c>
      <c r="Y134" s="2"/>
      <c r="Z134" s="21">
        <f t="shared" si="18"/>
        <v>-0.87217637040780038</v>
      </c>
    </row>
    <row r="135" spans="1:26" s="24" customFormat="1" hidden="1" outlineLevel="1" x14ac:dyDescent="0.25">
      <c r="A135" s="50"/>
      <c r="B135" s="11" t="str">
        <f>CONCATENATE("          ", "5014", " - ", "PURCHASES @ COST-REMAINDERS")</f>
        <v xml:space="preserve">          5014 - PURCHASES @ COST-REMAINDERS</v>
      </c>
      <c r="C135" s="11"/>
      <c r="D135" s="2">
        <v>133.84</v>
      </c>
      <c r="E135" s="2"/>
      <c r="F135" s="21">
        <f t="shared" si="11"/>
        <v>3.1728454873201129E-5</v>
      </c>
      <c r="G135" s="2"/>
      <c r="H135" s="2">
        <v>-23.6</v>
      </c>
      <c r="I135" s="2"/>
      <c r="J135" s="21">
        <f t="shared" si="12"/>
        <v>-5.4452456085069012E-6</v>
      </c>
      <c r="K135" s="2"/>
      <c r="L135" s="2">
        <f t="shared" si="13"/>
        <v>157.44</v>
      </c>
      <c r="M135" s="2"/>
      <c r="N135" s="21">
        <f t="shared" si="14"/>
        <v>-6.6711864406779657</v>
      </c>
      <c r="O135" s="11"/>
      <c r="P135" s="2">
        <v>234.32</v>
      </c>
      <c r="Q135" s="2"/>
      <c r="R135" s="21">
        <f t="shared" si="15"/>
        <v>4.0927778308268071E-5</v>
      </c>
      <c r="S135" s="2"/>
      <c r="T135" s="2">
        <v>204</v>
      </c>
      <c r="U135" s="2"/>
      <c r="V135" s="21">
        <f t="shared" si="16"/>
        <v>3.4006961848551354E-5</v>
      </c>
      <c r="W135" s="2"/>
      <c r="X135" s="2">
        <f t="shared" si="17"/>
        <v>30.319999999999993</v>
      </c>
      <c r="Y135" s="2"/>
      <c r="Z135" s="21">
        <f t="shared" si="18"/>
        <v>0.14862745098039212</v>
      </c>
    </row>
    <row r="136" spans="1:26" s="24" customFormat="1" hidden="1" outlineLevel="1" x14ac:dyDescent="0.25">
      <c r="A136" s="50"/>
      <c r="B136" s="11" t="str">
        <f>CONCATENATE("          ", "5017", " - ", "PURCHASES @ COST-DORM/HOUSEWAR")</f>
        <v xml:space="preserve">          5017 - PURCHASES @ COST-DORM/HOUSEWAR</v>
      </c>
      <c r="C136" s="11"/>
      <c r="D136" s="2">
        <v>139.86000000000001</v>
      </c>
      <c r="E136" s="2"/>
      <c r="F136" s="21">
        <f t="shared" si="11"/>
        <v>3.3155571567288626E-5</v>
      </c>
      <c r="G136" s="2"/>
      <c r="H136" s="2">
        <v>959.6</v>
      </c>
      <c r="I136" s="2"/>
      <c r="J136" s="21">
        <f t="shared" si="12"/>
        <v>2.2140922397979757E-4</v>
      </c>
      <c r="K136" s="2"/>
      <c r="L136" s="2">
        <f t="shared" si="13"/>
        <v>-819.74</v>
      </c>
      <c r="M136" s="2"/>
      <c r="N136" s="21">
        <f t="shared" si="14"/>
        <v>-0.85425177157148813</v>
      </c>
      <c r="O136" s="11"/>
      <c r="P136" s="2">
        <v>139.86000000000001</v>
      </c>
      <c r="Q136" s="2"/>
      <c r="R136" s="21">
        <f t="shared" si="15"/>
        <v>2.4428811344291452E-5</v>
      </c>
      <c r="S136" s="2"/>
      <c r="T136" s="2">
        <v>959.6</v>
      </c>
      <c r="U136" s="2"/>
      <c r="V136" s="21">
        <f t="shared" si="16"/>
        <v>1.5996608132289156E-4</v>
      </c>
      <c r="W136" s="2"/>
      <c r="X136" s="2">
        <f t="shared" si="17"/>
        <v>-819.74</v>
      </c>
      <c r="Y136" s="2"/>
      <c r="Z136" s="21">
        <f t="shared" si="18"/>
        <v>-0.85425177157148813</v>
      </c>
    </row>
    <row r="137" spans="1:26" s="24" customFormat="1" hidden="1" outlineLevel="1" x14ac:dyDescent="0.25">
      <c r="A137" s="50"/>
      <c r="B137" s="11" t="str">
        <f>CONCATENATE("          ", "5018", " - ", "PURCHASES @ COST-STUDY GUIDES")</f>
        <v xml:space="preserve">          5018 - PURCHASES @ COST-STUDY GUIDES</v>
      </c>
      <c r="C137" s="11"/>
      <c r="D137" s="2"/>
      <c r="E137" s="2"/>
      <c r="F137" s="21">
        <f t="shared" si="11"/>
        <v>0</v>
      </c>
      <c r="G137" s="2"/>
      <c r="H137" s="2">
        <v>449</v>
      </c>
      <c r="I137" s="2"/>
      <c r="J137" s="21">
        <f t="shared" si="12"/>
        <v>1.0359810500930502E-4</v>
      </c>
      <c r="K137" s="2"/>
      <c r="L137" s="2">
        <f t="shared" si="13"/>
        <v>-449</v>
      </c>
      <c r="M137" s="2"/>
      <c r="N137" s="21">
        <f t="shared" si="14"/>
        <v>-1</v>
      </c>
      <c r="O137" s="11"/>
      <c r="P137" s="2">
        <v>503.93</v>
      </c>
      <c r="Q137" s="2"/>
      <c r="R137" s="21">
        <f t="shared" si="15"/>
        <v>8.8019525959736822E-5</v>
      </c>
      <c r="S137" s="2"/>
      <c r="T137" s="2">
        <v>818.63</v>
      </c>
      <c r="U137" s="2"/>
      <c r="V137" s="21">
        <f t="shared" si="16"/>
        <v>1.3646627048078232E-4</v>
      </c>
      <c r="W137" s="2"/>
      <c r="X137" s="2">
        <f t="shared" si="17"/>
        <v>-314.7</v>
      </c>
      <c r="Y137" s="2"/>
      <c r="Z137" s="21">
        <f t="shared" si="18"/>
        <v>-0.38442275509082247</v>
      </c>
    </row>
    <row r="138" spans="1:26" s="24" customFormat="1" hidden="1" outlineLevel="1" x14ac:dyDescent="0.25">
      <c r="A138" s="50"/>
      <c r="B138" s="11" t="str">
        <f>CONCATENATE("          ", "5025", " - ", "PURCHASES @ COST-TEST FORMS")</f>
        <v xml:space="preserve">          5025 - PURCHASES @ COST-TEST FORMS</v>
      </c>
      <c r="C138" s="11"/>
      <c r="D138" s="2">
        <v>878.02</v>
      </c>
      <c r="E138" s="2"/>
      <c r="F138" s="21">
        <f t="shared" si="11"/>
        <v>2.0814568102038293E-4</v>
      </c>
      <c r="G138" s="2"/>
      <c r="H138" s="2"/>
      <c r="I138" s="2"/>
      <c r="J138" s="21">
        <f t="shared" si="12"/>
        <v>0</v>
      </c>
      <c r="K138" s="2"/>
      <c r="L138" s="2">
        <f t="shared" si="13"/>
        <v>878.02</v>
      </c>
      <c r="M138" s="2"/>
      <c r="N138" s="21">
        <f t="shared" si="14"/>
        <v>0</v>
      </c>
      <c r="O138" s="11"/>
      <c r="P138" s="2">
        <v>1757.14</v>
      </c>
      <c r="Q138" s="2"/>
      <c r="R138" s="21">
        <f t="shared" si="15"/>
        <v>3.069129241063083E-4</v>
      </c>
      <c r="S138" s="2"/>
      <c r="T138" s="2">
        <v>1050</v>
      </c>
      <c r="U138" s="2"/>
      <c r="V138" s="21">
        <f t="shared" si="16"/>
        <v>1.7503583304401431E-4</v>
      </c>
      <c r="W138" s="2"/>
      <c r="X138" s="2">
        <f t="shared" si="17"/>
        <v>707.1400000000001</v>
      </c>
      <c r="Y138" s="2"/>
      <c r="Z138" s="21">
        <f t="shared" si="18"/>
        <v>0.67346666666666677</v>
      </c>
    </row>
    <row r="139" spans="1:26" s="24" customFormat="1" hidden="1" outlineLevel="1" x14ac:dyDescent="0.25">
      <c r="A139" s="50"/>
      <c r="B139" s="11" t="str">
        <f>CONCATENATE("          ", "5026", " - ", "PURCHASES @ COST-WRITING INSTR")</f>
        <v xml:space="preserve">          5026 - PURCHASES @ COST-WRITING INSTR</v>
      </c>
      <c r="C139" s="11"/>
      <c r="D139" s="2">
        <v>2205.4899999999998</v>
      </c>
      <c r="E139" s="2"/>
      <c r="F139" s="21">
        <f t="shared" si="11"/>
        <v>5.228391358211024E-4</v>
      </c>
      <c r="G139" s="2"/>
      <c r="H139" s="2">
        <v>-16593.27</v>
      </c>
      <c r="I139" s="2"/>
      <c r="J139" s="21">
        <f t="shared" si="12"/>
        <v>-3.8285775677232761E-3</v>
      </c>
      <c r="K139" s="2"/>
      <c r="L139" s="2">
        <f t="shared" si="13"/>
        <v>18798.760000000002</v>
      </c>
      <c r="M139" s="2"/>
      <c r="N139" s="21">
        <f t="shared" si="14"/>
        <v>-1.1329147298874787</v>
      </c>
      <c r="O139" s="11"/>
      <c r="P139" s="2">
        <v>12536.53</v>
      </c>
      <c r="Q139" s="2"/>
      <c r="R139" s="21">
        <f t="shared" si="15"/>
        <v>2.1897077526244111E-3</v>
      </c>
      <c r="S139" s="2"/>
      <c r="T139" s="2">
        <v>4596.82</v>
      </c>
      <c r="U139" s="2"/>
      <c r="V139" s="21">
        <f t="shared" si="16"/>
        <v>7.6629354100322456E-4</v>
      </c>
      <c r="W139" s="2"/>
      <c r="X139" s="2">
        <f t="shared" si="17"/>
        <v>7939.7100000000009</v>
      </c>
      <c r="Y139" s="2"/>
      <c r="Z139" s="21">
        <f t="shared" si="18"/>
        <v>1.7272179463194124</v>
      </c>
    </row>
    <row r="140" spans="1:26" s="24" customFormat="1" hidden="1" outlineLevel="1" x14ac:dyDescent="0.25">
      <c r="A140" s="50"/>
      <c r="B140" s="11" t="str">
        <f>CONCATENATE("          ", "5027", " - ", "PURCHASES @ COST-SCHOOL SUPPLI")</f>
        <v xml:space="preserve">          5027 - PURCHASES @ COST-SCHOOL SUPPLI</v>
      </c>
      <c r="C140" s="11"/>
      <c r="D140" s="2">
        <v>-588.74</v>
      </c>
      <c r="E140" s="2"/>
      <c r="F140" s="21">
        <f t="shared" si="11"/>
        <v>-1.3956821968057705E-4</v>
      </c>
      <c r="G140" s="2"/>
      <c r="H140" s="2">
        <v>-11423.61</v>
      </c>
      <c r="I140" s="2"/>
      <c r="J140" s="21">
        <f t="shared" si="12"/>
        <v>-2.6357780587201495E-3</v>
      </c>
      <c r="K140" s="2"/>
      <c r="L140" s="2">
        <f t="shared" si="13"/>
        <v>10834.87</v>
      </c>
      <c r="M140" s="2"/>
      <c r="N140" s="21">
        <f t="shared" si="14"/>
        <v>-0.94846287644623728</v>
      </c>
      <c r="O140" s="11"/>
      <c r="P140" s="2">
        <v>49526.729999999996</v>
      </c>
      <c r="Q140" s="2"/>
      <c r="R140" s="21">
        <f t="shared" si="15"/>
        <v>8.6506445278825943E-3</v>
      </c>
      <c r="S140" s="2"/>
      <c r="T140" s="2">
        <v>43670.19</v>
      </c>
      <c r="U140" s="2"/>
      <c r="V140" s="21">
        <f t="shared" si="16"/>
        <v>7.2798553198479849E-3</v>
      </c>
      <c r="W140" s="2"/>
      <c r="X140" s="2">
        <f t="shared" si="17"/>
        <v>5856.5399999999936</v>
      </c>
      <c r="Y140" s="2"/>
      <c r="Z140" s="21">
        <f t="shared" si="18"/>
        <v>0.13410841583240177</v>
      </c>
    </row>
    <row r="141" spans="1:26" s="24" customFormat="1" hidden="1" outlineLevel="1" x14ac:dyDescent="0.25">
      <c r="A141" s="50"/>
      <c r="B141" s="11" t="str">
        <f>CONCATENATE("          ", "5028", " - ", "PURCHASES @ COST-ART/TECH")</f>
        <v xml:space="preserve">          5028 - PURCHASES @ COST-ART/TECH</v>
      </c>
      <c r="C141" s="11"/>
      <c r="D141" s="2">
        <v>27987.119999999999</v>
      </c>
      <c r="E141" s="2"/>
      <c r="F141" s="21">
        <f t="shared" si="11"/>
        <v>6.6346986995731074E-3</v>
      </c>
      <c r="G141" s="2"/>
      <c r="H141" s="2">
        <v>11572.23</v>
      </c>
      <c r="I141" s="2"/>
      <c r="J141" s="21">
        <f t="shared" si="12"/>
        <v>2.6700692622089752E-3</v>
      </c>
      <c r="K141" s="2"/>
      <c r="L141" s="2">
        <f t="shared" si="13"/>
        <v>16414.89</v>
      </c>
      <c r="M141" s="2"/>
      <c r="N141" s="21">
        <f t="shared" si="14"/>
        <v>1.4184724983862229</v>
      </c>
      <c r="O141" s="11"/>
      <c r="P141" s="2">
        <v>56014.77</v>
      </c>
      <c r="Q141" s="2"/>
      <c r="R141" s="21">
        <f t="shared" si="15"/>
        <v>9.7838856629763795E-3</v>
      </c>
      <c r="S141" s="2"/>
      <c r="T141" s="2">
        <v>37596.310000000005</v>
      </c>
      <c r="U141" s="2"/>
      <c r="V141" s="21">
        <f t="shared" si="16"/>
        <v>6.2673347049819108E-3</v>
      </c>
      <c r="W141" s="2"/>
      <c r="X141" s="2">
        <f t="shared" si="17"/>
        <v>18418.459999999992</v>
      </c>
      <c r="Y141" s="2"/>
      <c r="Z141" s="21">
        <f t="shared" si="18"/>
        <v>0.48990073759898217</v>
      </c>
    </row>
    <row r="142" spans="1:26" s="24" customFormat="1" hidden="1" outlineLevel="1" x14ac:dyDescent="0.25">
      <c r="A142" s="50"/>
      <c r="B142" s="11" t="str">
        <f>CONCATENATE("          ", "5031", " - ", "PURCHASES @ COST-FOOD")</f>
        <v xml:space="preserve">          5031 - PURCHASES @ COST-FOOD</v>
      </c>
      <c r="C142" s="11"/>
      <c r="D142" s="2">
        <v>2679.04</v>
      </c>
      <c r="E142" s="2"/>
      <c r="F142" s="21">
        <f t="shared" si="11"/>
        <v>6.3510011762926439E-4</v>
      </c>
      <c r="G142" s="2"/>
      <c r="H142" s="2">
        <v>2874.01</v>
      </c>
      <c r="I142" s="2"/>
      <c r="J142" s="21">
        <f t="shared" si="12"/>
        <v>6.6312247166546269E-4</v>
      </c>
      <c r="K142" s="2"/>
      <c r="L142" s="2">
        <f t="shared" si="13"/>
        <v>-194.97000000000025</v>
      </c>
      <c r="M142" s="2"/>
      <c r="N142" s="21">
        <f t="shared" si="14"/>
        <v>-6.7839012390353629E-2</v>
      </c>
      <c r="O142" s="11"/>
      <c r="P142" s="2">
        <v>2679.04</v>
      </c>
      <c r="Q142" s="2"/>
      <c r="R142" s="21">
        <f t="shared" si="15"/>
        <v>4.6793767155591713E-4</v>
      </c>
      <c r="S142" s="2"/>
      <c r="T142" s="2">
        <v>2963.17</v>
      </c>
      <c r="U142" s="2"/>
      <c r="V142" s="21">
        <f t="shared" si="16"/>
        <v>4.9396278990574468E-4</v>
      </c>
      <c r="W142" s="2"/>
      <c r="X142" s="2">
        <f t="shared" si="17"/>
        <v>-284.13000000000011</v>
      </c>
      <c r="Y142" s="2"/>
      <c r="Z142" s="21">
        <f t="shared" si="18"/>
        <v>-9.5887174883655044E-2</v>
      </c>
    </row>
    <row r="143" spans="1:26" s="24" customFormat="1" hidden="1" outlineLevel="1" x14ac:dyDescent="0.25">
      <c r="A143" s="50"/>
      <c r="B143" s="11" t="str">
        <f>CONCATENATE("          ", "5032", " - ", "PURCHASES @ COST-JUICE")</f>
        <v xml:space="preserve">          5032 - PURCHASES @ COST-JUICE</v>
      </c>
      <c r="C143" s="11"/>
      <c r="D143" s="2">
        <v>227.18</v>
      </c>
      <c r="E143" s="2"/>
      <c r="F143" s="21">
        <f t="shared" si="11"/>
        <v>5.3855875508770413E-5</v>
      </c>
      <c r="G143" s="2"/>
      <c r="H143" s="2">
        <v>982.09</v>
      </c>
      <c r="I143" s="2"/>
      <c r="J143" s="21">
        <f t="shared" si="12"/>
        <v>2.2659835846010774E-4</v>
      </c>
      <c r="K143" s="2"/>
      <c r="L143" s="2">
        <f t="shared" si="13"/>
        <v>-754.91000000000008</v>
      </c>
      <c r="M143" s="2"/>
      <c r="N143" s="21">
        <f t="shared" si="14"/>
        <v>-0.76867700516245974</v>
      </c>
      <c r="O143" s="11"/>
      <c r="P143" s="2">
        <v>341.6</v>
      </c>
      <c r="Q143" s="2"/>
      <c r="R143" s="21">
        <f t="shared" si="15"/>
        <v>5.9665965645716863E-5</v>
      </c>
      <c r="S143" s="2"/>
      <c r="T143" s="2">
        <v>982.09</v>
      </c>
      <c r="U143" s="2"/>
      <c r="V143" s="21">
        <f t="shared" si="16"/>
        <v>1.6371518216590098E-4</v>
      </c>
      <c r="W143" s="2"/>
      <c r="X143" s="2">
        <f t="shared" si="17"/>
        <v>-640.49</v>
      </c>
      <c r="Y143" s="2"/>
      <c r="Z143" s="21">
        <f t="shared" si="18"/>
        <v>-0.65217037135089451</v>
      </c>
    </row>
    <row r="144" spans="1:26" s="24" customFormat="1" hidden="1" outlineLevel="1" x14ac:dyDescent="0.25">
      <c r="A144" s="50"/>
      <c r="B144" s="11" t="str">
        <f>CONCATENATE("          ", "5033", " - ", "PURCHASES @ COST-CANDY")</f>
        <v xml:space="preserve">          5033 - PURCHASES @ COST-CANDY</v>
      </c>
      <c r="C144" s="11"/>
      <c r="D144" s="2">
        <v>986.46</v>
      </c>
      <c r="E144" s="2"/>
      <c r="F144" s="21">
        <f t="shared" si="11"/>
        <v>2.3385274651985941E-4</v>
      </c>
      <c r="G144" s="2"/>
      <c r="H144" s="2">
        <v>926.93</v>
      </c>
      <c r="I144" s="2"/>
      <c r="J144" s="21">
        <f t="shared" si="12"/>
        <v>2.1387125050395346E-4</v>
      </c>
      <c r="K144" s="2"/>
      <c r="L144" s="2">
        <f t="shared" si="13"/>
        <v>59.530000000000086</v>
      </c>
      <c r="M144" s="2"/>
      <c r="N144" s="21">
        <f t="shared" si="14"/>
        <v>6.4222756842480105E-2</v>
      </c>
      <c r="O144" s="11"/>
      <c r="P144" s="2">
        <v>986.46</v>
      </c>
      <c r="Q144" s="2"/>
      <c r="R144" s="21">
        <f t="shared" si="15"/>
        <v>1.7230119575782743E-4</v>
      </c>
      <c r="S144" s="2"/>
      <c r="T144" s="2">
        <v>1089.92</v>
      </c>
      <c r="U144" s="2"/>
      <c r="V144" s="21">
        <f t="shared" si="16"/>
        <v>1.8169052871555439E-4</v>
      </c>
      <c r="W144" s="2"/>
      <c r="X144" s="2">
        <f t="shared" si="17"/>
        <v>-103.46000000000004</v>
      </c>
      <c r="Y144" s="2"/>
      <c r="Z144" s="21">
        <f t="shared" si="18"/>
        <v>-9.4924398120963038E-2</v>
      </c>
    </row>
    <row r="145" spans="1:26" s="24" customFormat="1" hidden="1" outlineLevel="1" x14ac:dyDescent="0.25">
      <c r="A145" s="50"/>
      <c r="B145" s="11" t="str">
        <f>CONCATENATE("          ", "5034", " - ", "PURCHASES @ COST-SODA")</f>
        <v xml:space="preserve">          5034 - PURCHASES @ COST-SODA</v>
      </c>
      <c r="C145" s="11"/>
      <c r="D145" s="2">
        <v>350.04</v>
      </c>
      <c r="E145" s="2"/>
      <c r="F145" s="21">
        <f t="shared" si="11"/>
        <v>8.298138332199136E-5</v>
      </c>
      <c r="G145" s="2"/>
      <c r="H145" s="2">
        <v>538.94000000000005</v>
      </c>
      <c r="I145" s="2"/>
      <c r="J145" s="21">
        <f t="shared" si="12"/>
        <v>1.243500283156233E-4</v>
      </c>
      <c r="K145" s="2"/>
      <c r="L145" s="2">
        <f t="shared" si="13"/>
        <v>-188.90000000000003</v>
      </c>
      <c r="M145" s="2"/>
      <c r="N145" s="21">
        <f t="shared" si="14"/>
        <v>-0.3505028389060007</v>
      </c>
      <c r="O145" s="11"/>
      <c r="P145" s="2">
        <v>288.5</v>
      </c>
      <c r="Q145" s="2"/>
      <c r="R145" s="21">
        <f t="shared" si="15"/>
        <v>5.0391191711912512E-5</v>
      </c>
      <c r="S145" s="2"/>
      <c r="T145" s="2">
        <v>538.94000000000005</v>
      </c>
      <c r="U145" s="2"/>
      <c r="V145" s="21">
        <f t="shared" si="16"/>
        <v>8.9841725581658175E-5</v>
      </c>
      <c r="W145" s="2"/>
      <c r="X145" s="2">
        <f t="shared" si="17"/>
        <v>-250.44000000000005</v>
      </c>
      <c r="Y145" s="2"/>
      <c r="Z145" s="21">
        <f t="shared" si="18"/>
        <v>-0.4646899469328683</v>
      </c>
    </row>
    <row r="146" spans="1:26" s="24" customFormat="1" hidden="1" outlineLevel="1" x14ac:dyDescent="0.25">
      <c r="A146" s="50"/>
      <c r="B146" s="11" t="str">
        <f>CONCATENATE("          ", "5035", " - ", "PURCHASES @ COST-HEALTH &amp; BEAU")</f>
        <v xml:space="preserve">          5035 - PURCHASES @ COST-HEALTH &amp; BEAU</v>
      </c>
      <c r="C146" s="11"/>
      <c r="D146" s="2">
        <v>76.73</v>
      </c>
      <c r="E146" s="2"/>
      <c r="F146" s="21">
        <f t="shared" si="11"/>
        <v>1.8189811285271386E-5</v>
      </c>
      <c r="G146" s="2"/>
      <c r="H146" s="2">
        <v>44.49</v>
      </c>
      <c r="I146" s="2"/>
      <c r="J146" s="21">
        <f t="shared" si="12"/>
        <v>1.0265210895020002E-5</v>
      </c>
      <c r="K146" s="2"/>
      <c r="L146" s="2">
        <f t="shared" si="13"/>
        <v>32.24</v>
      </c>
      <c r="M146" s="2"/>
      <c r="N146" s="21">
        <f t="shared" si="14"/>
        <v>0.72465722634299845</v>
      </c>
      <c r="O146" s="11"/>
      <c r="P146" s="2">
        <v>76.73</v>
      </c>
      <c r="Q146" s="2"/>
      <c r="R146" s="21">
        <f t="shared" si="15"/>
        <v>1.3402135667435172E-5</v>
      </c>
      <c r="S146" s="2"/>
      <c r="T146" s="2">
        <v>44.49</v>
      </c>
      <c r="U146" s="2"/>
      <c r="V146" s="21">
        <f t="shared" si="16"/>
        <v>7.41651829726495E-6</v>
      </c>
      <c r="W146" s="2"/>
      <c r="X146" s="2">
        <f t="shared" si="17"/>
        <v>32.24</v>
      </c>
      <c r="Y146" s="2"/>
      <c r="Z146" s="21">
        <f t="shared" si="18"/>
        <v>0.72465722634299845</v>
      </c>
    </row>
    <row r="147" spans="1:26" s="24" customFormat="1" hidden="1" outlineLevel="1" x14ac:dyDescent="0.25">
      <c r="A147" s="50"/>
      <c r="B147" s="11" t="str">
        <f>CONCATENATE("          ", "5037", " - ", "PURCHASES @ COST-WATER")</f>
        <v xml:space="preserve">          5037 - PURCHASES @ COST-WATER</v>
      </c>
      <c r="C147" s="11"/>
      <c r="D147" s="2">
        <v>462.36</v>
      </c>
      <c r="E147" s="2"/>
      <c r="F147" s="21">
        <f t="shared" si="11"/>
        <v>1.0960825160769033E-4</v>
      </c>
      <c r="G147" s="2"/>
      <c r="H147" s="2">
        <v>591.05999999999995</v>
      </c>
      <c r="I147" s="2"/>
      <c r="J147" s="21">
        <f t="shared" si="12"/>
        <v>1.363757148035631E-4</v>
      </c>
      <c r="K147" s="2"/>
      <c r="L147" s="2">
        <f t="shared" si="13"/>
        <v>-128.69999999999993</v>
      </c>
      <c r="M147" s="2"/>
      <c r="N147" s="21">
        <f t="shared" si="14"/>
        <v>-0.21774439143234181</v>
      </c>
      <c r="O147" s="11"/>
      <c r="P147" s="2">
        <v>495.94</v>
      </c>
      <c r="Q147" s="2"/>
      <c r="R147" s="21">
        <f t="shared" si="15"/>
        <v>8.6623943215271716E-5</v>
      </c>
      <c r="S147" s="2"/>
      <c r="T147" s="2">
        <v>591.05999999999995</v>
      </c>
      <c r="U147" s="2"/>
      <c r="V147" s="21">
        <f t="shared" si="16"/>
        <v>9.8530170932376279E-5</v>
      </c>
      <c r="W147" s="2"/>
      <c r="X147" s="2">
        <f t="shared" si="17"/>
        <v>-95.119999999999948</v>
      </c>
      <c r="Y147" s="2"/>
      <c r="Z147" s="21">
        <f t="shared" si="18"/>
        <v>-0.16093120833756294</v>
      </c>
    </row>
    <row r="148" spans="1:26" s="24" customFormat="1" hidden="1" outlineLevel="1" x14ac:dyDescent="0.25">
      <c r="A148" s="50"/>
      <c r="B148" s="11" t="str">
        <f>CONCATENATE("          ", "5040", " - ", "PURCHASES @ COST-LOGO CLOTHING")</f>
        <v xml:space="preserve">          5040 - PURCHASES @ COST-LOGO CLOTHING</v>
      </c>
      <c r="C148" s="11"/>
      <c r="D148" s="2">
        <v>106647.4</v>
      </c>
      <c r="E148" s="2"/>
      <c r="F148" s="21">
        <f t="shared" si="11"/>
        <v>2.5282107129738714E-2</v>
      </c>
      <c r="G148" s="2"/>
      <c r="H148" s="2">
        <v>88746.85</v>
      </c>
      <c r="I148" s="2"/>
      <c r="J148" s="21">
        <f t="shared" si="12"/>
        <v>2.0476626916581385E-2</v>
      </c>
      <c r="K148" s="2"/>
      <c r="L148" s="2">
        <f t="shared" si="13"/>
        <v>17900.549999999988</v>
      </c>
      <c r="M148" s="2"/>
      <c r="N148" s="21">
        <f t="shared" si="14"/>
        <v>0.20170349708186811</v>
      </c>
      <c r="O148" s="11"/>
      <c r="P148" s="2">
        <v>185568.97</v>
      </c>
      <c r="Q148" s="2"/>
      <c r="R148" s="21">
        <f t="shared" si="15"/>
        <v>3.2412622332936361E-2</v>
      </c>
      <c r="S148" s="2"/>
      <c r="T148" s="2">
        <v>168247.22</v>
      </c>
      <c r="U148" s="2"/>
      <c r="V148" s="21">
        <f t="shared" si="16"/>
        <v>2.8046945057180521E-2</v>
      </c>
      <c r="W148" s="2"/>
      <c r="X148" s="2">
        <f t="shared" si="17"/>
        <v>17321.75</v>
      </c>
      <c r="Y148" s="2"/>
      <c r="Z148" s="21">
        <f t="shared" si="18"/>
        <v>0.10295415282344636</v>
      </c>
    </row>
    <row r="149" spans="1:26" s="24" customFormat="1" hidden="1" outlineLevel="1" x14ac:dyDescent="0.25">
      <c r="A149" s="50"/>
      <c r="B149" s="11" t="str">
        <f>CONCATENATE("          ", "5041", " - ", "PURCHASES @ COST-LOGO GIFTS")</f>
        <v xml:space="preserve">          5041 - PURCHASES @ COST-LOGO GIFTS</v>
      </c>
      <c r="C149" s="11"/>
      <c r="D149" s="2">
        <v>16578.89</v>
      </c>
      <c r="E149" s="2"/>
      <c r="F149" s="21">
        <f t="shared" si="11"/>
        <v>3.9302343336279546E-3</v>
      </c>
      <c r="G149" s="2"/>
      <c r="H149" s="2">
        <v>18758.96</v>
      </c>
      <c r="I149" s="2"/>
      <c r="J149" s="21">
        <f t="shared" si="12"/>
        <v>4.3282688372947714E-3</v>
      </c>
      <c r="K149" s="2"/>
      <c r="L149" s="2">
        <f t="shared" si="13"/>
        <v>-2180.0699999999997</v>
      </c>
      <c r="M149" s="2"/>
      <c r="N149" s="21">
        <f t="shared" si="14"/>
        <v>-0.11621486478994571</v>
      </c>
      <c r="O149" s="11"/>
      <c r="P149" s="2">
        <v>28529.16</v>
      </c>
      <c r="Q149" s="2"/>
      <c r="R149" s="21">
        <f t="shared" si="15"/>
        <v>4.9830792753546823E-3</v>
      </c>
      <c r="S149" s="2"/>
      <c r="T149" s="2">
        <v>40854.899999999994</v>
      </c>
      <c r="U149" s="2"/>
      <c r="V149" s="21">
        <f t="shared" si="16"/>
        <v>6.8105442432665709E-3</v>
      </c>
      <c r="W149" s="2"/>
      <c r="X149" s="2">
        <f t="shared" si="17"/>
        <v>-12325.739999999994</v>
      </c>
      <c r="Y149" s="2"/>
      <c r="Z149" s="21">
        <f t="shared" si="18"/>
        <v>-0.30169551265576455</v>
      </c>
    </row>
    <row r="150" spans="1:26" s="24" customFormat="1" hidden="1" outlineLevel="1" x14ac:dyDescent="0.25">
      <c r="A150" s="50"/>
      <c r="B150" s="11" t="str">
        <f>CONCATENATE("          ", "5042", " - ", "PURCHASES @ COST-EVERYDAY GIFT")</f>
        <v xml:space="preserve">          5042 - PURCHASES @ COST-EVERYDAY GIFT</v>
      </c>
      <c r="C150" s="11"/>
      <c r="D150" s="2">
        <v>15979.86</v>
      </c>
      <c r="E150" s="2"/>
      <c r="F150" s="21">
        <f t="shared" si="11"/>
        <v>3.7882267400632975E-3</v>
      </c>
      <c r="G150" s="2"/>
      <c r="H150" s="2">
        <v>18833.41</v>
      </c>
      <c r="I150" s="2"/>
      <c r="J150" s="21">
        <f t="shared" si="12"/>
        <v>4.3454467413436421E-3</v>
      </c>
      <c r="K150" s="2"/>
      <c r="L150" s="2">
        <f t="shared" si="13"/>
        <v>-2853.5499999999993</v>
      </c>
      <c r="M150" s="2"/>
      <c r="N150" s="21">
        <f t="shared" si="14"/>
        <v>-0.15151531241554234</v>
      </c>
      <c r="O150" s="11"/>
      <c r="P150" s="2">
        <v>23732.22</v>
      </c>
      <c r="Q150" s="2"/>
      <c r="R150" s="21">
        <f t="shared" si="15"/>
        <v>4.145216110118837E-3</v>
      </c>
      <c r="S150" s="2"/>
      <c r="T150" s="2">
        <v>23533.83</v>
      </c>
      <c r="U150" s="2"/>
      <c r="V150" s="21">
        <f t="shared" si="16"/>
        <v>3.9231081321583006E-3</v>
      </c>
      <c r="W150" s="2"/>
      <c r="X150" s="2">
        <f t="shared" si="17"/>
        <v>198.38999999999942</v>
      </c>
      <c r="Y150" s="2"/>
      <c r="Z150" s="21">
        <f t="shared" si="18"/>
        <v>8.429992058241239E-3</v>
      </c>
    </row>
    <row r="151" spans="1:26" s="24" customFormat="1" hidden="1" outlineLevel="1" x14ac:dyDescent="0.25">
      <c r="A151" s="50"/>
      <c r="B151" s="11" t="str">
        <f>CONCATENATE("          ", "5043", " - ", "PURCHASES @ COST-CARDS")</f>
        <v xml:space="preserve">          5043 - PURCHASES @ COST-CARDS</v>
      </c>
      <c r="C151" s="11"/>
      <c r="D151" s="2">
        <v>15.24</v>
      </c>
      <c r="E151" s="2"/>
      <c r="F151" s="21">
        <f t="shared" si="11"/>
        <v>3.6128336242347966E-6</v>
      </c>
      <c r="G151" s="2"/>
      <c r="H151" s="2">
        <v>-6.92</v>
      </c>
      <c r="I151" s="2"/>
      <c r="J151" s="21">
        <f t="shared" si="12"/>
        <v>-1.5966567631723626E-6</v>
      </c>
      <c r="K151" s="2"/>
      <c r="L151" s="2">
        <f t="shared" si="13"/>
        <v>22.16</v>
      </c>
      <c r="M151" s="2"/>
      <c r="N151" s="21">
        <f t="shared" si="14"/>
        <v>-3.2023121387283235</v>
      </c>
      <c r="O151" s="11"/>
      <c r="P151" s="2">
        <v>513.5</v>
      </c>
      <c r="Q151" s="2"/>
      <c r="R151" s="21">
        <f t="shared" si="15"/>
        <v>8.9691081261930933E-5</v>
      </c>
      <c r="S151" s="2"/>
      <c r="T151" s="2">
        <v>463.81</v>
      </c>
      <c r="U151" s="2"/>
      <c r="V151" s="21">
        <f t="shared" si="16"/>
        <v>7.7317494975375511E-5</v>
      </c>
      <c r="W151" s="2"/>
      <c r="X151" s="2">
        <f t="shared" si="17"/>
        <v>49.69</v>
      </c>
      <c r="Y151" s="2"/>
      <c r="Z151" s="21">
        <f t="shared" si="18"/>
        <v>0.10713438692568077</v>
      </c>
    </row>
    <row r="152" spans="1:26" s="24" customFormat="1" hidden="1" outlineLevel="1" x14ac:dyDescent="0.25">
      <c r="A152" s="50"/>
      <c r="B152" s="11" t="str">
        <f>CONCATENATE("          ", "5044", " - ", "PURCHASES @ COST-ACCESSORIES")</f>
        <v xml:space="preserve">          5044 - PURCHASES @ COST-ACCESSORIES</v>
      </c>
      <c r="C152" s="11"/>
      <c r="D152" s="2">
        <v>13249.12</v>
      </c>
      <c r="E152" s="2"/>
      <c r="F152" s="21">
        <f t="shared" si="11"/>
        <v>3.1408704873701924E-3</v>
      </c>
      <c r="G152" s="2"/>
      <c r="H152" s="2">
        <v>2132.59</v>
      </c>
      <c r="I152" s="2"/>
      <c r="J152" s="21">
        <f t="shared" si="12"/>
        <v>4.9205408187481922E-4</v>
      </c>
      <c r="K152" s="2"/>
      <c r="L152" s="2">
        <f t="shared" si="13"/>
        <v>11116.53</v>
      </c>
      <c r="M152" s="2"/>
      <c r="N152" s="21">
        <f t="shared" si="14"/>
        <v>5.212689734079218</v>
      </c>
      <c r="O152" s="11"/>
      <c r="P152" s="2">
        <v>18088.12</v>
      </c>
      <c r="Q152" s="2"/>
      <c r="R152" s="21">
        <f t="shared" si="15"/>
        <v>3.1593827474110186E-3</v>
      </c>
      <c r="S152" s="2"/>
      <c r="T152" s="2">
        <v>8195.59</v>
      </c>
      <c r="U152" s="2"/>
      <c r="V152" s="21">
        <f t="shared" si="16"/>
        <v>1.3662113551782794E-3</v>
      </c>
      <c r="W152" s="2"/>
      <c r="X152" s="2">
        <f t="shared" si="17"/>
        <v>9892.5299999999988</v>
      </c>
      <c r="Y152" s="2"/>
      <c r="Z152" s="21">
        <f t="shared" si="18"/>
        <v>1.2070552577666769</v>
      </c>
    </row>
    <row r="153" spans="1:26" s="24" customFormat="1" hidden="1" outlineLevel="1" x14ac:dyDescent="0.25">
      <c r="A153" s="50"/>
      <c r="B153" s="11" t="str">
        <f>CONCATENATE("          ", "5045", " - ", "PURCHASES @ COST-SPECIAL ORDER")</f>
        <v xml:space="preserve">          5045 - PURCHASES @ COST-SPECIAL ORDER</v>
      </c>
      <c r="C153" s="11"/>
      <c r="D153" s="2">
        <v>4152.78</v>
      </c>
      <c r="E153" s="2"/>
      <c r="F153" s="21">
        <f t="shared" si="11"/>
        <v>9.8446871509512966E-4</v>
      </c>
      <c r="G153" s="2"/>
      <c r="H153" s="2">
        <v>11385.67</v>
      </c>
      <c r="I153" s="2"/>
      <c r="J153" s="21">
        <f t="shared" si="12"/>
        <v>2.6270241342122359E-3</v>
      </c>
      <c r="K153" s="2"/>
      <c r="L153" s="2">
        <f t="shared" si="13"/>
        <v>-7232.89</v>
      </c>
      <c r="M153" s="2"/>
      <c r="N153" s="21">
        <f t="shared" si="14"/>
        <v>-0.6352625712847817</v>
      </c>
      <c r="O153" s="11"/>
      <c r="P153" s="2">
        <v>20145.63</v>
      </c>
      <c r="Q153" s="2"/>
      <c r="R153" s="21">
        <f t="shared" si="15"/>
        <v>3.5187601507357231E-3</v>
      </c>
      <c r="S153" s="2"/>
      <c r="T153" s="2">
        <v>30009.980000000003</v>
      </c>
      <c r="U153" s="2"/>
      <c r="V153" s="21">
        <f t="shared" si="16"/>
        <v>5.0026874751754376E-3</v>
      </c>
      <c r="W153" s="2"/>
      <c r="X153" s="2">
        <f t="shared" si="17"/>
        <v>-9864.3500000000022</v>
      </c>
      <c r="Y153" s="2"/>
      <c r="Z153" s="21">
        <f t="shared" si="18"/>
        <v>-0.32870231836209157</v>
      </c>
    </row>
    <row r="154" spans="1:26" s="24" customFormat="1" hidden="1" outlineLevel="1" x14ac:dyDescent="0.25">
      <c r="A154" s="50"/>
      <c r="B154" s="11" t="str">
        <f>CONCATENATE("          ", "5053", " - ", "PURCHASES @ COST-FOOD")</f>
        <v xml:space="preserve">          5053 - PURCHASES @ COST-FOOD</v>
      </c>
      <c r="C154" s="11"/>
      <c r="D154" s="2">
        <v>392494.10000000003</v>
      </c>
      <c r="E154" s="2"/>
      <c r="F154" s="21">
        <f t="shared" si="11"/>
        <v>9.3045661535024596E-2</v>
      </c>
      <c r="G154" s="2"/>
      <c r="H154" s="2">
        <v>435666.72</v>
      </c>
      <c r="I154" s="2"/>
      <c r="J154" s="21">
        <f t="shared" si="12"/>
        <v>0.10052170736663583</v>
      </c>
      <c r="K154" s="2"/>
      <c r="L154" s="2">
        <f t="shared" si="13"/>
        <v>-43172.619999999937</v>
      </c>
      <c r="M154" s="2"/>
      <c r="N154" s="21">
        <f t="shared" si="14"/>
        <v>-9.9095519621053313E-2</v>
      </c>
      <c r="O154" s="11"/>
      <c r="P154" s="2">
        <v>666124.87</v>
      </c>
      <c r="Q154" s="2"/>
      <c r="R154" s="21">
        <f t="shared" si="15"/>
        <v>0.11634948363342391</v>
      </c>
      <c r="S154" s="2"/>
      <c r="T154" s="2">
        <v>689641.76</v>
      </c>
      <c r="U154" s="2"/>
      <c r="V154" s="21">
        <f t="shared" si="16"/>
        <v>0.11496382853670495</v>
      </c>
      <c r="W154" s="2"/>
      <c r="X154" s="2">
        <f t="shared" si="17"/>
        <v>-23516.890000000014</v>
      </c>
      <c r="Y154" s="2"/>
      <c r="Z154" s="21">
        <f t="shared" si="18"/>
        <v>-3.4100153679788782E-2</v>
      </c>
    </row>
    <row r="155" spans="1:26" s="24" customFormat="1" hidden="1" outlineLevel="1" x14ac:dyDescent="0.25">
      <c r="A155" s="50"/>
      <c r="B155" s="11" t="str">
        <f>CONCATENATE("          ", "5059", " - ", "PURCHASES @ COST-FOOD")</f>
        <v xml:space="preserve">          5059 - PURCHASES @ COST-FOOD</v>
      </c>
      <c r="C155" s="11"/>
      <c r="D155" s="2">
        <v>-75014.38</v>
      </c>
      <c r="E155" s="2"/>
      <c r="F155" s="21">
        <f t="shared" si="11"/>
        <v>-1.7783101992462351E-2</v>
      </c>
      <c r="G155" s="2"/>
      <c r="H155" s="2">
        <v>-81452.81</v>
      </c>
      <c r="I155" s="2"/>
      <c r="J155" s="21">
        <f t="shared" si="12"/>
        <v>-1.8793667625129112E-2</v>
      </c>
      <c r="K155" s="2"/>
      <c r="L155" s="2">
        <f t="shared" si="13"/>
        <v>6438.429999999993</v>
      </c>
      <c r="M155" s="2"/>
      <c r="N155" s="21">
        <f t="shared" si="14"/>
        <v>-7.9044909561744925E-2</v>
      </c>
      <c r="O155" s="11"/>
      <c r="P155" s="2">
        <v>-95350.13</v>
      </c>
      <c r="Q155" s="2"/>
      <c r="R155" s="21">
        <f t="shared" si="15"/>
        <v>-1.6654442567021768E-2</v>
      </c>
      <c r="S155" s="2"/>
      <c r="T155" s="2">
        <v>-109353.89</v>
      </c>
      <c r="U155" s="2"/>
      <c r="V155" s="21">
        <f t="shared" si="16"/>
        <v>-1.8229380221670005E-2</v>
      </c>
      <c r="W155" s="2"/>
      <c r="X155" s="2">
        <f t="shared" si="17"/>
        <v>14003.759999999995</v>
      </c>
      <c r="Y155" s="2"/>
      <c r="Z155" s="21">
        <f t="shared" si="18"/>
        <v>-0.12805909327962631</v>
      </c>
    </row>
    <row r="156" spans="1:26" s="24" customFormat="1" hidden="1" outlineLevel="1" x14ac:dyDescent="0.25">
      <c r="A156" s="50"/>
      <c r="B156" s="11" t="str">
        <f>CONCATENATE("          ", "5081", " - ", "PURCHASES @ COST-ELECTRONICS")</f>
        <v xml:space="preserve">          5081 - PURCHASES @ COST-ELECTRONICS</v>
      </c>
      <c r="C156" s="11"/>
      <c r="D156" s="2">
        <v>17704.489999999998</v>
      </c>
      <c r="E156" s="2"/>
      <c r="F156" s="21">
        <f t="shared" si="11"/>
        <v>4.1970719666619884E-3</v>
      </c>
      <c r="G156" s="2"/>
      <c r="H156" s="2">
        <v>31694.140000000003</v>
      </c>
      <c r="I156" s="2"/>
      <c r="J156" s="21">
        <f t="shared" si="12"/>
        <v>7.312812569932328E-3</v>
      </c>
      <c r="K156" s="2"/>
      <c r="L156" s="2">
        <f t="shared" si="13"/>
        <v>-13989.650000000005</v>
      </c>
      <c r="M156" s="2"/>
      <c r="N156" s="21">
        <f t="shared" si="14"/>
        <v>-0.44139547563051101</v>
      </c>
      <c r="O156" s="11"/>
      <c r="P156" s="2">
        <v>83762.840000000011</v>
      </c>
      <c r="Q156" s="2"/>
      <c r="R156" s="21">
        <f t="shared" si="15"/>
        <v>1.4630534935092735E-2</v>
      </c>
      <c r="S156" s="2"/>
      <c r="T156" s="2">
        <v>88705.83</v>
      </c>
      <c r="U156" s="2"/>
      <c r="V156" s="21">
        <f t="shared" si="16"/>
        <v>1.4787332238010206E-2</v>
      </c>
      <c r="W156" s="2"/>
      <c r="X156" s="2">
        <f t="shared" si="17"/>
        <v>-4942.9899999999907</v>
      </c>
      <c r="Y156" s="2"/>
      <c r="Z156" s="21">
        <f t="shared" si="18"/>
        <v>-5.5723394956114954E-2</v>
      </c>
    </row>
    <row r="157" spans="1:26" s="24" customFormat="1" hidden="1" outlineLevel="1" x14ac:dyDescent="0.25">
      <c r="A157" s="50"/>
      <c r="B157" s="11" t="str">
        <f>CONCATENATE("          ", "5082", " - ", "PURCHASES @ COST-COMPUTER HARD")</f>
        <v xml:space="preserve">          5082 - PURCHASES @ COST-COMPUTER HARD</v>
      </c>
      <c r="C157" s="11"/>
      <c r="D157" s="2">
        <v>317193.52999999997</v>
      </c>
      <c r="E157" s="2"/>
      <c r="F157" s="21">
        <f t="shared" si="11"/>
        <v>7.5194714604575358E-2</v>
      </c>
      <c r="G157" s="2"/>
      <c r="H157" s="2">
        <v>109142.24</v>
      </c>
      <c r="I157" s="2"/>
      <c r="J157" s="21">
        <f t="shared" si="12"/>
        <v>2.5182470468754502E-2</v>
      </c>
      <c r="K157" s="2"/>
      <c r="L157" s="2">
        <f t="shared" si="13"/>
        <v>208051.28999999998</v>
      </c>
      <c r="M157" s="2"/>
      <c r="N157" s="21">
        <f t="shared" si="14"/>
        <v>1.9062398755972021</v>
      </c>
      <c r="O157" s="11"/>
      <c r="P157" s="2">
        <v>673753.5</v>
      </c>
      <c r="Q157" s="2"/>
      <c r="R157" s="21">
        <f t="shared" si="15"/>
        <v>0.11768194726194817</v>
      </c>
      <c r="S157" s="2"/>
      <c r="T157" s="2">
        <v>404996.56</v>
      </c>
      <c r="U157" s="2"/>
      <c r="V157" s="21">
        <f t="shared" si="16"/>
        <v>6.7513247866247739E-2</v>
      </c>
      <c r="W157" s="2"/>
      <c r="X157" s="2">
        <f t="shared" si="17"/>
        <v>268756.94</v>
      </c>
      <c r="Y157" s="2"/>
      <c r="Z157" s="21">
        <f t="shared" si="18"/>
        <v>0.663603019245398</v>
      </c>
    </row>
    <row r="158" spans="1:26" s="24" customFormat="1" hidden="1" outlineLevel="1" x14ac:dyDescent="0.25">
      <c r="A158" s="50"/>
      <c r="B158" s="11" t="str">
        <f>CONCATENATE("          ", "5083", " - ", "PURCHASES @ COST-COMPUTER EQUI")</f>
        <v xml:space="preserve">          5083 - PURCHASES @ COST-COMPUTER EQUI</v>
      </c>
      <c r="C158" s="11"/>
      <c r="D158" s="2">
        <v>9997.75</v>
      </c>
      <c r="E158" s="2"/>
      <c r="F158" s="21">
        <f t="shared" si="11"/>
        <v>2.3700923468958947E-3</v>
      </c>
      <c r="G158" s="2"/>
      <c r="H158" s="2">
        <v>7625.77</v>
      </c>
      <c r="I158" s="2"/>
      <c r="J158" s="21">
        <f t="shared" si="12"/>
        <v>1.759499601863715E-3</v>
      </c>
      <c r="K158" s="2"/>
      <c r="L158" s="2">
        <f t="shared" si="13"/>
        <v>2371.9799999999996</v>
      </c>
      <c r="M158" s="2"/>
      <c r="N158" s="21">
        <f t="shared" si="14"/>
        <v>0.31104793352015592</v>
      </c>
      <c r="O158" s="11"/>
      <c r="P158" s="2">
        <v>17273.89</v>
      </c>
      <c r="Q158" s="2"/>
      <c r="R158" s="21">
        <f t="shared" si="15"/>
        <v>3.0171643071074121E-3</v>
      </c>
      <c r="S158" s="2"/>
      <c r="T158" s="2">
        <v>14508.37</v>
      </c>
      <c r="U158" s="2"/>
      <c r="V158" s="21">
        <f t="shared" si="16"/>
        <v>2.4185567895817009E-3</v>
      </c>
      <c r="W158" s="2"/>
      <c r="X158" s="2">
        <f t="shared" si="17"/>
        <v>2765.5199999999986</v>
      </c>
      <c r="Y158" s="2"/>
      <c r="Z158" s="21">
        <f t="shared" si="18"/>
        <v>0.19061548609526766</v>
      </c>
    </row>
    <row r="159" spans="1:26" s="24" customFormat="1" hidden="1" outlineLevel="1" x14ac:dyDescent="0.25">
      <c r="A159" s="50"/>
      <c r="B159" s="11" t="str">
        <f>CONCATENATE("          ", "5084", " - ", "PURCHASES @ COST-SOFTWARE LICE")</f>
        <v xml:space="preserve">          5084 - PURCHASES @ COST-SOFTWARE LICE</v>
      </c>
      <c r="C159" s="11"/>
      <c r="D159" s="2">
        <v>1522</v>
      </c>
      <c r="E159" s="2"/>
      <c r="F159" s="21">
        <f t="shared" si="11"/>
        <v>3.608092372759423E-4</v>
      </c>
      <c r="G159" s="2"/>
      <c r="H159" s="2">
        <v>99</v>
      </c>
      <c r="I159" s="2"/>
      <c r="J159" s="21">
        <f t="shared" si="12"/>
        <v>2.2842343866194206E-5</v>
      </c>
      <c r="K159" s="2"/>
      <c r="L159" s="2">
        <f t="shared" si="13"/>
        <v>1423</v>
      </c>
      <c r="M159" s="2"/>
      <c r="N159" s="21">
        <f t="shared" si="14"/>
        <v>14.373737373737374</v>
      </c>
      <c r="O159" s="11"/>
      <c r="P159" s="2">
        <v>1522</v>
      </c>
      <c r="Q159" s="2"/>
      <c r="R159" s="21">
        <f t="shared" si="15"/>
        <v>2.6584191953390237E-4</v>
      </c>
      <c r="S159" s="2"/>
      <c r="T159" s="2">
        <v>99</v>
      </c>
      <c r="U159" s="2"/>
      <c r="V159" s="21">
        <f t="shared" si="16"/>
        <v>1.6503378544149922E-5</v>
      </c>
      <c r="W159" s="2"/>
      <c r="X159" s="2">
        <f t="shared" si="17"/>
        <v>1423</v>
      </c>
      <c r="Y159" s="2"/>
      <c r="Z159" s="21">
        <f t="shared" si="18"/>
        <v>14.373737373737374</v>
      </c>
    </row>
    <row r="160" spans="1:26" s="24" customFormat="1" hidden="1" outlineLevel="1" x14ac:dyDescent="0.25">
      <c r="A160" s="50"/>
      <c r="B160" s="11" t="str">
        <f>CONCATENATE("          ", "5085", " - ", "PURCHASES @ COST-SOFTWARE")</f>
        <v xml:space="preserve">          5085 - PURCHASES @ COST-SOFTWARE</v>
      </c>
      <c r="C160" s="11"/>
      <c r="D160" s="2">
        <v>3368</v>
      </c>
      <c r="E160" s="2"/>
      <c r="F160" s="21">
        <f t="shared" si="11"/>
        <v>7.9842674845293925E-4</v>
      </c>
      <c r="G160" s="2"/>
      <c r="H160" s="2">
        <v>2054.88</v>
      </c>
      <c r="I160" s="2"/>
      <c r="J160" s="21">
        <f t="shared" si="12"/>
        <v>4.7412399559358735E-4</v>
      </c>
      <c r="K160" s="2"/>
      <c r="L160" s="2">
        <f t="shared" si="13"/>
        <v>1313.12</v>
      </c>
      <c r="M160" s="2"/>
      <c r="N160" s="21">
        <f t="shared" si="14"/>
        <v>0.63902514988709791</v>
      </c>
      <c r="O160" s="11"/>
      <c r="P160" s="2">
        <v>3368</v>
      </c>
      <c r="Q160" s="2"/>
      <c r="R160" s="21">
        <f t="shared" si="15"/>
        <v>5.8827568001983133E-4</v>
      </c>
      <c r="S160" s="2"/>
      <c r="T160" s="2">
        <v>2054.88</v>
      </c>
      <c r="U160" s="2"/>
      <c r="V160" s="21">
        <f t="shared" si="16"/>
        <v>3.4255012629093729E-4</v>
      </c>
      <c r="W160" s="2"/>
      <c r="X160" s="2">
        <f t="shared" si="17"/>
        <v>1313.12</v>
      </c>
      <c r="Y160" s="2"/>
      <c r="Z160" s="21">
        <f t="shared" si="18"/>
        <v>0.63902514988709791</v>
      </c>
    </row>
    <row r="161" spans="1:26" s="24" customFormat="1" hidden="1" outlineLevel="1" x14ac:dyDescent="0.25">
      <c r="A161" s="50"/>
      <c r="B161" s="11" t="str">
        <f>CONCATENATE("          ", "5086", " - ", "PURCHASES @ COST-COMPUTER SUPP")</f>
        <v xml:space="preserve">          5086 - PURCHASES @ COST-COMPUTER SUPP</v>
      </c>
      <c r="C161" s="11"/>
      <c r="D161" s="2">
        <v>2837.81</v>
      </c>
      <c r="E161" s="2"/>
      <c r="F161" s="21">
        <f t="shared" si="11"/>
        <v>6.7273854246651884E-4</v>
      </c>
      <c r="G161" s="2"/>
      <c r="H161" s="2">
        <v>-298.33999999999997</v>
      </c>
      <c r="I161" s="2"/>
      <c r="J161" s="21">
        <f t="shared" si="12"/>
        <v>-6.8836210798387659E-5</v>
      </c>
      <c r="K161" s="2"/>
      <c r="L161" s="2">
        <f t="shared" si="13"/>
        <v>3136.15</v>
      </c>
      <c r="M161" s="2"/>
      <c r="N161" s="21">
        <f t="shared" si="14"/>
        <v>-10.511999731849569</v>
      </c>
      <c r="O161" s="11"/>
      <c r="P161" s="2">
        <v>6264.88</v>
      </c>
      <c r="Q161" s="2"/>
      <c r="R161" s="21">
        <f t="shared" si="15"/>
        <v>1.0942626313071974E-3</v>
      </c>
      <c r="S161" s="2"/>
      <c r="T161" s="2">
        <v>6203.98</v>
      </c>
      <c r="U161" s="2"/>
      <c r="V161" s="21">
        <f t="shared" si="16"/>
        <v>1.0342083880841941E-3</v>
      </c>
      <c r="W161" s="2"/>
      <c r="X161" s="2">
        <f t="shared" si="17"/>
        <v>60.900000000000546</v>
      </c>
      <c r="Y161" s="2"/>
      <c r="Z161" s="21">
        <f t="shared" si="18"/>
        <v>9.8162792272058503E-3</v>
      </c>
    </row>
    <row r="162" spans="1:26" s="24" customFormat="1" hidden="1" outlineLevel="1" x14ac:dyDescent="0.25">
      <c r="A162" s="50"/>
      <c r="B162" s="11" t="str">
        <f>CONCATENATE("          ", "5088", " - ", "PURCHASES @ COST-MUSIC")</f>
        <v xml:space="preserve">          5088 - PURCHASES @ COST-MUSIC</v>
      </c>
      <c r="C162" s="11"/>
      <c r="D162" s="2"/>
      <c r="E162" s="2"/>
      <c r="F162" s="21">
        <f t="shared" si="11"/>
        <v>0</v>
      </c>
      <c r="G162" s="2"/>
      <c r="H162" s="2">
        <v>-160.12</v>
      </c>
      <c r="I162" s="2"/>
      <c r="J162" s="21">
        <f t="shared" si="12"/>
        <v>-3.694460706924259E-5</v>
      </c>
      <c r="K162" s="2"/>
      <c r="L162" s="2">
        <f t="shared" si="13"/>
        <v>160.12</v>
      </c>
      <c r="M162" s="2"/>
      <c r="N162" s="21">
        <f t="shared" si="14"/>
        <v>-1</v>
      </c>
      <c r="O162" s="11"/>
      <c r="P162" s="2">
        <v>82</v>
      </c>
      <c r="Q162" s="2"/>
      <c r="R162" s="21">
        <f t="shared" si="15"/>
        <v>1.4322626413784492E-5</v>
      </c>
      <c r="S162" s="2"/>
      <c r="T162" s="2">
        <v>84.74</v>
      </c>
      <c r="U162" s="2"/>
      <c r="V162" s="21">
        <f t="shared" si="16"/>
        <v>1.412622523061883E-5</v>
      </c>
      <c r="W162" s="2"/>
      <c r="X162" s="2">
        <f t="shared" si="17"/>
        <v>-2.7399999999999949</v>
      </c>
      <c r="Y162" s="2"/>
      <c r="Z162" s="21">
        <f t="shared" si="18"/>
        <v>-3.2334198725513276E-2</v>
      </c>
    </row>
    <row r="163" spans="1:26" s="24" customFormat="1" hidden="1" outlineLevel="1" x14ac:dyDescent="0.25">
      <c r="A163" s="50"/>
      <c r="B163" s="11" t="str">
        <f>CONCATENATE("          ", "5092", " - ", "PURCHASES @ COST-GRAD MERCH")</f>
        <v xml:space="preserve">          5092 - PURCHASES @ COST-GRAD MERCH</v>
      </c>
      <c r="C163" s="11"/>
      <c r="D163" s="2">
        <v>-600.6</v>
      </c>
      <c r="E163" s="2"/>
      <c r="F163" s="21">
        <f t="shared" si="11"/>
        <v>-1.4237978180547367E-4</v>
      </c>
      <c r="G163" s="2"/>
      <c r="H163" s="2">
        <v>-1509.65</v>
      </c>
      <c r="I163" s="2"/>
      <c r="J163" s="21">
        <f t="shared" si="12"/>
        <v>-3.4832267088484933E-4</v>
      </c>
      <c r="K163" s="2"/>
      <c r="L163" s="2">
        <f t="shared" si="13"/>
        <v>909.05000000000007</v>
      </c>
      <c r="M163" s="2"/>
      <c r="N163" s="21">
        <f t="shared" si="14"/>
        <v>-0.60215944093001694</v>
      </c>
      <c r="O163" s="11"/>
      <c r="P163" s="2">
        <v>628</v>
      </c>
      <c r="Q163" s="2"/>
      <c r="R163" s="21">
        <f t="shared" si="15"/>
        <v>1.0969035838849586E-4</v>
      </c>
      <c r="S163" s="2"/>
      <c r="T163" s="2">
        <v>-2745.04</v>
      </c>
      <c r="U163" s="2"/>
      <c r="V163" s="21">
        <f t="shared" si="16"/>
        <v>-4.5760034584680102E-4</v>
      </c>
      <c r="W163" s="2"/>
      <c r="X163" s="2">
        <f t="shared" si="17"/>
        <v>3373.04</v>
      </c>
      <c r="Y163" s="2"/>
      <c r="Z163" s="21">
        <f t="shared" si="18"/>
        <v>-1.2287762655553289</v>
      </c>
    </row>
    <row r="164" spans="1:26" s="24" customFormat="1" hidden="1" outlineLevel="1" x14ac:dyDescent="0.25">
      <c r="A164" s="50"/>
      <c r="B164" s="11" t="str">
        <f>CONCATENATE("          ", "5095", " - ", "PURCHASES @ COST-CUSTOMER SERV")</f>
        <v xml:space="preserve">          5095 - PURCHASES @ COST-CUSTOMER SERV</v>
      </c>
      <c r="C164" s="11"/>
      <c r="D164" s="2"/>
      <c r="E164" s="2"/>
      <c r="F164" s="21">
        <f t="shared" si="11"/>
        <v>0</v>
      </c>
      <c r="G164" s="2"/>
      <c r="H164" s="2"/>
      <c r="I164" s="2"/>
      <c r="J164" s="21">
        <f t="shared" si="12"/>
        <v>0</v>
      </c>
      <c r="K164" s="2"/>
      <c r="L164" s="2">
        <f t="shared" si="13"/>
        <v>0</v>
      </c>
      <c r="M164" s="2"/>
      <c r="N164" s="21">
        <f t="shared" si="14"/>
        <v>0</v>
      </c>
      <c r="O164" s="11"/>
      <c r="P164" s="2">
        <v>0</v>
      </c>
      <c r="Q164" s="2"/>
      <c r="R164" s="21">
        <f t="shared" si="15"/>
        <v>0</v>
      </c>
      <c r="S164" s="2"/>
      <c r="T164" s="2"/>
      <c r="U164" s="2"/>
      <c r="V164" s="21">
        <f t="shared" si="16"/>
        <v>0</v>
      </c>
      <c r="W164" s="2"/>
      <c r="X164" s="2">
        <f t="shared" si="17"/>
        <v>0</v>
      </c>
      <c r="Y164" s="2"/>
      <c r="Z164" s="21">
        <f t="shared" si="18"/>
        <v>0</v>
      </c>
    </row>
    <row r="165" spans="1:26" s="24" customFormat="1" hidden="1" outlineLevel="1" x14ac:dyDescent="0.25">
      <c r="A165" s="50"/>
      <c r="B165" s="11" t="str">
        <f>CONCATENATE("          ", "5200", " - ", "PURCHASES OFFSET")</f>
        <v xml:space="preserve">          5200 - PURCHASES OFFSET</v>
      </c>
      <c r="C165" s="11"/>
      <c r="D165" s="2">
        <v>-1879524</v>
      </c>
      <c r="E165" s="2"/>
      <c r="F165" s="21">
        <f t="shared" si="11"/>
        <v>-0.44556479690001849</v>
      </c>
      <c r="G165" s="2"/>
      <c r="H165" s="2">
        <v>-1242907</v>
      </c>
      <c r="I165" s="2"/>
      <c r="J165" s="21">
        <f t="shared" si="12"/>
        <v>-0.28677685947171555</v>
      </c>
      <c r="K165" s="2"/>
      <c r="L165" s="2">
        <f t="shared" si="13"/>
        <v>-636617</v>
      </c>
      <c r="M165" s="2"/>
      <c r="N165" s="21">
        <f t="shared" si="14"/>
        <v>0.5122000278379637</v>
      </c>
      <c r="O165" s="11"/>
      <c r="P165" s="2">
        <v>-3141833</v>
      </c>
      <c r="Q165" s="2"/>
      <c r="R165" s="21">
        <f t="shared" si="15"/>
        <v>-0.54877195504268017</v>
      </c>
      <c r="S165" s="2"/>
      <c r="T165" s="2">
        <v>-2411842</v>
      </c>
      <c r="U165" s="2"/>
      <c r="V165" s="21">
        <f t="shared" si="16"/>
        <v>-0.4020559748957539</v>
      </c>
      <c r="W165" s="2"/>
      <c r="X165" s="2">
        <f t="shared" si="17"/>
        <v>-729991</v>
      </c>
      <c r="Y165" s="2"/>
      <c r="Z165" s="21">
        <f t="shared" si="18"/>
        <v>0.30266949493374773</v>
      </c>
    </row>
    <row r="166" spans="1:26" s="24" customFormat="1" hidden="1" outlineLevel="1" x14ac:dyDescent="0.25">
      <c r="A166" s="50"/>
      <c r="B166" s="11" t="str">
        <f>CONCATENATE("          ", "5300", " - ", "COG$ OFFSET")</f>
        <v xml:space="preserve">          5300 - COG$ OFFSET</v>
      </c>
      <c r="C166" s="11"/>
      <c r="D166" s="2">
        <v>1703338</v>
      </c>
      <c r="E166" s="2"/>
      <c r="F166" s="21">
        <f t="shared" si="11"/>
        <v>0.40379769027800849</v>
      </c>
      <c r="G166" s="2"/>
      <c r="H166" s="2">
        <v>1709345</v>
      </c>
      <c r="I166" s="2"/>
      <c r="J166" s="21">
        <f t="shared" si="12"/>
        <v>0.39439844723191647</v>
      </c>
      <c r="K166" s="2"/>
      <c r="L166" s="2">
        <f t="shared" si="13"/>
        <v>-6007</v>
      </c>
      <c r="M166" s="2"/>
      <c r="N166" s="21">
        <f t="shared" si="14"/>
        <v>-3.514211583969298E-3</v>
      </c>
      <c r="O166" s="11"/>
      <c r="P166" s="2">
        <v>2226828</v>
      </c>
      <c r="Q166" s="2"/>
      <c r="R166" s="21">
        <f t="shared" si="15"/>
        <v>0.38895153087505963</v>
      </c>
      <c r="S166" s="2"/>
      <c r="T166" s="2">
        <v>2271938</v>
      </c>
      <c r="U166" s="2"/>
      <c r="V166" s="21">
        <f t="shared" si="16"/>
        <v>0.37873386709938267</v>
      </c>
      <c r="W166" s="2"/>
      <c r="X166" s="2">
        <f t="shared" si="17"/>
        <v>-45110</v>
      </c>
      <c r="Y166" s="2"/>
      <c r="Z166" s="21">
        <f t="shared" si="18"/>
        <v>-1.9855295346968095E-2</v>
      </c>
    </row>
    <row r="167" spans="1:26" s="24" customFormat="1" hidden="1" outlineLevel="1" x14ac:dyDescent="0.25">
      <c r="A167" s="50"/>
      <c r="B167" s="11" t="str">
        <f>CONCATENATE("          ", "5500", " - ", "FREIGHT-IN")</f>
        <v xml:space="preserve">          5500 - FREIGHT-IN</v>
      </c>
      <c r="C167" s="11"/>
      <c r="D167" s="2"/>
      <c r="E167" s="2"/>
      <c r="F167" s="21">
        <f t="shared" si="11"/>
        <v>0</v>
      </c>
      <c r="G167" s="2"/>
      <c r="H167" s="2">
        <v>213.97</v>
      </c>
      <c r="I167" s="2"/>
      <c r="J167" s="21">
        <f t="shared" si="12"/>
        <v>4.9369457747975491E-5</v>
      </c>
      <c r="K167" s="2"/>
      <c r="L167" s="2">
        <f t="shared" si="13"/>
        <v>-213.97</v>
      </c>
      <c r="M167" s="2"/>
      <c r="N167" s="21">
        <f t="shared" si="14"/>
        <v>-1</v>
      </c>
      <c r="O167" s="11"/>
      <c r="P167" s="2">
        <v>49</v>
      </c>
      <c r="Q167" s="2"/>
      <c r="R167" s="21">
        <f t="shared" si="15"/>
        <v>8.5586426131151236E-6</v>
      </c>
      <c r="S167" s="2"/>
      <c r="T167" s="2">
        <v>213.97</v>
      </c>
      <c r="U167" s="2"/>
      <c r="V167" s="21">
        <f t="shared" si="16"/>
        <v>3.5668968758502615E-5</v>
      </c>
      <c r="W167" s="2"/>
      <c r="X167" s="2">
        <f t="shared" si="17"/>
        <v>-164.97</v>
      </c>
      <c r="Y167" s="2"/>
      <c r="Z167" s="21">
        <f t="shared" si="18"/>
        <v>-0.77099593400944055</v>
      </c>
    </row>
    <row r="168" spans="1:26" s="24" customFormat="1" hidden="1" outlineLevel="1" x14ac:dyDescent="0.25">
      <c r="A168" s="50"/>
      <c r="B168" s="11" t="str">
        <f>CONCATENATE("          ", "5501", " - ", "FREIGHT-IN-NEW TEXT")</f>
        <v xml:space="preserve">          5501 - FREIGHT-IN-NEW TEXT</v>
      </c>
      <c r="C168" s="11"/>
      <c r="D168" s="2">
        <v>11008.16</v>
      </c>
      <c r="E168" s="2"/>
      <c r="F168" s="21">
        <f t="shared" si="11"/>
        <v>2.6096227420575142E-3</v>
      </c>
      <c r="G168" s="2"/>
      <c r="H168" s="2">
        <v>6840.15</v>
      </c>
      <c r="I168" s="2"/>
      <c r="J168" s="21">
        <f t="shared" si="12"/>
        <v>1.5782329130944271E-3</v>
      </c>
      <c r="K168" s="2"/>
      <c r="L168" s="2">
        <f t="shared" si="13"/>
        <v>4168.01</v>
      </c>
      <c r="M168" s="2"/>
      <c r="N168" s="21">
        <f t="shared" si="14"/>
        <v>0.60934482430940851</v>
      </c>
      <c r="O168" s="11"/>
      <c r="P168" s="2">
        <v>12724.24</v>
      </c>
      <c r="Q168" s="2"/>
      <c r="R168" s="21">
        <f t="shared" si="15"/>
        <v>2.2224943404796729E-3</v>
      </c>
      <c r="S168" s="2"/>
      <c r="T168" s="2">
        <v>8999.08</v>
      </c>
      <c r="U168" s="2"/>
      <c r="V168" s="21">
        <f t="shared" si="16"/>
        <v>1.5001537756473603E-3</v>
      </c>
      <c r="W168" s="2"/>
      <c r="X168" s="2">
        <f t="shared" si="17"/>
        <v>3725.16</v>
      </c>
      <c r="Y168" s="2"/>
      <c r="Z168" s="21">
        <f t="shared" si="18"/>
        <v>0.41394898145143727</v>
      </c>
    </row>
    <row r="169" spans="1:26" s="24" customFormat="1" hidden="1" outlineLevel="1" x14ac:dyDescent="0.25">
      <c r="A169" s="50"/>
      <c r="B169" s="11" t="str">
        <f>CONCATENATE("          ", "5502", " - ", "FREIGHT-IN-USED TEXT")</f>
        <v xml:space="preserve">          5502 - FREIGHT-IN-USED TEXT</v>
      </c>
      <c r="C169" s="11"/>
      <c r="D169" s="2">
        <v>3985.02</v>
      </c>
      <c r="E169" s="2"/>
      <c r="F169" s="21">
        <f t="shared" si="11"/>
        <v>9.4469909771969477E-4</v>
      </c>
      <c r="G169" s="2"/>
      <c r="H169" s="2">
        <v>1508.23</v>
      </c>
      <c r="I169" s="2"/>
      <c r="J169" s="21">
        <f t="shared" si="12"/>
        <v>3.4799503322535441E-4</v>
      </c>
      <c r="K169" s="2"/>
      <c r="L169" s="2">
        <f t="shared" si="13"/>
        <v>2476.79</v>
      </c>
      <c r="M169" s="2"/>
      <c r="N169" s="21">
        <f t="shared" si="14"/>
        <v>1.6421832213919627</v>
      </c>
      <c r="O169" s="11"/>
      <c r="P169" s="2">
        <v>4262.51</v>
      </c>
      <c r="Q169" s="2"/>
      <c r="R169" s="21">
        <f t="shared" si="15"/>
        <v>7.4451632091488459E-4</v>
      </c>
      <c r="S169" s="2"/>
      <c r="T169" s="2">
        <v>1794.84</v>
      </c>
      <c r="U169" s="2"/>
      <c r="V169" s="21">
        <f t="shared" si="16"/>
        <v>2.9920125198163681E-4</v>
      </c>
      <c r="W169" s="2"/>
      <c r="X169" s="2">
        <f t="shared" si="17"/>
        <v>2467.67</v>
      </c>
      <c r="Y169" s="2"/>
      <c r="Z169" s="21">
        <f t="shared" si="18"/>
        <v>1.3748690691092242</v>
      </c>
    </row>
    <row r="170" spans="1:26" s="24" customFormat="1" hidden="1" outlineLevel="1" x14ac:dyDescent="0.25">
      <c r="A170" s="50"/>
      <c r="B170" s="11" t="str">
        <f>CONCATENATE("          ", "5504", " - ", "FREIGHT-IN-DIGITAL TEXT")</f>
        <v xml:space="preserve">          5504 - FREIGHT-IN-DIGITAL TEXT</v>
      </c>
      <c r="C170" s="11"/>
      <c r="D170" s="2">
        <v>7.03</v>
      </c>
      <c r="E170" s="2"/>
      <c r="F170" s="21">
        <f t="shared" si="11"/>
        <v>1.6665498935938727E-6</v>
      </c>
      <c r="G170" s="2"/>
      <c r="H170" s="2">
        <v>2.5</v>
      </c>
      <c r="I170" s="2"/>
      <c r="J170" s="21">
        <f t="shared" si="12"/>
        <v>5.7682686530793445E-7</v>
      </c>
      <c r="K170" s="2"/>
      <c r="L170" s="2">
        <f t="shared" si="13"/>
        <v>4.53</v>
      </c>
      <c r="M170" s="2"/>
      <c r="N170" s="21">
        <f t="shared" si="14"/>
        <v>1.8120000000000001</v>
      </c>
      <c r="O170" s="11"/>
      <c r="P170" s="2">
        <v>7.03</v>
      </c>
      <c r="Q170" s="2"/>
      <c r="R170" s="21">
        <f t="shared" si="15"/>
        <v>1.2279032157183534E-6</v>
      </c>
      <c r="S170" s="2"/>
      <c r="T170" s="2">
        <v>2.5</v>
      </c>
      <c r="U170" s="2"/>
      <c r="V170" s="21">
        <f t="shared" si="16"/>
        <v>4.1675198343812934E-7</v>
      </c>
      <c r="W170" s="2"/>
      <c r="X170" s="2">
        <f t="shared" si="17"/>
        <v>4.53</v>
      </c>
      <c r="Y170" s="2"/>
      <c r="Z170" s="21">
        <f t="shared" si="18"/>
        <v>1.8120000000000001</v>
      </c>
    </row>
    <row r="171" spans="1:26" s="24" customFormat="1" hidden="1" outlineLevel="1" x14ac:dyDescent="0.25">
      <c r="A171" s="50"/>
      <c r="B171" s="11" t="str">
        <f>CONCATENATE("          ", "5513", " - ", "FREIGHT-IN-TRADE BOOKS")</f>
        <v xml:space="preserve">          5513 - FREIGHT-IN-TRADE BOOKS</v>
      </c>
      <c r="C171" s="11"/>
      <c r="D171" s="2"/>
      <c r="E171" s="2"/>
      <c r="F171" s="21">
        <f t="shared" si="11"/>
        <v>0</v>
      </c>
      <c r="G171" s="2"/>
      <c r="H171" s="2"/>
      <c r="I171" s="2"/>
      <c r="J171" s="21">
        <f t="shared" si="12"/>
        <v>0</v>
      </c>
      <c r="K171" s="2"/>
      <c r="L171" s="2">
        <f t="shared" si="13"/>
        <v>0</v>
      </c>
      <c r="M171" s="2"/>
      <c r="N171" s="21">
        <f t="shared" si="14"/>
        <v>0</v>
      </c>
      <c r="O171" s="11"/>
      <c r="P171" s="2"/>
      <c r="Q171" s="2"/>
      <c r="R171" s="21">
        <f t="shared" si="15"/>
        <v>0</v>
      </c>
      <c r="S171" s="2"/>
      <c r="T171" s="2">
        <v>7.27</v>
      </c>
      <c r="U171" s="2"/>
      <c r="V171" s="21">
        <f t="shared" si="16"/>
        <v>1.2119147678380799E-6</v>
      </c>
      <c r="W171" s="2"/>
      <c r="X171" s="2">
        <f t="shared" si="17"/>
        <v>-7.27</v>
      </c>
      <c r="Y171" s="2"/>
      <c r="Z171" s="21">
        <f t="shared" si="18"/>
        <v>-1</v>
      </c>
    </row>
    <row r="172" spans="1:26" s="24" customFormat="1" hidden="1" outlineLevel="1" x14ac:dyDescent="0.25">
      <c r="A172" s="50"/>
      <c r="B172" s="11" t="str">
        <f>CONCATENATE("          ", "5526", " - ", "FREIGHT-IN-WRITING INSTRUMENTS")</f>
        <v xml:space="preserve">          5526 - FREIGHT-IN-WRITING INSTRUMENTS</v>
      </c>
      <c r="C172" s="11"/>
      <c r="D172" s="2">
        <v>17.46</v>
      </c>
      <c r="E172" s="2"/>
      <c r="F172" s="21">
        <f t="shared" si="11"/>
        <v>4.1391125380012827E-6</v>
      </c>
      <c r="G172" s="2"/>
      <c r="H172" s="2">
        <v>8.58</v>
      </c>
      <c r="I172" s="2"/>
      <c r="J172" s="21">
        <f t="shared" si="12"/>
        <v>1.9796698017368309E-6</v>
      </c>
      <c r="K172" s="2"/>
      <c r="L172" s="2">
        <f t="shared" si="13"/>
        <v>8.8800000000000008</v>
      </c>
      <c r="M172" s="2"/>
      <c r="N172" s="21">
        <f t="shared" si="14"/>
        <v>1.034965034965035</v>
      </c>
      <c r="O172" s="11"/>
      <c r="P172" s="2">
        <v>56.57</v>
      </c>
      <c r="Q172" s="2"/>
      <c r="R172" s="21">
        <f t="shared" si="15"/>
        <v>9.8808655637535199E-6</v>
      </c>
      <c r="S172" s="2"/>
      <c r="T172" s="2">
        <v>42.74</v>
      </c>
      <c r="U172" s="2"/>
      <c r="V172" s="21">
        <f t="shared" si="16"/>
        <v>7.1247919088582593E-6</v>
      </c>
      <c r="W172" s="2"/>
      <c r="X172" s="2">
        <f t="shared" si="17"/>
        <v>13.829999999999998</v>
      </c>
      <c r="Y172" s="2"/>
      <c r="Z172" s="21">
        <f t="shared" si="18"/>
        <v>0.32358446420215248</v>
      </c>
    </row>
    <row r="173" spans="1:26" s="24" customFormat="1" hidden="1" outlineLevel="1" x14ac:dyDescent="0.25">
      <c r="A173" s="50"/>
      <c r="B173" s="11" t="str">
        <f>CONCATENATE("          ", "5527", " - ", "FREIGHT-IN-SCHOOL SUPPLIES")</f>
        <v xml:space="preserve">          5527 - FREIGHT-IN-SCHOOL SUPPLIES</v>
      </c>
      <c r="C173" s="11"/>
      <c r="D173" s="2">
        <v>10.49</v>
      </c>
      <c r="E173" s="2"/>
      <c r="F173" s="21">
        <f t="shared" si="11"/>
        <v>2.4867863988335313E-6</v>
      </c>
      <c r="G173" s="2"/>
      <c r="H173" s="2"/>
      <c r="I173" s="2"/>
      <c r="J173" s="21">
        <f t="shared" si="12"/>
        <v>0</v>
      </c>
      <c r="K173" s="2"/>
      <c r="L173" s="2">
        <f t="shared" si="13"/>
        <v>10.49</v>
      </c>
      <c r="M173" s="2"/>
      <c r="N173" s="21">
        <f t="shared" si="14"/>
        <v>0</v>
      </c>
      <c r="O173" s="11"/>
      <c r="P173" s="2">
        <v>260.51</v>
      </c>
      <c r="Q173" s="2"/>
      <c r="R173" s="21">
        <f t="shared" si="15"/>
        <v>4.5502285451890219E-5</v>
      </c>
      <c r="S173" s="2"/>
      <c r="T173" s="2">
        <v>280.67</v>
      </c>
      <c r="U173" s="2"/>
      <c r="V173" s="21">
        <f t="shared" si="16"/>
        <v>4.6787911676631904E-5</v>
      </c>
      <c r="W173" s="2"/>
      <c r="X173" s="2">
        <f t="shared" si="17"/>
        <v>-20.160000000000025</v>
      </c>
      <c r="Y173" s="2"/>
      <c r="Z173" s="21">
        <f t="shared" si="18"/>
        <v>-7.182812555670369E-2</v>
      </c>
    </row>
    <row r="174" spans="1:26" s="24" customFormat="1" hidden="1" outlineLevel="1" x14ac:dyDescent="0.25">
      <c r="A174" s="50"/>
      <c r="B174" s="11" t="str">
        <f>CONCATENATE("          ", "5528", " - ", "FREIGHT-IN-ART/TECH")</f>
        <v xml:space="preserve">          5528 - FREIGHT-IN-ART/TECH</v>
      </c>
      <c r="C174" s="11"/>
      <c r="D174" s="2">
        <v>255.45</v>
      </c>
      <c r="E174" s="2"/>
      <c r="F174" s="21">
        <f t="shared" si="11"/>
        <v>6.0557634469211202E-5</v>
      </c>
      <c r="G174" s="2"/>
      <c r="H174" s="2">
        <v>81.37</v>
      </c>
      <c r="I174" s="2"/>
      <c r="J174" s="21">
        <f t="shared" si="12"/>
        <v>1.8774560812042652E-5</v>
      </c>
      <c r="K174" s="2"/>
      <c r="L174" s="2">
        <f t="shared" si="13"/>
        <v>174.07999999999998</v>
      </c>
      <c r="M174" s="2"/>
      <c r="N174" s="21">
        <f t="shared" si="14"/>
        <v>2.1393634017451144</v>
      </c>
      <c r="O174" s="11"/>
      <c r="P174" s="2">
        <v>299.8</v>
      </c>
      <c r="Q174" s="2"/>
      <c r="R174" s="21">
        <f t="shared" si="15"/>
        <v>5.2364919498202326E-5</v>
      </c>
      <c r="S174" s="2"/>
      <c r="T174" s="2">
        <v>227.26</v>
      </c>
      <c r="U174" s="2"/>
      <c r="V174" s="21">
        <f t="shared" si="16"/>
        <v>3.7884422302459703E-5</v>
      </c>
      <c r="W174" s="2"/>
      <c r="X174" s="2">
        <f t="shared" si="17"/>
        <v>72.54000000000002</v>
      </c>
      <c r="Y174" s="2"/>
      <c r="Z174" s="21">
        <f t="shared" si="18"/>
        <v>0.31919387485699208</v>
      </c>
    </row>
    <row r="175" spans="1:26" s="24" customFormat="1" hidden="1" outlineLevel="1" x14ac:dyDescent="0.25">
      <c r="A175" s="50"/>
      <c r="B175" s="11" t="str">
        <f>CONCATENATE("          ", "5540", " - ", "FREIGHT-IN-LOGO CLOTHING")</f>
        <v xml:space="preserve">          5540 - FREIGHT-IN-LOGO CLOTHING</v>
      </c>
      <c r="C175" s="11"/>
      <c r="D175" s="2">
        <v>1936.72</v>
      </c>
      <c r="E175" s="2"/>
      <c r="F175" s="21">
        <f t="shared" si="11"/>
        <v>4.5912382786929235E-4</v>
      </c>
      <c r="G175" s="2"/>
      <c r="H175" s="2">
        <v>1830.62</v>
      </c>
      <c r="I175" s="2"/>
      <c r="J175" s="21">
        <f t="shared" si="12"/>
        <v>4.2238031846800439E-4</v>
      </c>
      <c r="K175" s="2"/>
      <c r="L175" s="2">
        <f t="shared" si="13"/>
        <v>106.10000000000014</v>
      </c>
      <c r="M175" s="2"/>
      <c r="N175" s="21">
        <f t="shared" si="14"/>
        <v>5.7958505861402228E-2</v>
      </c>
      <c r="O175" s="11"/>
      <c r="P175" s="2">
        <v>2331.94</v>
      </c>
      <c r="Q175" s="2"/>
      <c r="R175" s="21">
        <f t="shared" si="15"/>
        <v>4.0731104194342203E-4</v>
      </c>
      <c r="S175" s="2"/>
      <c r="T175" s="2">
        <v>2920.15</v>
      </c>
      <c r="U175" s="2"/>
      <c r="V175" s="21">
        <f t="shared" si="16"/>
        <v>4.8679132177474133E-4</v>
      </c>
      <c r="W175" s="2"/>
      <c r="X175" s="2">
        <f t="shared" si="17"/>
        <v>-588.21</v>
      </c>
      <c r="Y175" s="2"/>
      <c r="Z175" s="21">
        <f t="shared" si="18"/>
        <v>-0.20143143331678168</v>
      </c>
    </row>
    <row r="176" spans="1:26" s="24" customFormat="1" hidden="1" outlineLevel="1" x14ac:dyDescent="0.25">
      <c r="A176" s="50"/>
      <c r="B176" s="11" t="str">
        <f>CONCATENATE("          ", "5541", " - ", "FREIGHT-IN-LOGO GIFTS")</f>
        <v xml:space="preserve">          5541 - FREIGHT-IN-LOGO GIFTS</v>
      </c>
      <c r="C176" s="11"/>
      <c r="D176" s="2">
        <v>405.92</v>
      </c>
      <c r="E176" s="2"/>
      <c r="F176" s="21">
        <f t="shared" si="11"/>
        <v>9.6228439944185602E-5</v>
      </c>
      <c r="G176" s="2"/>
      <c r="H176" s="2">
        <v>456.13</v>
      </c>
      <c r="I176" s="2"/>
      <c r="J176" s="21">
        <f t="shared" si="12"/>
        <v>1.0524321522916325E-4</v>
      </c>
      <c r="K176" s="2"/>
      <c r="L176" s="2">
        <f t="shared" si="13"/>
        <v>-50.20999999999998</v>
      </c>
      <c r="M176" s="2"/>
      <c r="N176" s="21">
        <f t="shared" si="14"/>
        <v>-0.11007826716067784</v>
      </c>
      <c r="O176" s="11"/>
      <c r="P176" s="2">
        <v>720.41</v>
      </c>
      <c r="Q176" s="2"/>
      <c r="R176" s="21">
        <f t="shared" si="15"/>
        <v>1.2583125969212788E-4</v>
      </c>
      <c r="S176" s="2"/>
      <c r="T176" s="2">
        <v>1241.53</v>
      </c>
      <c r="U176" s="2"/>
      <c r="V176" s="21">
        <f t="shared" si="16"/>
        <v>2.0696403599917629E-4</v>
      </c>
      <c r="W176" s="2"/>
      <c r="X176" s="2">
        <f t="shared" si="17"/>
        <v>-521.12</v>
      </c>
      <c r="Y176" s="2"/>
      <c r="Z176" s="21">
        <f t="shared" si="18"/>
        <v>-0.41974015931954928</v>
      </c>
    </row>
    <row r="177" spans="1:26" s="24" customFormat="1" hidden="1" outlineLevel="1" x14ac:dyDescent="0.25">
      <c r="A177" s="50"/>
      <c r="B177" s="11" t="str">
        <f>CONCATENATE("          ", "5542", " - ", "FREIGHT-IN-EVERYDAY GIFTS")</f>
        <v xml:space="preserve">          5542 - FREIGHT-IN-EVERYDAY GIFTS</v>
      </c>
      <c r="C177" s="11"/>
      <c r="D177" s="2">
        <v>83.05</v>
      </c>
      <c r="E177" s="2"/>
      <c r="F177" s="21">
        <f t="shared" si="11"/>
        <v>1.9688046751489492E-5</v>
      </c>
      <c r="G177" s="2"/>
      <c r="H177" s="2">
        <v>422.79</v>
      </c>
      <c r="I177" s="2"/>
      <c r="J177" s="21">
        <f t="shared" si="12"/>
        <v>9.755065215341665E-5</v>
      </c>
      <c r="K177" s="2"/>
      <c r="L177" s="2">
        <f t="shared" si="13"/>
        <v>-339.74</v>
      </c>
      <c r="M177" s="2"/>
      <c r="N177" s="21">
        <f t="shared" si="14"/>
        <v>-0.8035667825634476</v>
      </c>
      <c r="O177" s="11"/>
      <c r="P177" s="2">
        <v>112.77</v>
      </c>
      <c r="Q177" s="2"/>
      <c r="R177" s="21">
        <f t="shared" si="15"/>
        <v>1.9697104642469231E-5</v>
      </c>
      <c r="S177" s="2"/>
      <c r="T177" s="2">
        <v>422.79</v>
      </c>
      <c r="U177" s="2"/>
      <c r="V177" s="21">
        <f t="shared" si="16"/>
        <v>7.0479428431122678E-5</v>
      </c>
      <c r="W177" s="2"/>
      <c r="X177" s="2">
        <f t="shared" si="17"/>
        <v>-310.02000000000004</v>
      </c>
      <c r="Y177" s="2"/>
      <c r="Z177" s="21">
        <f t="shared" si="18"/>
        <v>-0.73327183708223942</v>
      </c>
    </row>
    <row r="178" spans="1:26" s="24" customFormat="1" hidden="1" outlineLevel="1" x14ac:dyDescent="0.25">
      <c r="A178" s="50"/>
      <c r="B178" s="11" t="str">
        <f>CONCATENATE("          ", "5543", " - ", "FREIGHT-IN-CARDS")</f>
        <v xml:space="preserve">          5543 - FREIGHT-IN-CARDS</v>
      </c>
      <c r="C178" s="11"/>
      <c r="D178" s="2">
        <v>4.58</v>
      </c>
      <c r="E178" s="2"/>
      <c r="F178" s="21">
        <f t="shared" si="11"/>
        <v>1.0857465878605884E-6</v>
      </c>
      <c r="G178" s="2"/>
      <c r="H178" s="2"/>
      <c r="I178" s="2"/>
      <c r="J178" s="21">
        <f t="shared" si="12"/>
        <v>0</v>
      </c>
      <c r="K178" s="2"/>
      <c r="L178" s="2">
        <f t="shared" si="13"/>
        <v>4.58</v>
      </c>
      <c r="M178" s="2"/>
      <c r="N178" s="21">
        <f t="shared" si="14"/>
        <v>0</v>
      </c>
      <c r="O178" s="11"/>
      <c r="P178" s="2">
        <v>4.58</v>
      </c>
      <c r="Q178" s="2"/>
      <c r="R178" s="21">
        <f t="shared" si="15"/>
        <v>7.9997108506259722E-7</v>
      </c>
      <c r="S178" s="2"/>
      <c r="T178" s="2"/>
      <c r="U178" s="2"/>
      <c r="V178" s="21">
        <f t="shared" si="16"/>
        <v>0</v>
      </c>
      <c r="W178" s="2"/>
      <c r="X178" s="2">
        <f t="shared" si="17"/>
        <v>4.58</v>
      </c>
      <c r="Y178" s="2"/>
      <c r="Z178" s="21">
        <f t="shared" si="18"/>
        <v>0</v>
      </c>
    </row>
    <row r="179" spans="1:26" s="24" customFormat="1" hidden="1" outlineLevel="1" x14ac:dyDescent="0.25">
      <c r="A179" s="50"/>
      <c r="B179" s="11" t="str">
        <f>CONCATENATE("          ", "5544", " - ", "FREIGHT-IN-ACCESSORIES")</f>
        <v xml:space="preserve">          5544 - FREIGHT-IN-ACCESSORIES</v>
      </c>
      <c r="C179" s="11"/>
      <c r="D179" s="2">
        <v>84.93</v>
      </c>
      <c r="E179" s="2"/>
      <c r="F179" s="21">
        <f t="shared" si="11"/>
        <v>2.0133724390174627E-5</v>
      </c>
      <c r="G179" s="2"/>
      <c r="H179" s="2">
        <v>123.59</v>
      </c>
      <c r="I179" s="2"/>
      <c r="J179" s="21">
        <f t="shared" si="12"/>
        <v>2.8516012913363049E-5</v>
      </c>
      <c r="K179" s="2"/>
      <c r="L179" s="2">
        <f t="shared" si="13"/>
        <v>-38.659999999999997</v>
      </c>
      <c r="M179" s="2"/>
      <c r="N179" s="21">
        <f t="shared" si="14"/>
        <v>-0.31280847965045711</v>
      </c>
      <c r="O179" s="11"/>
      <c r="P179" s="2">
        <v>101.66</v>
      </c>
      <c r="Q179" s="2"/>
      <c r="R179" s="21">
        <f t="shared" si="15"/>
        <v>1.7756563429577212E-5</v>
      </c>
      <c r="S179" s="2"/>
      <c r="T179" s="2">
        <v>152.85</v>
      </c>
      <c r="U179" s="2"/>
      <c r="V179" s="21">
        <f t="shared" si="16"/>
        <v>2.5480216267407225E-5</v>
      </c>
      <c r="W179" s="2"/>
      <c r="X179" s="2">
        <f t="shared" si="17"/>
        <v>-51.19</v>
      </c>
      <c r="Y179" s="2"/>
      <c r="Z179" s="21">
        <f t="shared" si="18"/>
        <v>-0.33490350016355902</v>
      </c>
    </row>
    <row r="180" spans="1:26" s="24" customFormat="1" hidden="1" outlineLevel="1" x14ac:dyDescent="0.25">
      <c r="A180" s="50"/>
      <c r="B180" s="11" t="str">
        <f>CONCATENATE("          ", "5545", " - ", "FREIGHT-IN-SPECIAL ORDERS")</f>
        <v xml:space="preserve">          5545 - FREIGHT-IN-SPECIAL ORDERS</v>
      </c>
      <c r="C180" s="11"/>
      <c r="D180" s="2">
        <v>8.8699999999999992</v>
      </c>
      <c r="E180" s="2"/>
      <c r="F180" s="21">
        <f t="shared" si="11"/>
        <v>2.1027450293282574E-6</v>
      </c>
      <c r="G180" s="2"/>
      <c r="H180" s="2">
        <v>849.93</v>
      </c>
      <c r="I180" s="2"/>
      <c r="J180" s="21">
        <f t="shared" si="12"/>
        <v>1.9610498305246908E-4</v>
      </c>
      <c r="K180" s="2"/>
      <c r="L180" s="2">
        <f t="shared" si="13"/>
        <v>-841.06</v>
      </c>
      <c r="M180" s="2"/>
      <c r="N180" s="21">
        <f t="shared" si="14"/>
        <v>-0.9895638464344122</v>
      </c>
      <c r="O180" s="11"/>
      <c r="P180" s="2">
        <v>235.95</v>
      </c>
      <c r="Q180" s="2"/>
      <c r="R180" s="21">
        <f t="shared" si="15"/>
        <v>4.1212484174785982E-5</v>
      </c>
      <c r="S180" s="2"/>
      <c r="T180" s="2">
        <v>1155.04</v>
      </c>
      <c r="U180" s="2"/>
      <c r="V180" s="21">
        <f t="shared" si="16"/>
        <v>1.9254608438015074E-4</v>
      </c>
      <c r="W180" s="2"/>
      <c r="X180" s="2">
        <f t="shared" si="17"/>
        <v>-919.08999999999992</v>
      </c>
      <c r="Y180" s="2"/>
      <c r="Z180" s="21">
        <f t="shared" si="18"/>
        <v>-0.79572136029921037</v>
      </c>
    </row>
    <row r="181" spans="1:26" s="24" customFormat="1" hidden="1" outlineLevel="1" x14ac:dyDescent="0.25">
      <c r="A181" s="50"/>
      <c r="B181" s="11" t="str">
        <f>CONCATENATE("          ", "5583", " - ", "FREIGHT-IN-COMPUTER EQUIPMENT")</f>
        <v xml:space="preserve">          5583 - FREIGHT-IN-COMPUTER EQUIPMENT</v>
      </c>
      <c r="C181" s="11"/>
      <c r="D181" s="2">
        <v>26.15</v>
      </c>
      <c r="E181" s="2"/>
      <c r="F181" s="21">
        <f t="shared" si="11"/>
        <v>6.1991863040511762E-6</v>
      </c>
      <c r="G181" s="2"/>
      <c r="H181" s="2">
        <v>8.27</v>
      </c>
      <c r="I181" s="2"/>
      <c r="J181" s="21">
        <f t="shared" si="12"/>
        <v>1.9081432704386471E-6</v>
      </c>
      <c r="K181" s="2"/>
      <c r="L181" s="2">
        <f t="shared" si="13"/>
        <v>17.88</v>
      </c>
      <c r="M181" s="2"/>
      <c r="N181" s="21">
        <f t="shared" si="14"/>
        <v>2.1620314389359128</v>
      </c>
      <c r="O181" s="11"/>
      <c r="P181" s="2">
        <v>33.14</v>
      </c>
      <c r="Q181" s="2"/>
      <c r="R181" s="21">
        <f t="shared" si="15"/>
        <v>5.7884370652782686E-6</v>
      </c>
      <c r="S181" s="2"/>
      <c r="T181" s="2">
        <v>8.27</v>
      </c>
      <c r="U181" s="2"/>
      <c r="V181" s="21">
        <f t="shared" si="16"/>
        <v>1.3786155612133316E-6</v>
      </c>
      <c r="W181" s="2"/>
      <c r="X181" s="2">
        <f t="shared" si="17"/>
        <v>24.87</v>
      </c>
      <c r="Y181" s="2"/>
      <c r="Z181" s="21">
        <f t="shared" si="18"/>
        <v>3.0072551390568321</v>
      </c>
    </row>
    <row r="182" spans="1:26" s="24" customFormat="1" hidden="1" outlineLevel="1" x14ac:dyDescent="0.25">
      <c r="A182" s="50"/>
      <c r="B182" s="11" t="str">
        <f>CONCATENATE("          ", "5586", " - ", "FREIGHT-IN-COMPUTER SUPPLIES")</f>
        <v xml:space="preserve">          5586 - FREIGHT-IN-COMPUTER SUPPLIES</v>
      </c>
      <c r="C182" s="11"/>
      <c r="D182" s="2">
        <v>7.36</v>
      </c>
      <c r="E182" s="2"/>
      <c r="F182" s="21">
        <f t="shared" si="11"/>
        <v>1.7447805429375396E-6</v>
      </c>
      <c r="G182" s="2"/>
      <c r="H182" s="2">
        <v>27.98</v>
      </c>
      <c r="I182" s="2"/>
      <c r="J182" s="21">
        <f t="shared" si="12"/>
        <v>6.4558462765264028E-6</v>
      </c>
      <c r="K182" s="2"/>
      <c r="L182" s="2">
        <f t="shared" si="13"/>
        <v>-20.62</v>
      </c>
      <c r="M182" s="2"/>
      <c r="N182" s="21">
        <f t="shared" si="14"/>
        <v>-0.73695496783416725</v>
      </c>
      <c r="O182" s="11"/>
      <c r="P182" s="2">
        <v>37.03</v>
      </c>
      <c r="Q182" s="2"/>
      <c r="R182" s="21">
        <f t="shared" si="15"/>
        <v>6.4678884890541428E-6</v>
      </c>
      <c r="S182" s="2"/>
      <c r="T182" s="2">
        <v>48.69</v>
      </c>
      <c r="U182" s="2"/>
      <c r="V182" s="21">
        <f t="shared" si="16"/>
        <v>8.1166616294410062E-6</v>
      </c>
      <c r="W182" s="2"/>
      <c r="X182" s="2">
        <f t="shared" si="17"/>
        <v>-11.659999999999997</v>
      </c>
      <c r="Y182" s="2"/>
      <c r="Z182" s="21">
        <f t="shared" si="18"/>
        <v>-0.23947422468679394</v>
      </c>
    </row>
    <row r="183" spans="1:26" s="24" customFormat="1" hidden="1" outlineLevel="1" x14ac:dyDescent="0.25">
      <c r="A183" s="50"/>
      <c r="B183" s="11" t="str">
        <f>CONCATENATE("          ", "5592", " - ", "FREIGHT-IN-GRAD MERCH")</f>
        <v xml:space="preserve">          5592 - FREIGHT-IN-GRAD MERCH</v>
      </c>
      <c r="C183" s="11"/>
      <c r="D183" s="2">
        <v>59.57</v>
      </c>
      <c r="E183" s="2"/>
      <c r="F183" s="21">
        <f t="shared" si="11"/>
        <v>1.4121817519400711E-5</v>
      </c>
      <c r="G183" s="2"/>
      <c r="H183" s="2"/>
      <c r="I183" s="2"/>
      <c r="J183" s="21">
        <f t="shared" si="12"/>
        <v>0</v>
      </c>
      <c r="K183" s="2"/>
      <c r="L183" s="2">
        <f t="shared" si="13"/>
        <v>59.57</v>
      </c>
      <c r="M183" s="2"/>
      <c r="N183" s="21">
        <f t="shared" si="14"/>
        <v>0</v>
      </c>
      <c r="O183" s="11"/>
      <c r="P183" s="2">
        <v>59.57</v>
      </c>
      <c r="Q183" s="2"/>
      <c r="R183" s="21">
        <f t="shared" si="15"/>
        <v>1.04048640910871E-5</v>
      </c>
      <c r="S183" s="2"/>
      <c r="T183" s="2">
        <v>108.69</v>
      </c>
      <c r="U183" s="2"/>
      <c r="V183" s="21">
        <f t="shared" si="16"/>
        <v>1.8118709231956111E-5</v>
      </c>
      <c r="W183" s="2"/>
      <c r="X183" s="2">
        <f t="shared" si="17"/>
        <v>-49.12</v>
      </c>
      <c r="Y183" s="2"/>
      <c r="Z183" s="21">
        <f t="shared" si="18"/>
        <v>-0.45192750023001194</v>
      </c>
    </row>
    <row r="184" spans="1:26" x14ac:dyDescent="0.25">
      <c r="A184" s="9"/>
      <c r="B184" s="10"/>
      <c r="C184" s="10"/>
      <c r="D184" s="3"/>
      <c r="E184" s="3"/>
      <c r="F184" s="8"/>
      <c r="G184" s="3"/>
      <c r="H184" s="3"/>
      <c r="I184" s="3"/>
      <c r="J184" s="8"/>
      <c r="K184" s="3"/>
      <c r="L184" s="3"/>
      <c r="M184" s="3"/>
      <c r="N184" s="8"/>
      <c r="O184" s="10"/>
      <c r="P184" s="3"/>
      <c r="Q184" s="3"/>
      <c r="R184" s="8"/>
      <c r="S184" s="3"/>
      <c r="T184" s="3"/>
      <c r="U184" s="3"/>
      <c r="V184" s="8"/>
      <c r="W184" s="3"/>
      <c r="X184" s="3"/>
      <c r="Y184" s="3"/>
      <c r="Z184" s="8"/>
    </row>
    <row r="185" spans="1:26" s="23" customFormat="1" x14ac:dyDescent="0.25">
      <c r="A185" s="10"/>
      <c r="B185" s="26" t="s">
        <v>6</v>
      </c>
      <c r="C185" s="26"/>
      <c r="D185" s="20">
        <f>D12-D128</f>
        <v>1675463.1199999955</v>
      </c>
      <c r="E185" s="13"/>
      <c r="F185" s="19">
        <f>IF(D$12=0,0,D185/D$12)</f>
        <v>0.39718959948171412</v>
      </c>
      <c r="G185" s="13"/>
      <c r="H185" s="20">
        <f>H12-H128</f>
        <v>1671361.399999999</v>
      </c>
      <c r="I185" s="13"/>
      <c r="J185" s="19">
        <f>IF(H$12=0,0,H185/H$12)</f>
        <v>0.38563446286347208</v>
      </c>
      <c r="K185" s="15"/>
      <c r="L185" s="20">
        <f>+D185-H185</f>
        <v>4101.7199999964796</v>
      </c>
      <c r="M185" s="15"/>
      <c r="N185" s="19">
        <f>IF(H185=0,0,L185/H185)</f>
        <v>2.4541191390422693E-3</v>
      </c>
      <c r="O185" s="25"/>
      <c r="P185" s="20">
        <f>P12-P128</f>
        <v>2392836.8599999989</v>
      </c>
      <c r="Q185" s="13"/>
      <c r="R185" s="19">
        <f>IF(P$12=0,0,P185/P$12)</f>
        <v>0.41794766359650154</v>
      </c>
      <c r="S185" s="13"/>
      <c r="T185" s="20">
        <f>T12-T128</f>
        <v>2527479.8300000024</v>
      </c>
      <c r="U185" s="13"/>
      <c r="V185" s="19">
        <f>IF(T$12=0,0,T185/T$12)</f>
        <v>0.42133289290094678</v>
      </c>
      <c r="W185" s="15"/>
      <c r="X185" s="20">
        <f>+P185-T185</f>
        <v>-134642.97000000346</v>
      </c>
      <c r="Y185" s="15"/>
      <c r="Z185" s="19">
        <f>IF(T185=0,0,X185/T185)</f>
        <v>-5.3271629866974382E-2</v>
      </c>
    </row>
    <row r="186" spans="1:26" x14ac:dyDescent="0.25">
      <c r="A186" s="9"/>
      <c r="B186" s="10"/>
      <c r="C186" s="9"/>
      <c r="D186" s="1"/>
      <c r="E186" s="1"/>
      <c r="F186" s="5"/>
      <c r="G186" s="1"/>
      <c r="H186" s="1"/>
      <c r="I186" s="1"/>
      <c r="J186" s="5"/>
      <c r="K186" s="1"/>
      <c r="L186" s="1"/>
      <c r="M186" s="1"/>
      <c r="N186" s="5"/>
      <c r="O186" s="37"/>
      <c r="P186" s="1"/>
      <c r="Q186" s="1"/>
      <c r="R186" s="5"/>
      <c r="S186" s="1"/>
      <c r="T186" s="1"/>
      <c r="U186" s="1"/>
      <c r="V186" s="5"/>
      <c r="W186" s="1"/>
      <c r="X186" s="1"/>
      <c r="Y186" s="1"/>
      <c r="Z186" s="5"/>
    </row>
    <row r="187" spans="1:26" s="23" customFormat="1" x14ac:dyDescent="0.25">
      <c r="A187" s="10"/>
      <c r="B187" s="25" t="s">
        <v>9</v>
      </c>
      <c r="C187" s="10"/>
      <c r="D187" s="22">
        <f>SUM(OSRRefD22x_0)</f>
        <v>1350843.6799999997</v>
      </c>
      <c r="E187" s="22"/>
      <c r="F187" s="33">
        <f t="shared" ref="F187:F197" si="19">IF(D$12=0,0,D187/D$12)</f>
        <v>0.32023447953996514</v>
      </c>
      <c r="G187" s="22"/>
      <c r="H187" s="22">
        <f>SUM(OSRRefH22x_0)</f>
        <v>1363232.3900000001</v>
      </c>
      <c r="I187" s="22"/>
      <c r="J187" s="33">
        <f t="shared" ref="J187:J197" si="20">IF(H$12=0,0,H187/H$12)</f>
        <v>0.31453962648397743</v>
      </c>
      <c r="K187" s="4"/>
      <c r="L187" s="22">
        <f t="shared" ref="L187:L197" si="21">+D187-H187</f>
        <v>-12388.710000000428</v>
      </c>
      <c r="M187" s="4"/>
      <c r="N187" s="33">
        <f t="shared" ref="N187:N197" si="22">IF(H187=0,0,L187/H187)</f>
        <v>-9.0877462205841714E-3</v>
      </c>
      <c r="O187" s="10"/>
      <c r="P187" s="22">
        <f>SUM(OSRRefP22x_0)</f>
        <v>2663502.8500000006</v>
      </c>
      <c r="Q187" s="22"/>
      <c r="R187" s="33">
        <f t="shared" ref="R187:R197" si="23">IF(P$12=0,0,P187/P$12)</f>
        <v>0.46522385698293023</v>
      </c>
      <c r="S187" s="22"/>
      <c r="T187" s="22">
        <f>SUM(OSRRefT22x_0)</f>
        <v>2655618.399999999</v>
      </c>
      <c r="U187" s="22"/>
      <c r="V187" s="33">
        <f t="shared" ref="V187:V197" si="24">IF(T$12=0,0,T187/T$12)</f>
        <v>0.44269369418191645</v>
      </c>
      <c r="W187" s="4"/>
      <c r="X187" s="22">
        <f t="shared" ref="X187:X197" si="25">+P187-T187</f>
        <v>7884.4500000015832</v>
      </c>
      <c r="Y187" s="4"/>
      <c r="Z187" s="33">
        <f t="shared" ref="Z187:Z197" si="26">IF(T187=0,0,X187/T187)</f>
        <v>2.9689694874841907E-3</v>
      </c>
    </row>
    <row r="188" spans="1:26" s="27" customFormat="1" outlineLevel="1" collapsed="1" x14ac:dyDescent="0.25">
      <c r="A188" s="28"/>
      <c r="B188" s="14" t="str">
        <f>CONCATENATE("     ","*Benefits                                         ")</f>
        <v xml:space="preserve">     *Benefits                                         </v>
      </c>
      <c r="C188" s="14"/>
      <c r="D188" s="1">
        <f>SUM(OSRRefD22_0x_0)</f>
        <v>217946.41999999998</v>
      </c>
      <c r="E188" s="1"/>
      <c r="F188" s="5">
        <f t="shared" si="19"/>
        <v>5.166693926887133E-2</v>
      </c>
      <c r="G188" s="1"/>
      <c r="H188" s="1">
        <f>SUM(OSRRefH22_0x_0)</f>
        <v>222888.40000000002</v>
      </c>
      <c r="I188" s="1"/>
      <c r="J188" s="5">
        <f t="shared" si="20"/>
        <v>5.1427206834200413E-2</v>
      </c>
      <c r="K188" s="1"/>
      <c r="L188" s="1">
        <f t="shared" si="21"/>
        <v>-4941.9800000000396</v>
      </c>
      <c r="M188" s="1"/>
      <c r="N188" s="5">
        <f t="shared" si="22"/>
        <v>-2.2172441455006357E-2</v>
      </c>
      <c r="O188" s="14"/>
      <c r="P188" s="1">
        <f>SUM(OSRRefP22_0x_0)</f>
        <v>461782.09</v>
      </c>
      <c r="Q188" s="1"/>
      <c r="R188" s="5">
        <f t="shared" si="23"/>
        <v>8.0657711703007409E-2</v>
      </c>
      <c r="S188" s="1"/>
      <c r="T188" s="1">
        <f>SUM(OSRRefT22_0x_0)</f>
        <v>415735.64000000013</v>
      </c>
      <c r="U188" s="1"/>
      <c r="V188" s="5">
        <f t="shared" si="24"/>
        <v>6.9303461022368062E-2</v>
      </c>
      <c r="W188" s="1"/>
      <c r="X188" s="1">
        <f t="shared" si="25"/>
        <v>46046.449999999895</v>
      </c>
      <c r="Y188" s="1"/>
      <c r="Z188" s="5">
        <f t="shared" si="26"/>
        <v>0.11075896692426919</v>
      </c>
    </row>
    <row r="189" spans="1:26" s="24" customFormat="1" hidden="1" outlineLevel="2" x14ac:dyDescent="0.25">
      <c r="A189" s="29"/>
      <c r="B189" s="11" t="str">
        <f>CONCATENATE("          ", "6111", " - ", "F.I.C.A.")</f>
        <v xml:space="preserve">          6111 - F.I.C.A.</v>
      </c>
      <c r="C189" s="11"/>
      <c r="D189" s="7">
        <v>44247.740000000005</v>
      </c>
      <c r="E189" s="2"/>
      <c r="F189" s="6">
        <f t="shared" si="19"/>
        <v>1.0489483127847704E-2</v>
      </c>
      <c r="G189" s="2"/>
      <c r="H189" s="7">
        <v>42743.939999999995</v>
      </c>
      <c r="I189" s="2"/>
      <c r="J189" s="6">
        <f t="shared" si="20"/>
        <v>9.862341168444172E-3</v>
      </c>
      <c r="K189" s="2"/>
      <c r="L189" s="7">
        <f t="shared" si="21"/>
        <v>1503.8000000000102</v>
      </c>
      <c r="M189" s="2"/>
      <c r="N189" s="6">
        <f t="shared" si="22"/>
        <v>3.5181595332578378E-2</v>
      </c>
      <c r="O189" s="11"/>
      <c r="P189" s="7">
        <v>82446.599999999991</v>
      </c>
      <c r="Q189" s="2"/>
      <c r="R189" s="6">
        <f t="shared" si="23"/>
        <v>1.4400632327886883E-2</v>
      </c>
      <c r="S189" s="2"/>
      <c r="T189" s="7">
        <v>77894.33</v>
      </c>
      <c r="U189" s="2"/>
      <c r="V189" s="6">
        <f t="shared" si="24"/>
        <v>1.2985046610433672E-2</v>
      </c>
      <c r="W189" s="2"/>
      <c r="X189" s="7">
        <f t="shared" si="25"/>
        <v>4552.2699999999895</v>
      </c>
      <c r="Y189" s="2"/>
      <c r="Z189" s="6">
        <f t="shared" si="26"/>
        <v>5.8441609292999755E-2</v>
      </c>
    </row>
    <row r="190" spans="1:26" s="24" customFormat="1" hidden="1" outlineLevel="2" x14ac:dyDescent="0.25">
      <c r="A190" s="29"/>
      <c r="B190" s="11" t="str">
        <f>CONCATENATE("          ", "6112", " - ", "COMPENSATION INSURANCE")</f>
        <v xml:space="preserve">          6112 - COMPENSATION INSURANCE</v>
      </c>
      <c r="C190" s="11"/>
      <c r="D190" s="7">
        <v>17070.38</v>
      </c>
      <c r="E190" s="2"/>
      <c r="F190" s="6">
        <f t="shared" si="19"/>
        <v>4.0467482180095264E-3</v>
      </c>
      <c r="G190" s="2"/>
      <c r="H190" s="7">
        <v>13732.01</v>
      </c>
      <c r="I190" s="2"/>
      <c r="J190" s="6">
        <f t="shared" si="20"/>
        <v>3.1683969130708836E-3</v>
      </c>
      <c r="K190" s="2"/>
      <c r="L190" s="7">
        <f t="shared" si="21"/>
        <v>3338.3700000000008</v>
      </c>
      <c r="M190" s="2"/>
      <c r="N190" s="6">
        <f t="shared" si="22"/>
        <v>0.24310861993255181</v>
      </c>
      <c r="O190" s="11"/>
      <c r="P190" s="7">
        <v>31910.52</v>
      </c>
      <c r="Q190" s="2"/>
      <c r="R190" s="6">
        <f t="shared" si="23"/>
        <v>5.5736884954829058E-3</v>
      </c>
      <c r="S190" s="2"/>
      <c r="T190" s="7">
        <v>30217.439999999999</v>
      </c>
      <c r="U190" s="2"/>
      <c r="V190" s="6">
        <f t="shared" si="24"/>
        <v>5.0372712217690661E-3</v>
      </c>
      <c r="W190" s="2"/>
      <c r="X190" s="7">
        <f t="shared" si="25"/>
        <v>1693.0800000000017</v>
      </c>
      <c r="Y190" s="2"/>
      <c r="Z190" s="6">
        <f t="shared" si="26"/>
        <v>5.6029895318729907E-2</v>
      </c>
    </row>
    <row r="191" spans="1:26" s="24" customFormat="1" hidden="1" outlineLevel="2" x14ac:dyDescent="0.25">
      <c r="A191" s="29"/>
      <c r="B191" s="11" t="str">
        <f>CONCATENATE("          ", "6113", " - ", "GROUP INSURANCE")</f>
        <v xml:space="preserve">          6113 - GROUP INSURANCE</v>
      </c>
      <c r="C191" s="11"/>
      <c r="D191" s="7">
        <v>93812.87</v>
      </c>
      <c r="E191" s="2"/>
      <c r="F191" s="6">
        <f t="shared" si="19"/>
        <v>2.2239520414827282E-2</v>
      </c>
      <c r="G191" s="2"/>
      <c r="H191" s="7">
        <v>103140.53</v>
      </c>
      <c r="I191" s="2"/>
      <c r="J191" s="6">
        <f t="shared" si="20"/>
        <v>2.3797691442439588E-2</v>
      </c>
      <c r="K191" s="2"/>
      <c r="L191" s="7">
        <f t="shared" si="21"/>
        <v>-9327.6600000000035</v>
      </c>
      <c r="M191" s="2"/>
      <c r="N191" s="6">
        <f t="shared" si="22"/>
        <v>-9.0436417187307494E-2</v>
      </c>
      <c r="O191" s="11"/>
      <c r="P191" s="7">
        <v>186460.92</v>
      </c>
      <c r="Q191" s="2"/>
      <c r="R191" s="6">
        <f t="shared" si="23"/>
        <v>3.2568415828421425E-2</v>
      </c>
      <c r="S191" s="2"/>
      <c r="T191" s="7">
        <v>141213.95000000001</v>
      </c>
      <c r="U191" s="2"/>
      <c r="V191" s="6">
        <f t="shared" si="24"/>
        <v>2.3540477500653131E-2</v>
      </c>
      <c r="W191" s="2"/>
      <c r="X191" s="7">
        <f t="shared" si="25"/>
        <v>45246.97</v>
      </c>
      <c r="Y191" s="2"/>
      <c r="Z191" s="6">
        <f t="shared" si="26"/>
        <v>0.32041430750998751</v>
      </c>
    </row>
    <row r="192" spans="1:26" s="24" customFormat="1" hidden="1" outlineLevel="2" x14ac:dyDescent="0.25">
      <c r="A192" s="29"/>
      <c r="B192" s="11" t="str">
        <f>CONCATENATE("          ", "6114", " - ", "STATE UNEMPLOYMENT INSURANCE")</f>
        <v xml:space="preserve">          6114 - STATE UNEMPLOYMENT INSURANCE</v>
      </c>
      <c r="C192" s="11"/>
      <c r="D192" s="7">
        <v>1537.94</v>
      </c>
      <c r="E192" s="2"/>
      <c r="F192" s="6">
        <f t="shared" si="19"/>
        <v>3.6458801470181518E-4</v>
      </c>
      <c r="G192" s="2"/>
      <c r="H192" s="7">
        <v>1488.82</v>
      </c>
      <c r="I192" s="2"/>
      <c r="J192" s="6">
        <f t="shared" si="20"/>
        <v>3.4351654944310357E-4</v>
      </c>
      <c r="K192" s="2"/>
      <c r="L192" s="7">
        <f t="shared" si="21"/>
        <v>49.120000000000118</v>
      </c>
      <c r="M192" s="2"/>
      <c r="N192" s="6">
        <f t="shared" si="22"/>
        <v>3.2992571298075063E-2</v>
      </c>
      <c r="O192" s="11"/>
      <c r="P192" s="7">
        <v>2861.27</v>
      </c>
      <c r="Q192" s="2"/>
      <c r="R192" s="6">
        <f t="shared" si="23"/>
        <v>4.9976708876791644E-4</v>
      </c>
      <c r="S192" s="2"/>
      <c r="T192" s="7">
        <v>3274.85</v>
      </c>
      <c r="U192" s="2"/>
      <c r="V192" s="6">
        <f t="shared" si="24"/>
        <v>5.4592009318494314E-4</v>
      </c>
      <c r="W192" s="2"/>
      <c r="X192" s="7">
        <f t="shared" si="25"/>
        <v>-413.57999999999993</v>
      </c>
      <c r="Y192" s="2"/>
      <c r="Z192" s="6">
        <f t="shared" si="26"/>
        <v>-0.12628975372917842</v>
      </c>
    </row>
    <row r="193" spans="1:26" s="24" customFormat="1" hidden="1" outlineLevel="2" x14ac:dyDescent="0.25">
      <c r="A193" s="29"/>
      <c r="B193" s="11" t="str">
        <f>CONCATENATE("          ", "6115", " - ", "P.E.R.S.")</f>
        <v xml:space="preserve">          6115 - P.E.R.S.</v>
      </c>
      <c r="C193" s="11"/>
      <c r="D193" s="7">
        <v>18475.900000000001</v>
      </c>
      <c r="E193" s="2"/>
      <c r="F193" s="6">
        <f t="shared" si="19"/>
        <v>4.3799444066928922E-3</v>
      </c>
      <c r="G193" s="2"/>
      <c r="H193" s="7">
        <v>16925.11</v>
      </c>
      <c r="I193" s="2"/>
      <c r="J193" s="6">
        <f t="shared" si="20"/>
        <v>3.9051432585167898E-3</v>
      </c>
      <c r="K193" s="2"/>
      <c r="L193" s="7">
        <f t="shared" si="21"/>
        <v>1550.7900000000009</v>
      </c>
      <c r="M193" s="2"/>
      <c r="N193" s="6">
        <f t="shared" si="22"/>
        <v>9.162658322456993E-2</v>
      </c>
      <c r="O193" s="11"/>
      <c r="P193" s="7">
        <v>36622.83</v>
      </c>
      <c r="Q193" s="2"/>
      <c r="R193" s="6">
        <f t="shared" si="23"/>
        <v>6.3967696622626719E-3</v>
      </c>
      <c r="S193" s="2"/>
      <c r="T193" s="7">
        <v>41812.800000000003</v>
      </c>
      <c r="U193" s="2"/>
      <c r="V193" s="6">
        <f t="shared" si="24"/>
        <v>6.9702269332407264E-3</v>
      </c>
      <c r="W193" s="2"/>
      <c r="X193" s="7">
        <f t="shared" si="25"/>
        <v>-5189.9700000000012</v>
      </c>
      <c r="Y193" s="2"/>
      <c r="Z193" s="6">
        <f t="shared" si="26"/>
        <v>-0.12412395247388361</v>
      </c>
    </row>
    <row r="194" spans="1:26" s="24" customFormat="1" hidden="1" outlineLevel="2" x14ac:dyDescent="0.25">
      <c r="A194" s="29"/>
      <c r="B194" s="11" t="str">
        <f>CONCATENATE("          ", "6117", " - ", "RETIREMENT STAFF HOURLY")</f>
        <v xml:space="preserve">          6117 - RETIREMENT STAFF HOURLY</v>
      </c>
      <c r="C194" s="11"/>
      <c r="D194" s="7">
        <v>1426.59</v>
      </c>
      <c r="E194" s="2"/>
      <c r="F194" s="6">
        <f t="shared" si="19"/>
        <v>3.381910971126718E-4</v>
      </c>
      <c r="G194" s="2"/>
      <c r="H194" s="7">
        <v>1858.14</v>
      </c>
      <c r="I194" s="2"/>
      <c r="J194" s="6">
        <f t="shared" si="20"/>
        <v>4.2873002860131413E-4</v>
      </c>
      <c r="K194" s="2"/>
      <c r="L194" s="7">
        <f t="shared" si="21"/>
        <v>-431.55000000000018</v>
      </c>
      <c r="M194" s="2"/>
      <c r="N194" s="6">
        <f t="shared" si="22"/>
        <v>-0.23224837740966781</v>
      </c>
      <c r="O194" s="11"/>
      <c r="P194" s="7">
        <v>3225.66</v>
      </c>
      <c r="Q194" s="2"/>
      <c r="R194" s="6">
        <f t="shared" si="23"/>
        <v>5.6341369655961069E-4</v>
      </c>
      <c r="S194" s="2"/>
      <c r="T194" s="7">
        <v>3625.75</v>
      </c>
      <c r="U194" s="2"/>
      <c r="V194" s="6">
        <f t="shared" si="24"/>
        <v>6.0441540158031899E-4</v>
      </c>
      <c r="W194" s="2"/>
      <c r="X194" s="7">
        <f t="shared" si="25"/>
        <v>-400.09000000000015</v>
      </c>
      <c r="Y194" s="2"/>
      <c r="Z194" s="6">
        <f t="shared" si="26"/>
        <v>-0.11034682479487007</v>
      </c>
    </row>
    <row r="195" spans="1:26" s="24" customFormat="1" hidden="1" outlineLevel="2" x14ac:dyDescent="0.25">
      <c r="A195" s="29"/>
      <c r="B195" s="11" t="str">
        <f>CONCATENATE("          ", "6118", " - ", "VACATION")</f>
        <v xml:space="preserve">          6118 - VACATION</v>
      </c>
      <c r="C195" s="11"/>
      <c r="D195" s="7">
        <v>19508.900000000001</v>
      </c>
      <c r="E195" s="2"/>
      <c r="F195" s="6">
        <f t="shared" si="19"/>
        <v>4.6248300453959465E-3</v>
      </c>
      <c r="G195" s="2"/>
      <c r="H195" s="7">
        <v>19808.390000000003</v>
      </c>
      <c r="I195" s="2"/>
      <c r="J195" s="6">
        <f t="shared" si="20"/>
        <v>4.5704046041988152E-3</v>
      </c>
      <c r="K195" s="2"/>
      <c r="L195" s="7">
        <f t="shared" si="21"/>
        <v>-299.4900000000016</v>
      </c>
      <c r="M195" s="2"/>
      <c r="N195" s="6">
        <f t="shared" si="22"/>
        <v>-1.5119350941697005E-2</v>
      </c>
      <c r="O195" s="11"/>
      <c r="P195" s="7">
        <v>48828.72</v>
      </c>
      <c r="Q195" s="2"/>
      <c r="R195" s="6">
        <f t="shared" si="23"/>
        <v>8.5287257905278906E-3</v>
      </c>
      <c r="S195" s="2"/>
      <c r="T195" s="7">
        <v>49098.720000000001</v>
      </c>
      <c r="U195" s="2"/>
      <c r="V195" s="6">
        <f t="shared" si="24"/>
        <v>8.1847955777093404E-3</v>
      </c>
      <c r="W195" s="2"/>
      <c r="X195" s="7">
        <f t="shared" si="25"/>
        <v>-270</v>
      </c>
      <c r="Y195" s="2"/>
      <c r="Z195" s="6">
        <f t="shared" si="26"/>
        <v>-5.4991250281066391E-3</v>
      </c>
    </row>
    <row r="196" spans="1:26" s="24" customFormat="1" hidden="1" outlineLevel="2" x14ac:dyDescent="0.25">
      <c r="A196" s="29"/>
      <c r="B196" s="11" t="str">
        <f>CONCATENATE("          ", "6119", " - ", "SICK LEAVE")</f>
        <v xml:space="preserve">          6119 - SICK LEAVE</v>
      </c>
      <c r="C196" s="11"/>
      <c r="D196" s="7">
        <v>13305.16</v>
      </c>
      <c r="E196" s="2"/>
      <c r="F196" s="6">
        <f t="shared" si="19"/>
        <v>3.1541554740041893E-3</v>
      </c>
      <c r="G196" s="2"/>
      <c r="H196" s="7">
        <v>13440.45</v>
      </c>
      <c r="I196" s="2"/>
      <c r="J196" s="6">
        <f t="shared" si="20"/>
        <v>3.101125056731211E-3</v>
      </c>
      <c r="K196" s="2"/>
      <c r="L196" s="7">
        <f t="shared" si="21"/>
        <v>-135.29000000000087</v>
      </c>
      <c r="M196" s="2"/>
      <c r="N196" s="6">
        <f t="shared" si="22"/>
        <v>-1.0065883210755657E-2</v>
      </c>
      <c r="O196" s="11"/>
      <c r="P196" s="7">
        <v>53115.96</v>
      </c>
      <c r="Q196" s="2"/>
      <c r="R196" s="6">
        <f t="shared" si="23"/>
        <v>9.2775616059697624E-3</v>
      </c>
      <c r="S196" s="2"/>
      <c r="T196" s="7">
        <v>50140.91</v>
      </c>
      <c r="U196" s="2"/>
      <c r="V196" s="6">
        <f t="shared" si="24"/>
        <v>8.3585294775570945E-3</v>
      </c>
      <c r="W196" s="2"/>
      <c r="X196" s="7">
        <f t="shared" si="25"/>
        <v>2975.0499999999956</v>
      </c>
      <c r="Y196" s="2"/>
      <c r="Z196" s="6">
        <f t="shared" si="26"/>
        <v>5.9333785525631573E-2</v>
      </c>
    </row>
    <row r="197" spans="1:26" s="24" customFormat="1" hidden="1" outlineLevel="2" x14ac:dyDescent="0.25">
      <c r="A197" s="29"/>
      <c r="B197" s="11" t="str">
        <f>CONCATENATE("          ", "6156", " - ", "EMPLOYEE MEALS")</f>
        <v xml:space="preserve">          6156 - EMPLOYEE MEALS</v>
      </c>
      <c r="C197" s="11"/>
      <c r="D197" s="7">
        <v>8560.94</v>
      </c>
      <c r="E197" s="2"/>
      <c r="F197" s="6">
        <f t="shared" si="19"/>
        <v>2.0294784702793072E-3</v>
      </c>
      <c r="G197" s="2"/>
      <c r="H197" s="7">
        <v>9751.01</v>
      </c>
      <c r="I197" s="2"/>
      <c r="J197" s="6">
        <f t="shared" si="20"/>
        <v>2.2498578127545287E-3</v>
      </c>
      <c r="K197" s="2"/>
      <c r="L197" s="7">
        <f t="shared" si="21"/>
        <v>-1190.0699999999997</v>
      </c>
      <c r="M197" s="2"/>
      <c r="N197" s="6">
        <f t="shared" si="22"/>
        <v>-0.12204581884338132</v>
      </c>
      <c r="O197" s="11"/>
      <c r="P197" s="7">
        <v>16309.609999999999</v>
      </c>
      <c r="Q197" s="2"/>
      <c r="R197" s="6">
        <f t="shared" si="23"/>
        <v>2.8487372071283375E-3</v>
      </c>
      <c r="S197" s="2"/>
      <c r="T197" s="7">
        <v>18456.89</v>
      </c>
      <c r="U197" s="2"/>
      <c r="V197" s="6">
        <f t="shared" si="24"/>
        <v>3.0767782062397497E-3</v>
      </c>
      <c r="W197" s="2"/>
      <c r="X197" s="7">
        <f t="shared" si="25"/>
        <v>-2147.2800000000007</v>
      </c>
      <c r="Y197" s="2"/>
      <c r="Z197" s="6">
        <f t="shared" si="26"/>
        <v>-0.11634029351640503</v>
      </c>
    </row>
    <row r="198" spans="1:26" s="27" customFormat="1" outlineLevel="1" collapsed="1" x14ac:dyDescent="0.25">
      <c r="A198" s="28"/>
      <c r="B198" s="14" t="str">
        <f>CONCATENATE("     ","*Payroll                                          ")</f>
        <v xml:space="preserve">     *Payroll                                          </v>
      </c>
      <c r="C198" s="14"/>
      <c r="D198" s="1">
        <f>SUM(OSRRefD22_1x_0)</f>
        <v>671078.84</v>
      </c>
      <c r="E198" s="1"/>
      <c r="F198" s="5">
        <f t="shared" ref="F198:F205" si="27">IF(D$12=0,0,D198/D$12)</f>
        <v>0.15908767701210519</v>
      </c>
      <c r="G198" s="1"/>
      <c r="H198" s="1">
        <f>SUM(OSRRefH22_1x_0)</f>
        <v>644844.44000000006</v>
      </c>
      <c r="I198" s="1"/>
      <c r="J198" s="5">
        <f t="shared" ref="J198:J205" si="28">IF(H$12=0,0,H198/H$12)</f>
        <v>0.14878543877458017</v>
      </c>
      <c r="K198" s="1"/>
      <c r="L198" s="1">
        <f t="shared" ref="L198:L205" si="29">+D198-H198</f>
        <v>26234.399999999907</v>
      </c>
      <c r="M198" s="1"/>
      <c r="N198" s="5">
        <f t="shared" ref="N198:N205" si="30">IF(H198=0,0,L198/H198)</f>
        <v>4.0683300301077113E-2</v>
      </c>
      <c r="O198" s="14"/>
      <c r="P198" s="1">
        <f>SUM(OSRRefP22_1x_0)</f>
        <v>1270655.74</v>
      </c>
      <c r="Q198" s="1"/>
      <c r="R198" s="5">
        <f t="shared" ref="R198:R205" si="31">IF(P$12=0,0,P198/P$12)</f>
        <v>0.22194057883598634</v>
      </c>
      <c r="S198" s="1"/>
      <c r="T198" s="1">
        <f>SUM(OSRRefT22_1x_0)</f>
        <v>1195034.57</v>
      </c>
      <c r="U198" s="1"/>
      <c r="V198" s="5">
        <f t="shared" ref="V198:V205" si="32">IF(T$12=0,0,T198/T$12)</f>
        <v>0.19921321092985281</v>
      </c>
      <c r="W198" s="1"/>
      <c r="X198" s="1">
        <f t="shared" ref="X198:X205" si="33">+P198-T198</f>
        <v>75621.169999999925</v>
      </c>
      <c r="Y198" s="1"/>
      <c r="Z198" s="5">
        <f t="shared" ref="Z198:Z205" si="34">IF(T198=0,0,X198/T198)</f>
        <v>6.327948320356952E-2</v>
      </c>
    </row>
    <row r="199" spans="1:26" s="24" customFormat="1" hidden="1" outlineLevel="2" x14ac:dyDescent="0.25">
      <c r="A199" s="29"/>
      <c r="B199" s="11" t="str">
        <f>CONCATENATE("          ", "6001", " - ", "ADMINISTRATIVE SALARIES")</f>
        <v xml:space="preserve">          6001 - ADMINISTRATIVE SALARIES</v>
      </c>
      <c r="C199" s="11"/>
      <c r="D199" s="7">
        <v>30531.79</v>
      </c>
      <c r="E199" s="2"/>
      <c r="F199" s="6">
        <f t="shared" si="27"/>
        <v>7.2379447191650735E-3</v>
      </c>
      <c r="G199" s="2"/>
      <c r="H199" s="7">
        <v>32393.779999999995</v>
      </c>
      <c r="I199" s="2"/>
      <c r="J199" s="6">
        <f t="shared" si="28"/>
        <v>7.4742410291499433E-3</v>
      </c>
      <c r="K199" s="2"/>
      <c r="L199" s="7">
        <f t="shared" si="29"/>
        <v>-1861.9899999999943</v>
      </c>
      <c r="M199" s="2"/>
      <c r="N199" s="6">
        <f t="shared" si="30"/>
        <v>-5.7479861874717757E-2</v>
      </c>
      <c r="O199" s="11"/>
      <c r="P199" s="7">
        <v>71556.26999999999</v>
      </c>
      <c r="Q199" s="2"/>
      <c r="R199" s="6">
        <f t="shared" si="31"/>
        <v>1.2498460033827983E-2</v>
      </c>
      <c r="S199" s="2"/>
      <c r="T199" s="7">
        <v>72722.739999999991</v>
      </c>
      <c r="U199" s="2"/>
      <c r="V199" s="6">
        <f t="shared" si="32"/>
        <v>1.2122938454422152E-2</v>
      </c>
      <c r="W199" s="2"/>
      <c r="X199" s="7">
        <f t="shared" si="33"/>
        <v>-1166.4700000000012</v>
      </c>
      <c r="Y199" s="2"/>
      <c r="Z199" s="6">
        <f t="shared" si="34"/>
        <v>-1.6039962190643551E-2</v>
      </c>
    </row>
    <row r="200" spans="1:26" s="24" customFormat="1" hidden="1" outlineLevel="2" x14ac:dyDescent="0.25">
      <c r="A200" s="29"/>
      <c r="B200" s="11" t="str">
        <f>CONCATENATE("          ", "6002", " - ", "STAFF SALARIES")</f>
        <v xml:space="preserve">          6002 - STAFF SALARIES</v>
      </c>
      <c r="C200" s="11"/>
      <c r="D200" s="7">
        <v>167975.15</v>
      </c>
      <c r="E200" s="2"/>
      <c r="F200" s="6">
        <f t="shared" si="27"/>
        <v>3.9820621388181335E-2</v>
      </c>
      <c r="G200" s="2"/>
      <c r="H200" s="7">
        <v>160407.72</v>
      </c>
      <c r="I200" s="2"/>
      <c r="J200" s="6">
        <f t="shared" si="28"/>
        <v>3.7010992919517142E-2</v>
      </c>
      <c r="K200" s="2"/>
      <c r="L200" s="7">
        <f t="shared" si="29"/>
        <v>7567.429999999993</v>
      </c>
      <c r="M200" s="2"/>
      <c r="N200" s="6">
        <f t="shared" si="30"/>
        <v>4.7176220695612364E-2</v>
      </c>
      <c r="O200" s="11"/>
      <c r="P200" s="7">
        <v>364503.64999999997</v>
      </c>
      <c r="Q200" s="2"/>
      <c r="R200" s="6">
        <f t="shared" si="31"/>
        <v>6.3666458602571432E-2</v>
      </c>
      <c r="S200" s="2"/>
      <c r="T200" s="7">
        <v>351655.86</v>
      </c>
      <c r="U200" s="2"/>
      <c r="V200" s="6">
        <f t="shared" si="32"/>
        <v>5.862131085705645E-2</v>
      </c>
      <c r="W200" s="2"/>
      <c r="X200" s="7">
        <f t="shared" si="33"/>
        <v>12847.789999999979</v>
      </c>
      <c r="Y200" s="2"/>
      <c r="Z200" s="6">
        <f t="shared" si="34"/>
        <v>3.6535122719126532E-2</v>
      </c>
    </row>
    <row r="201" spans="1:26" s="24" customFormat="1" hidden="1" outlineLevel="2" x14ac:dyDescent="0.25">
      <c r="A201" s="29"/>
      <c r="B201" s="11" t="str">
        <f>CONCATENATE("          ", "6004", " - ", "STAFF HOURLY")</f>
        <v xml:space="preserve">          6004 - STAFF HOURLY</v>
      </c>
      <c r="C201" s="11"/>
      <c r="D201" s="7">
        <v>58430.729999999996</v>
      </c>
      <c r="E201" s="2"/>
      <c r="F201" s="6">
        <f t="shared" si="27"/>
        <v>1.3851739240983258E-2</v>
      </c>
      <c r="G201" s="2"/>
      <c r="H201" s="7">
        <v>74240.37000000001</v>
      </c>
      <c r="I201" s="2"/>
      <c r="J201" s="6">
        <f t="shared" si="28"/>
        <v>1.7129535962560491E-2</v>
      </c>
      <c r="K201" s="2"/>
      <c r="L201" s="7">
        <f t="shared" si="29"/>
        <v>-15809.640000000014</v>
      </c>
      <c r="M201" s="2"/>
      <c r="N201" s="6">
        <f t="shared" si="30"/>
        <v>-0.21295206368179484</v>
      </c>
      <c r="O201" s="11"/>
      <c r="P201" s="7">
        <v>121519.16</v>
      </c>
      <c r="Q201" s="2"/>
      <c r="R201" s="6">
        <f t="shared" si="31"/>
        <v>2.1225286960937853E-2</v>
      </c>
      <c r="S201" s="2"/>
      <c r="T201" s="7">
        <v>138087.91</v>
      </c>
      <c r="U201" s="2"/>
      <c r="V201" s="6">
        <f t="shared" si="32"/>
        <v>2.3019364152530357E-2</v>
      </c>
      <c r="W201" s="2"/>
      <c r="X201" s="7">
        <f t="shared" si="33"/>
        <v>-16568.75</v>
      </c>
      <c r="Y201" s="2"/>
      <c r="Z201" s="6">
        <f t="shared" si="34"/>
        <v>-0.11998697061893399</v>
      </c>
    </row>
    <row r="202" spans="1:26" s="24" customFormat="1" hidden="1" outlineLevel="2" x14ac:dyDescent="0.25">
      <c r="A202" s="29"/>
      <c r="B202" s="11" t="str">
        <f>CONCATENATE("          ", "6005", " - ", "TEMPORARY WAGES-HOURLY")</f>
        <v xml:space="preserve">          6005 - TEMPORARY WAGES-HOURLY</v>
      </c>
      <c r="C202" s="11"/>
      <c r="D202" s="7">
        <v>99663.5</v>
      </c>
      <c r="E202" s="2"/>
      <c r="F202" s="6">
        <f t="shared" si="27"/>
        <v>2.362648582079558E-2</v>
      </c>
      <c r="G202" s="2"/>
      <c r="H202" s="7">
        <v>84743</v>
      </c>
      <c r="I202" s="2"/>
      <c r="J202" s="6">
        <f t="shared" si="28"/>
        <v>1.9552815618716114E-2</v>
      </c>
      <c r="K202" s="2"/>
      <c r="L202" s="7">
        <f t="shared" si="29"/>
        <v>14920.5</v>
      </c>
      <c r="M202" s="2"/>
      <c r="N202" s="6">
        <f t="shared" si="30"/>
        <v>0.17606763980505766</v>
      </c>
      <c r="O202" s="11"/>
      <c r="P202" s="7">
        <v>189787.44</v>
      </c>
      <c r="Q202" s="2"/>
      <c r="R202" s="6">
        <f t="shared" si="31"/>
        <v>3.3149446355469993E-2</v>
      </c>
      <c r="S202" s="2"/>
      <c r="T202" s="7">
        <v>152308.10999999999</v>
      </c>
      <c r="U202" s="2"/>
      <c r="V202" s="6">
        <f t="shared" si="32"/>
        <v>2.538988277448511E-2</v>
      </c>
      <c r="W202" s="2"/>
      <c r="X202" s="7">
        <f t="shared" si="33"/>
        <v>37479.330000000016</v>
      </c>
      <c r="Y202" s="2"/>
      <c r="Z202" s="6">
        <f t="shared" si="34"/>
        <v>0.24607573424685014</v>
      </c>
    </row>
    <row r="203" spans="1:26" s="24" customFormat="1" hidden="1" outlineLevel="2" x14ac:dyDescent="0.25">
      <c r="A203" s="29"/>
      <c r="B203" s="11" t="str">
        <f>CONCATENATE("          ", "6006", " - ", "TEMPORARY PART TIME")</f>
        <v xml:space="preserve">          6006 - TEMPORARY PART TIME</v>
      </c>
      <c r="C203" s="11"/>
      <c r="D203" s="7">
        <v>14144.13</v>
      </c>
      <c r="E203" s="2"/>
      <c r="F203" s="6">
        <f t="shared" si="27"/>
        <v>3.3530438615189048E-3</v>
      </c>
      <c r="G203" s="2"/>
      <c r="H203" s="7">
        <v>14007.32</v>
      </c>
      <c r="I203" s="2"/>
      <c r="J203" s="6">
        <f t="shared" si="28"/>
        <v>3.2319193947860543E-3</v>
      </c>
      <c r="K203" s="2"/>
      <c r="L203" s="7">
        <f t="shared" si="29"/>
        <v>136.80999999999949</v>
      </c>
      <c r="M203" s="2"/>
      <c r="N203" s="6">
        <f t="shared" si="30"/>
        <v>9.7670360925572845E-3</v>
      </c>
      <c r="O203" s="11"/>
      <c r="P203" s="7">
        <v>28085.969999999998</v>
      </c>
      <c r="Q203" s="2"/>
      <c r="R203" s="6">
        <f t="shared" si="31"/>
        <v>4.9056689729116924E-3</v>
      </c>
      <c r="S203" s="2"/>
      <c r="T203" s="7">
        <v>29316.74</v>
      </c>
      <c r="U203" s="2"/>
      <c r="V203" s="6">
        <f t="shared" si="32"/>
        <v>4.8871238171759772E-3</v>
      </c>
      <c r="W203" s="2"/>
      <c r="X203" s="7">
        <f t="shared" si="33"/>
        <v>-1230.7700000000041</v>
      </c>
      <c r="Y203" s="2"/>
      <c r="Z203" s="6">
        <f t="shared" si="34"/>
        <v>-4.1981816532124787E-2</v>
      </c>
    </row>
    <row r="204" spans="1:26" s="24" customFormat="1" hidden="1" outlineLevel="2" x14ac:dyDescent="0.25">
      <c r="A204" s="29"/>
      <c r="B204" s="11" t="str">
        <f>CONCATENATE("          ", "6007", " - ", "STUDENT HOURLY")</f>
        <v xml:space="preserve">          6007 - STUDENT HOURLY</v>
      </c>
      <c r="C204" s="11"/>
      <c r="D204" s="7">
        <v>283289.17</v>
      </c>
      <c r="E204" s="2"/>
      <c r="F204" s="6">
        <f t="shared" si="27"/>
        <v>6.7157259760995236E-2</v>
      </c>
      <c r="G204" s="2"/>
      <c r="H204" s="7">
        <v>261521.76000000004</v>
      </c>
      <c r="I204" s="2"/>
      <c r="J204" s="6">
        <f t="shared" si="28"/>
        <v>6.0341110812245594E-2</v>
      </c>
      <c r="K204" s="2"/>
      <c r="L204" s="7">
        <f t="shared" si="29"/>
        <v>21767.409999999945</v>
      </c>
      <c r="M204" s="2"/>
      <c r="N204" s="6">
        <f t="shared" si="30"/>
        <v>8.3233647555751925E-2</v>
      </c>
      <c r="O204" s="11"/>
      <c r="P204" s="7">
        <v>465566.55</v>
      </c>
      <c r="Q204" s="2"/>
      <c r="R204" s="6">
        <f t="shared" si="31"/>
        <v>8.1318728858591677E-2</v>
      </c>
      <c r="S204" s="2"/>
      <c r="T204" s="7">
        <v>424049.89</v>
      </c>
      <c r="U204" s="2"/>
      <c r="V204" s="6">
        <f t="shared" si="32"/>
        <v>7.0689453093688223E-2</v>
      </c>
      <c r="W204" s="2"/>
      <c r="X204" s="7">
        <f t="shared" si="33"/>
        <v>41516.659999999974</v>
      </c>
      <c r="Y204" s="2"/>
      <c r="Z204" s="6">
        <f t="shared" si="34"/>
        <v>9.7905130926929318E-2</v>
      </c>
    </row>
    <row r="205" spans="1:26" s="24" customFormat="1" hidden="1" outlineLevel="2" x14ac:dyDescent="0.25">
      <c r="A205" s="29"/>
      <c r="B205" s="11" t="str">
        <f>CONCATENATE("          ", "6008", " - ", "STUDENT HOURLY-FICA EXEMPT")</f>
        <v xml:space="preserve">          6008 - STUDENT HOURLY-FICA EXEMPT</v>
      </c>
      <c r="C205" s="11"/>
      <c r="D205" s="7">
        <v>17044.37</v>
      </c>
      <c r="E205" s="2"/>
      <c r="F205" s="6">
        <f t="shared" si="27"/>
        <v>4.0405822204658028E-3</v>
      </c>
      <c r="G205" s="2"/>
      <c r="H205" s="7">
        <v>17530.489999999998</v>
      </c>
      <c r="I205" s="2"/>
      <c r="J205" s="6">
        <f t="shared" si="28"/>
        <v>4.0448230376048363E-3</v>
      </c>
      <c r="K205" s="2"/>
      <c r="L205" s="7">
        <f t="shared" si="29"/>
        <v>-486.11999999999898</v>
      </c>
      <c r="M205" s="2"/>
      <c r="N205" s="6">
        <f t="shared" si="30"/>
        <v>-2.772997217989908E-2</v>
      </c>
      <c r="O205" s="11"/>
      <c r="P205" s="7">
        <v>29636.700000000004</v>
      </c>
      <c r="Q205" s="2"/>
      <c r="R205" s="6">
        <f t="shared" si="31"/>
        <v>5.1765290516756941E-3</v>
      </c>
      <c r="S205" s="2"/>
      <c r="T205" s="7">
        <v>26893.32</v>
      </c>
      <c r="U205" s="2"/>
      <c r="V205" s="6">
        <f t="shared" si="32"/>
        <v>4.4831377804945248E-3</v>
      </c>
      <c r="W205" s="2"/>
      <c r="X205" s="7">
        <f t="shared" si="33"/>
        <v>2743.3800000000047</v>
      </c>
      <c r="Y205" s="2"/>
      <c r="Z205" s="6">
        <f t="shared" si="34"/>
        <v>0.10200971839847237</v>
      </c>
    </row>
    <row r="206" spans="1:26" s="27" customFormat="1" outlineLevel="1" collapsed="1" x14ac:dyDescent="0.25">
      <c r="A206" s="28"/>
      <c r="B206" s="14" t="str">
        <f>CONCATENATE("     ","Advertising/Promo                                 ")</f>
        <v xml:space="preserve">     Advertising/Promo                                 </v>
      </c>
      <c r="C206" s="14"/>
      <c r="D206" s="1">
        <f>SUM(OSRRefD22_2x_0)</f>
        <v>15283.52</v>
      </c>
      <c r="E206" s="1"/>
      <c r="F206" s="5">
        <f t="shared" ref="F206:F215" si="35">IF(D$12=0,0,D206/D$12)</f>
        <v>3.62315058744521E-3</v>
      </c>
      <c r="G206" s="1"/>
      <c r="H206" s="1">
        <f>SUM(OSRRefH22_2x_0)</f>
        <v>7923.42</v>
      </c>
      <c r="I206" s="1"/>
      <c r="J206" s="5">
        <f t="shared" ref="J206:J215" si="36">IF(H$12=0,0,H206/H$12)</f>
        <v>1.8281766084472775E-3</v>
      </c>
      <c r="K206" s="1"/>
      <c r="L206" s="1">
        <f t="shared" ref="L206:L215" si="37">+D206-H206</f>
        <v>7360.1</v>
      </c>
      <c r="M206" s="1"/>
      <c r="N206" s="5">
        <f t="shared" ref="N206:N215" si="38">IF(H206=0,0,L206/H206)</f>
        <v>0.92890443773017206</v>
      </c>
      <c r="O206" s="14"/>
      <c r="P206" s="1">
        <f>SUM(OSRRefP22_2x_0)</f>
        <v>20491.41</v>
      </c>
      <c r="Q206" s="1"/>
      <c r="R206" s="5">
        <f t="shared" ref="R206:R215" si="39">IF(P$12=0,0,P206/P$12)</f>
        <v>3.579156220996191E-3</v>
      </c>
      <c r="S206" s="1"/>
      <c r="T206" s="1">
        <f>SUM(OSRRefT22_2x_0)</f>
        <v>19489.96</v>
      </c>
      <c r="U206" s="1"/>
      <c r="V206" s="5">
        <f t="shared" ref="V206:V215" si="40">IF(T$12=0,0,T206/T$12)</f>
        <v>3.2489917948519209E-3</v>
      </c>
      <c r="W206" s="1"/>
      <c r="X206" s="1">
        <f t="shared" ref="X206:X215" si="41">+P206-T206</f>
        <v>1001.4500000000007</v>
      </c>
      <c r="Y206" s="1"/>
      <c r="Z206" s="5">
        <f t="shared" ref="Z206:Z215" si="42">IF(T206=0,0,X206/T206)</f>
        <v>5.1382865844773452E-2</v>
      </c>
    </row>
    <row r="207" spans="1:26" s="24" customFormat="1" hidden="1" outlineLevel="2" x14ac:dyDescent="0.25">
      <c r="A207" s="29"/>
      <c r="B207" s="11" t="str">
        <f>CONCATENATE("          ", "6362", " - ", "ADVERTISING EXPENSE")</f>
        <v xml:space="preserve">          6362 - ADVERTISING EXPENSE</v>
      </c>
      <c r="C207" s="11"/>
      <c r="D207" s="7">
        <v>15283.52</v>
      </c>
      <c r="E207" s="2"/>
      <c r="F207" s="6">
        <f t="shared" si="35"/>
        <v>3.62315058744521E-3</v>
      </c>
      <c r="G207" s="2"/>
      <c r="H207" s="7">
        <v>7923.42</v>
      </c>
      <c r="I207" s="2"/>
      <c r="J207" s="6">
        <f t="shared" si="36"/>
        <v>1.8281766084472775E-3</v>
      </c>
      <c r="K207" s="2"/>
      <c r="L207" s="7">
        <f t="shared" si="37"/>
        <v>7360.1</v>
      </c>
      <c r="M207" s="2"/>
      <c r="N207" s="6">
        <f t="shared" si="38"/>
        <v>0.92890443773017206</v>
      </c>
      <c r="O207" s="11"/>
      <c r="P207" s="7">
        <v>20491.41</v>
      </c>
      <c r="Q207" s="2"/>
      <c r="R207" s="6">
        <f t="shared" si="39"/>
        <v>3.579156220996191E-3</v>
      </c>
      <c r="S207" s="2"/>
      <c r="T207" s="7">
        <v>19489.96</v>
      </c>
      <c r="U207" s="2"/>
      <c r="V207" s="6">
        <f t="shared" si="40"/>
        <v>3.2489917948519209E-3</v>
      </c>
      <c r="W207" s="2"/>
      <c r="X207" s="7">
        <f t="shared" si="41"/>
        <v>1001.4500000000007</v>
      </c>
      <c r="Y207" s="2"/>
      <c r="Z207" s="6">
        <f t="shared" si="42"/>
        <v>5.1382865844773452E-2</v>
      </c>
    </row>
    <row r="208" spans="1:26" s="27" customFormat="1" outlineLevel="1" collapsed="1" x14ac:dyDescent="0.25">
      <c r="A208" s="28"/>
      <c r="B208" s="14" t="str">
        <f>CONCATENATE("     ","Bad Debts/Over/Short                              ")</f>
        <v xml:space="preserve">     Bad Debts/Over/Short                              </v>
      </c>
      <c r="C208" s="14"/>
      <c r="D208" s="1">
        <f>SUM(OSRRefD22_3x_0)</f>
        <v>-63.42</v>
      </c>
      <c r="E208" s="1"/>
      <c r="F208" s="5">
        <f t="shared" si="35"/>
        <v>-1.5034508428410157E-5</v>
      </c>
      <c r="G208" s="1"/>
      <c r="H208" s="1">
        <f>SUM(OSRRefH22_3x_0)</f>
        <v>250.3</v>
      </c>
      <c r="I208" s="1"/>
      <c r="J208" s="5">
        <f t="shared" si="36"/>
        <v>5.77519057546304E-5</v>
      </c>
      <c r="K208" s="1"/>
      <c r="L208" s="1">
        <f t="shared" si="37"/>
        <v>-313.72000000000003</v>
      </c>
      <c r="M208" s="1"/>
      <c r="N208" s="5">
        <f t="shared" si="38"/>
        <v>-1.2533759488613665</v>
      </c>
      <c r="O208" s="14"/>
      <c r="P208" s="1">
        <f>SUM(OSRRefP22_3x_0)</f>
        <v>-104.98</v>
      </c>
      <c r="Q208" s="1"/>
      <c r="R208" s="5">
        <f t="shared" si="39"/>
        <v>-1.8336455133159708E-5</v>
      </c>
      <c r="S208" s="1"/>
      <c r="T208" s="1">
        <f>SUM(OSRRefT22_3x_0)</f>
        <v>205.27</v>
      </c>
      <c r="U208" s="1"/>
      <c r="V208" s="5">
        <f t="shared" si="40"/>
        <v>3.4218671856137927E-5</v>
      </c>
      <c r="W208" s="1"/>
      <c r="X208" s="1">
        <f t="shared" si="41"/>
        <v>-310.25</v>
      </c>
      <c r="Y208" s="1"/>
      <c r="Z208" s="5">
        <f t="shared" si="42"/>
        <v>-1.5114239781750864</v>
      </c>
    </row>
    <row r="209" spans="1:26" s="24" customFormat="1" hidden="1" outlineLevel="2" x14ac:dyDescent="0.25">
      <c r="A209" s="29"/>
      <c r="B209" s="11" t="str">
        <f>CONCATENATE("          ", "6272", " - ", "CASH (OVER/SHORT)")</f>
        <v xml:space="preserve">          6272 - CASH (OVER/SHORT)</v>
      </c>
      <c r="C209" s="11"/>
      <c r="D209" s="7">
        <v>-63.42</v>
      </c>
      <c r="E209" s="2"/>
      <c r="F209" s="6">
        <f t="shared" si="35"/>
        <v>-1.5034508428410157E-5</v>
      </c>
      <c r="G209" s="2"/>
      <c r="H209" s="7">
        <v>250.3</v>
      </c>
      <c r="I209" s="2"/>
      <c r="J209" s="6">
        <f t="shared" si="36"/>
        <v>5.77519057546304E-5</v>
      </c>
      <c r="K209" s="2"/>
      <c r="L209" s="7">
        <f t="shared" si="37"/>
        <v>-313.72000000000003</v>
      </c>
      <c r="M209" s="2"/>
      <c r="N209" s="6">
        <f t="shared" si="38"/>
        <v>-1.2533759488613665</v>
      </c>
      <c r="O209" s="11"/>
      <c r="P209" s="7">
        <v>-104.98</v>
      </c>
      <c r="Q209" s="2"/>
      <c r="R209" s="6">
        <f t="shared" si="39"/>
        <v>-1.8336455133159708E-5</v>
      </c>
      <c r="S209" s="2"/>
      <c r="T209" s="7">
        <v>205.27</v>
      </c>
      <c r="U209" s="2"/>
      <c r="V209" s="6">
        <f t="shared" si="40"/>
        <v>3.4218671856137927E-5</v>
      </c>
      <c r="W209" s="2"/>
      <c r="X209" s="7">
        <f t="shared" si="41"/>
        <v>-310.25</v>
      </c>
      <c r="Y209" s="2"/>
      <c r="Z209" s="6">
        <f t="shared" si="42"/>
        <v>-1.5114239781750864</v>
      </c>
    </row>
    <row r="210" spans="1:26" s="27" customFormat="1" outlineLevel="1" collapsed="1" x14ac:dyDescent="0.25">
      <c r="A210" s="28"/>
      <c r="B210" s="14" t="str">
        <f>CONCATENATE("     ","Bank/card Fees                                    ")</f>
        <v xml:space="preserve">     Bank/card Fees                                    </v>
      </c>
      <c r="C210" s="14"/>
      <c r="D210" s="1">
        <f>SUM(OSRRefD22_4x_0)</f>
        <v>49286.15</v>
      </c>
      <c r="E210" s="1"/>
      <c r="F210" s="5">
        <f t="shared" si="35"/>
        <v>1.1683901570149594E-2</v>
      </c>
      <c r="G210" s="1"/>
      <c r="H210" s="1">
        <f>SUM(OSRRefH22_4x_0)</f>
        <v>43728.689999999995</v>
      </c>
      <c r="I210" s="1"/>
      <c r="J210" s="5">
        <f t="shared" si="36"/>
        <v>1.0089553270688967E-2</v>
      </c>
      <c r="K210" s="1"/>
      <c r="L210" s="1">
        <f t="shared" si="37"/>
        <v>5557.4600000000064</v>
      </c>
      <c r="M210" s="1"/>
      <c r="N210" s="5">
        <f t="shared" si="38"/>
        <v>0.12708956065228588</v>
      </c>
      <c r="O210" s="14"/>
      <c r="P210" s="1">
        <f>SUM(OSRRefP22_4x_0)</f>
        <v>61483.839999999997</v>
      </c>
      <c r="Q210" s="1"/>
      <c r="R210" s="5">
        <f t="shared" si="39"/>
        <v>1.0739147204937797E-2</v>
      </c>
      <c r="S210" s="1"/>
      <c r="T210" s="1">
        <f>SUM(OSRRefT22_4x_0)</f>
        <v>56710.03</v>
      </c>
      <c r="U210" s="1"/>
      <c r="V210" s="5">
        <f t="shared" si="40"/>
        <v>9.4536069933343261E-3</v>
      </c>
      <c r="W210" s="1"/>
      <c r="X210" s="1">
        <f t="shared" si="41"/>
        <v>4773.8099999999977</v>
      </c>
      <c r="Y210" s="1"/>
      <c r="Z210" s="5">
        <f t="shared" si="42"/>
        <v>8.4179288919438017E-2</v>
      </c>
    </row>
    <row r="211" spans="1:26" s="24" customFormat="1" hidden="1" outlineLevel="2" x14ac:dyDescent="0.25">
      <c r="A211" s="29"/>
      <c r="B211" s="11" t="str">
        <f>CONCATENATE("          ", "6381", " - ", "BANK/CREDIT CARD FEES")</f>
        <v xml:space="preserve">          6381 - BANK/CREDIT CARD FEES</v>
      </c>
      <c r="C211" s="11"/>
      <c r="D211" s="7">
        <v>49286.15</v>
      </c>
      <c r="E211" s="2"/>
      <c r="F211" s="6">
        <f t="shared" si="35"/>
        <v>1.1683901570149594E-2</v>
      </c>
      <c r="G211" s="2"/>
      <c r="H211" s="7">
        <v>43728.689999999995</v>
      </c>
      <c r="I211" s="2"/>
      <c r="J211" s="6">
        <f t="shared" si="36"/>
        <v>1.0089553270688967E-2</v>
      </c>
      <c r="K211" s="2"/>
      <c r="L211" s="7">
        <f t="shared" si="37"/>
        <v>5557.4600000000064</v>
      </c>
      <c r="M211" s="2"/>
      <c r="N211" s="6">
        <f t="shared" si="38"/>
        <v>0.12708956065228588</v>
      </c>
      <c r="O211" s="11"/>
      <c r="P211" s="7">
        <v>61483.839999999997</v>
      </c>
      <c r="Q211" s="2"/>
      <c r="R211" s="6">
        <f t="shared" si="39"/>
        <v>1.0739147204937797E-2</v>
      </c>
      <c r="S211" s="2"/>
      <c r="T211" s="7">
        <v>56710.03</v>
      </c>
      <c r="U211" s="2"/>
      <c r="V211" s="6">
        <f t="shared" si="40"/>
        <v>9.4536069933343261E-3</v>
      </c>
      <c r="W211" s="2"/>
      <c r="X211" s="7">
        <f t="shared" si="41"/>
        <v>4773.8099999999977</v>
      </c>
      <c r="Y211" s="2"/>
      <c r="Z211" s="6">
        <f t="shared" si="42"/>
        <v>8.4179288919438017E-2</v>
      </c>
    </row>
    <row r="212" spans="1:26" s="27" customFormat="1" outlineLevel="1" collapsed="1" x14ac:dyDescent="0.25">
      <c r="A212" s="28"/>
      <c r="B212" s="14" t="str">
        <f>CONCATENATE("     ","Depreciation                                      ")</f>
        <v xml:space="preserve">     Depreciation                                      </v>
      </c>
      <c r="C212" s="14"/>
      <c r="D212" s="1">
        <f>SUM(OSRRefD22_5x_0)</f>
        <v>77862.400000000009</v>
      </c>
      <c r="E212" s="1"/>
      <c r="F212" s="5">
        <f t="shared" si="35"/>
        <v>1.8458260943807051E-2</v>
      </c>
      <c r="G212" s="1"/>
      <c r="H212" s="1">
        <f>SUM(OSRRefH22_5x_0)</f>
        <v>79743.8</v>
      </c>
      <c r="I212" s="1"/>
      <c r="J212" s="5">
        <f t="shared" si="36"/>
        <v>1.8399346472697146E-2</v>
      </c>
      <c r="K212" s="1"/>
      <c r="L212" s="1">
        <f t="shared" si="37"/>
        <v>-1881.3999999999942</v>
      </c>
      <c r="M212" s="1"/>
      <c r="N212" s="5">
        <f t="shared" si="38"/>
        <v>-2.3593056764287558E-2</v>
      </c>
      <c r="O212" s="14"/>
      <c r="P212" s="1">
        <f>SUM(OSRRefP22_5x_0)</f>
        <v>155724.80000000002</v>
      </c>
      <c r="Q212" s="1"/>
      <c r="R212" s="5">
        <f t="shared" si="39"/>
        <v>2.7199855289772042E-2</v>
      </c>
      <c r="S212" s="1"/>
      <c r="T212" s="1">
        <f>SUM(OSRRefT22_5x_0)</f>
        <v>159487.6</v>
      </c>
      <c r="U212" s="1"/>
      <c r="V212" s="5">
        <f t="shared" si="40"/>
        <v>2.6586709453514799E-2</v>
      </c>
      <c r="W212" s="1"/>
      <c r="X212" s="1">
        <f t="shared" si="41"/>
        <v>-3762.7999999999884</v>
      </c>
      <c r="Y212" s="1"/>
      <c r="Z212" s="5">
        <f t="shared" si="42"/>
        <v>-2.3593056764287558E-2</v>
      </c>
    </row>
    <row r="213" spans="1:26" s="24" customFormat="1" hidden="1" outlineLevel="2" x14ac:dyDescent="0.25">
      <c r="A213" s="29"/>
      <c r="B213" s="11" t="str">
        <f>CONCATENATE("          ", "6321", " - ", "BUILDING DEPRECIATION")</f>
        <v xml:space="preserve">          6321 - BUILDING DEPRECIATION</v>
      </c>
      <c r="C213" s="11"/>
      <c r="D213" s="7">
        <v>45519.990000000005</v>
      </c>
      <c r="E213" s="2"/>
      <c r="F213" s="6">
        <f t="shared" si="35"/>
        <v>1.0791085987324915E-2</v>
      </c>
      <c r="G213" s="2"/>
      <c r="H213" s="7">
        <v>49375.020000000004</v>
      </c>
      <c r="I213" s="2"/>
      <c r="J213" s="6">
        <f t="shared" si="36"/>
        <v>1.1392335204446628E-2</v>
      </c>
      <c r="K213" s="2"/>
      <c r="L213" s="7">
        <f t="shared" si="37"/>
        <v>-3855.0299999999988</v>
      </c>
      <c r="M213" s="2"/>
      <c r="N213" s="6">
        <f t="shared" si="38"/>
        <v>-7.8076525336090968E-2</v>
      </c>
      <c r="O213" s="11"/>
      <c r="P213" s="7">
        <v>91039.98000000001</v>
      </c>
      <c r="Q213" s="2"/>
      <c r="R213" s="6">
        <f t="shared" si="39"/>
        <v>1.5901605149492831E-2</v>
      </c>
      <c r="S213" s="2"/>
      <c r="T213" s="7">
        <v>98750.040000000008</v>
      </c>
      <c r="U213" s="2"/>
      <c r="V213" s="6">
        <f t="shared" si="40"/>
        <v>1.6461710013837845E-2</v>
      </c>
      <c r="W213" s="2"/>
      <c r="X213" s="7">
        <f t="shared" si="41"/>
        <v>-7710.0599999999977</v>
      </c>
      <c r="Y213" s="2"/>
      <c r="Z213" s="6">
        <f t="shared" si="42"/>
        <v>-7.8076525336090968E-2</v>
      </c>
    </row>
    <row r="214" spans="1:26" s="24" customFormat="1" hidden="1" outlineLevel="2" x14ac:dyDescent="0.25">
      <c r="A214" s="29"/>
      <c r="B214" s="11" t="str">
        <f>CONCATENATE("          ", "6322", " - ", "EQUIPMENT DEPRECIATION EXPENSE")</f>
        <v xml:space="preserve">          6322 - EQUIPMENT DEPRECIATION EXPENSE</v>
      </c>
      <c r="C214" s="11"/>
      <c r="D214" s="7">
        <v>31918.16</v>
      </c>
      <c r="E214" s="2"/>
      <c r="F214" s="6">
        <f t="shared" si="35"/>
        <v>7.5666011595607683E-3</v>
      </c>
      <c r="G214" s="2"/>
      <c r="H214" s="7">
        <v>29944.53</v>
      </c>
      <c r="I214" s="2"/>
      <c r="J214" s="6">
        <f t="shared" si="36"/>
        <v>6.9091237492077606E-3</v>
      </c>
      <c r="K214" s="2"/>
      <c r="L214" s="7">
        <f t="shared" si="37"/>
        <v>1973.630000000001</v>
      </c>
      <c r="M214" s="2"/>
      <c r="N214" s="6">
        <f t="shared" si="38"/>
        <v>6.5909533393912048E-2</v>
      </c>
      <c r="O214" s="11"/>
      <c r="P214" s="7">
        <v>63836.32</v>
      </c>
      <c r="Q214" s="2"/>
      <c r="R214" s="6">
        <f t="shared" si="39"/>
        <v>1.1150045890131698E-2</v>
      </c>
      <c r="S214" s="2"/>
      <c r="T214" s="7">
        <v>59889.06</v>
      </c>
      <c r="U214" s="2"/>
      <c r="V214" s="6">
        <f t="shared" si="40"/>
        <v>9.9835538164980524E-3</v>
      </c>
      <c r="W214" s="2"/>
      <c r="X214" s="7">
        <f t="shared" si="41"/>
        <v>3947.260000000002</v>
      </c>
      <c r="Y214" s="2"/>
      <c r="Z214" s="6">
        <f t="shared" si="42"/>
        <v>6.5909533393912048E-2</v>
      </c>
    </row>
    <row r="215" spans="1:26" s="24" customFormat="1" hidden="1" outlineLevel="2" x14ac:dyDescent="0.25">
      <c r="A215" s="29"/>
      <c r="B215" s="11" t="str">
        <f>CONCATENATE("          ", "6326", " - ", "VEHICLES DEPRECIATION EXPENSE")</f>
        <v xml:space="preserve">          6326 - VEHICLES DEPRECIATION EXPENSE</v>
      </c>
      <c r="C215" s="11"/>
      <c r="D215" s="7">
        <v>424.25</v>
      </c>
      <c r="E215" s="2"/>
      <c r="F215" s="6">
        <f t="shared" si="35"/>
        <v>1.0057379692136565E-4</v>
      </c>
      <c r="G215" s="2"/>
      <c r="H215" s="7">
        <v>424.25</v>
      </c>
      <c r="I215" s="2"/>
      <c r="J215" s="6">
        <f t="shared" si="36"/>
        <v>9.7887519042756481E-5</v>
      </c>
      <c r="K215" s="2"/>
      <c r="L215" s="7">
        <f t="shared" si="37"/>
        <v>0</v>
      </c>
      <c r="M215" s="2"/>
      <c r="N215" s="6">
        <f t="shared" si="38"/>
        <v>0</v>
      </c>
      <c r="O215" s="11"/>
      <c r="P215" s="7">
        <v>848.5</v>
      </c>
      <c r="Q215" s="2"/>
      <c r="R215" s="6">
        <f t="shared" si="39"/>
        <v>1.482042501475139E-4</v>
      </c>
      <c r="S215" s="2"/>
      <c r="T215" s="7">
        <v>848.5</v>
      </c>
      <c r="U215" s="2"/>
      <c r="V215" s="6">
        <f t="shared" si="40"/>
        <v>1.4144562317890109E-4</v>
      </c>
      <c r="W215" s="2"/>
      <c r="X215" s="7">
        <f t="shared" si="41"/>
        <v>0</v>
      </c>
      <c r="Y215" s="2"/>
      <c r="Z215" s="6">
        <f t="shared" si="42"/>
        <v>0</v>
      </c>
    </row>
    <row r="216" spans="1:26" s="27" customFormat="1" outlineLevel="1" collapsed="1" x14ac:dyDescent="0.25">
      <c r="A216" s="28"/>
      <c r="B216" s="14" t="str">
        <f>CONCATENATE("     ","Discounts and Markdowns                           ")</f>
        <v xml:space="preserve">     Discounts and Markdowns                           </v>
      </c>
      <c r="C216" s="14"/>
      <c r="D216" s="1">
        <f>SUM(OSRRefD22_6x_0)</f>
        <v>91714.9</v>
      </c>
      <c r="E216" s="1"/>
      <c r="F216" s="5">
        <f t="shared" ref="F216:F218" si="43">IF(D$12=0,0,D216/D$12)</f>
        <v>2.1742170246937791E-2</v>
      </c>
      <c r="G216" s="1"/>
      <c r="H216" s="1">
        <f>SUM(OSRRefH22_6x_0)</f>
        <v>75610.09</v>
      </c>
      <c r="I216" s="1"/>
      <c r="J216" s="5">
        <f t="shared" ref="J216:J218" si="44">IF(H$12=0,0,H216/H$12)</f>
        <v>1.7445572480140319E-2</v>
      </c>
      <c r="K216" s="1"/>
      <c r="L216" s="1">
        <f t="shared" ref="L216:L218" si="45">+D216-H216</f>
        <v>16104.809999999998</v>
      </c>
      <c r="M216" s="1"/>
      <c r="N216" s="5">
        <f t="shared" ref="N216:N218" si="46">IF(H216=0,0,L216/H216)</f>
        <v>0.21299815937264455</v>
      </c>
      <c r="O216" s="14"/>
      <c r="P216" s="1">
        <f>SUM(OSRRefP22_6x_0)</f>
        <v>129122.67</v>
      </c>
      <c r="Q216" s="1"/>
      <c r="R216" s="5">
        <f t="shared" ref="R216:R218" si="47">IF(P$12=0,0,P216/P$12)</f>
        <v>2.2553362975126563E-2</v>
      </c>
      <c r="S216" s="1"/>
      <c r="T216" s="1">
        <f>SUM(OSRRefT22_6x_0)</f>
        <v>105625.15</v>
      </c>
      <c r="U216" s="1"/>
      <c r="V216" s="5">
        <f t="shared" ref="V216:V218" si="48">IF(T$12=0,0,T216/T$12)</f>
        <v>1.760779630537997E-2</v>
      </c>
      <c r="W216" s="1"/>
      <c r="X216" s="1">
        <f t="shared" ref="X216:X218" si="49">+P216-T216</f>
        <v>23497.520000000004</v>
      </c>
      <c r="Y216" s="1"/>
      <c r="Z216" s="5">
        <f t="shared" ref="Z216:Z218" si="50">IF(T216=0,0,X216/T216)</f>
        <v>0.22246141188911925</v>
      </c>
    </row>
    <row r="217" spans="1:26" s="24" customFormat="1" hidden="1" outlineLevel="2" x14ac:dyDescent="0.25">
      <c r="A217" s="29"/>
      <c r="B217" s="11" t="str">
        <f>CONCATENATE("          ", "6382", " - ", "DISCOUNTS/MARK DOWNS")</f>
        <v xml:space="preserve">          6382 - DISCOUNTS/MARK DOWNS</v>
      </c>
      <c r="C217" s="11"/>
      <c r="D217" s="7">
        <v>92520.75</v>
      </c>
      <c r="E217" s="2"/>
      <c r="F217" s="6">
        <f t="shared" si="43"/>
        <v>2.1933207122009288E-2</v>
      </c>
      <c r="G217" s="2"/>
      <c r="H217" s="7">
        <v>76100.569999999992</v>
      </c>
      <c r="I217" s="2"/>
      <c r="J217" s="6">
        <f t="shared" si="44"/>
        <v>1.7558741296498814E-2</v>
      </c>
      <c r="K217" s="2"/>
      <c r="L217" s="7">
        <f t="shared" si="45"/>
        <v>16420.180000000008</v>
      </c>
      <c r="M217" s="2"/>
      <c r="N217" s="6">
        <f t="shared" si="46"/>
        <v>0.21576947452561801</v>
      </c>
      <c r="O217" s="11"/>
      <c r="P217" s="7">
        <v>130372.23</v>
      </c>
      <c r="Q217" s="2"/>
      <c r="R217" s="6">
        <f t="shared" si="47"/>
        <v>2.2771618841731546E-2</v>
      </c>
      <c r="S217" s="2"/>
      <c r="T217" s="7">
        <v>107025.79</v>
      </c>
      <c r="U217" s="2"/>
      <c r="V217" s="6">
        <f t="shared" si="48"/>
        <v>1.7841284104613081E-2</v>
      </c>
      <c r="W217" s="2"/>
      <c r="X217" s="7">
        <f t="shared" si="49"/>
        <v>23346.440000000002</v>
      </c>
      <c r="Y217" s="2"/>
      <c r="Z217" s="6">
        <f t="shared" si="50"/>
        <v>0.21813845055476819</v>
      </c>
    </row>
    <row r="218" spans="1:26" s="24" customFormat="1" hidden="1" outlineLevel="2" x14ac:dyDescent="0.25">
      <c r="A218" s="29"/>
      <c r="B218" s="11" t="str">
        <f>CONCATENATE("          ", "9175", " - ", "EARNED DISCOUNTS")</f>
        <v xml:space="preserve">          9175 - EARNED DISCOUNTS</v>
      </c>
      <c r="C218" s="11"/>
      <c r="D218" s="7">
        <v>-805.85</v>
      </c>
      <c r="E218" s="2"/>
      <c r="F218" s="6">
        <f t="shared" si="43"/>
        <v>-1.9103687507149677E-4</v>
      </c>
      <c r="G218" s="2"/>
      <c r="H218" s="7">
        <v>-490.48</v>
      </c>
      <c r="I218" s="2"/>
      <c r="J218" s="6">
        <f t="shared" si="44"/>
        <v>-1.1316881635849428E-4</v>
      </c>
      <c r="K218" s="2"/>
      <c r="L218" s="7">
        <f t="shared" si="45"/>
        <v>-315.37</v>
      </c>
      <c r="M218" s="2"/>
      <c r="N218" s="6">
        <f t="shared" si="46"/>
        <v>0.64298238460283808</v>
      </c>
      <c r="O218" s="11"/>
      <c r="P218" s="7">
        <v>-1249.56</v>
      </c>
      <c r="Q218" s="2"/>
      <c r="R218" s="6">
        <f t="shared" si="47"/>
        <v>-2.1825586660498229E-4</v>
      </c>
      <c r="S218" s="2"/>
      <c r="T218" s="7">
        <v>-1400.64</v>
      </c>
      <c r="U218" s="2"/>
      <c r="V218" s="6">
        <f t="shared" si="48"/>
        <v>-2.334877992331126E-4</v>
      </c>
      <c r="W218" s="2"/>
      <c r="X218" s="7">
        <f t="shared" si="49"/>
        <v>151.08000000000015</v>
      </c>
      <c r="Y218" s="2"/>
      <c r="Z218" s="6">
        <f t="shared" si="50"/>
        <v>-0.10786497601096652</v>
      </c>
    </row>
    <row r="219" spans="1:26" s="27" customFormat="1" outlineLevel="1" collapsed="1" x14ac:dyDescent="0.25">
      <c r="A219" s="28"/>
      <c r="B219" s="14" t="str">
        <f>CONCATENATE("     ","Donations                                         ")</f>
        <v xml:space="preserve">     Donations                                         </v>
      </c>
      <c r="C219" s="14"/>
      <c r="D219" s="1">
        <f>SUM(OSRRefD22_7x_0)</f>
        <v>10472.31</v>
      </c>
      <c r="E219" s="1"/>
      <c r="F219" s="5">
        <f t="shared" ref="F219:F227" si="51">IF(D$12=0,0,D219/D$12)</f>
        <v>2.4825927619035629E-3</v>
      </c>
      <c r="G219" s="1"/>
      <c r="H219" s="1">
        <f>SUM(OSRRefH22_7x_0)</f>
        <v>7414.2</v>
      </c>
      <c r="I219" s="1"/>
      <c r="J219" s="5">
        <f t="shared" ref="J219:J227" si="52">IF(H$12=0,0,H219/H$12)</f>
        <v>1.7106838979064349E-3</v>
      </c>
      <c r="K219" s="1"/>
      <c r="L219" s="1">
        <f t="shared" ref="L219:L227" si="53">+D219-H219</f>
        <v>3058.1099999999997</v>
      </c>
      <c r="M219" s="1"/>
      <c r="N219" s="5">
        <f t="shared" ref="N219:N227" si="54">IF(H219=0,0,L219/H219)</f>
        <v>0.41246661811119201</v>
      </c>
      <c r="O219" s="14"/>
      <c r="P219" s="1">
        <f>SUM(OSRRefP22_7x_0)</f>
        <v>11397.73</v>
      </c>
      <c r="Q219" s="1"/>
      <c r="R219" s="5">
        <f t="shared" ref="R219:R227" si="55">IF(P$12=0,0,P219/P$12)</f>
        <v>1.9907979116485842E-3</v>
      </c>
      <c r="S219" s="1"/>
      <c r="T219" s="1">
        <f>SUM(OSRRefT22_7x_0)</f>
        <v>8850.41</v>
      </c>
      <c r="U219" s="1"/>
      <c r="V219" s="5">
        <f t="shared" ref="V219:V227" si="56">IF(T$12=0,0,T219/T$12)</f>
        <v>1.4753703686962616E-3</v>
      </c>
      <c r="W219" s="1"/>
      <c r="X219" s="1">
        <f t="shared" ref="X219:X227" si="57">+P219-T219</f>
        <v>2547.3199999999997</v>
      </c>
      <c r="Y219" s="1"/>
      <c r="Z219" s="5">
        <f t="shared" ref="Z219:Z227" si="58">IF(T219=0,0,X219/T219)</f>
        <v>0.28781943435388868</v>
      </c>
    </row>
    <row r="220" spans="1:26" s="24" customFormat="1" hidden="1" outlineLevel="2" x14ac:dyDescent="0.25">
      <c r="A220" s="29"/>
      <c r="B220" s="11" t="str">
        <f>CONCATENATE("          ", "6399", " - ", "DONATION-ON CAMPUS")</f>
        <v xml:space="preserve">          6399 - DONATION-ON CAMPUS</v>
      </c>
      <c r="C220" s="11"/>
      <c r="D220" s="7">
        <v>10472.31</v>
      </c>
      <c r="E220" s="2"/>
      <c r="F220" s="6">
        <f t="shared" si="51"/>
        <v>2.4825927619035629E-3</v>
      </c>
      <c r="G220" s="2"/>
      <c r="H220" s="7">
        <v>7414.2</v>
      </c>
      <c r="I220" s="2"/>
      <c r="J220" s="6">
        <f t="shared" si="52"/>
        <v>1.7106838979064349E-3</v>
      </c>
      <c r="K220" s="2"/>
      <c r="L220" s="7">
        <f t="shared" si="53"/>
        <v>3058.1099999999997</v>
      </c>
      <c r="M220" s="2"/>
      <c r="N220" s="6">
        <f t="shared" si="54"/>
        <v>0.41246661811119201</v>
      </c>
      <c r="O220" s="11"/>
      <c r="P220" s="7">
        <v>11397.73</v>
      </c>
      <c r="Q220" s="2"/>
      <c r="R220" s="6">
        <f t="shared" si="55"/>
        <v>1.9907979116485842E-3</v>
      </c>
      <c r="S220" s="2"/>
      <c r="T220" s="7">
        <v>8850.41</v>
      </c>
      <c r="U220" s="2"/>
      <c r="V220" s="6">
        <f t="shared" si="56"/>
        <v>1.4753703686962616E-3</v>
      </c>
      <c r="W220" s="2"/>
      <c r="X220" s="7">
        <f t="shared" si="57"/>
        <v>2547.3199999999997</v>
      </c>
      <c r="Y220" s="2"/>
      <c r="Z220" s="6">
        <f t="shared" si="58"/>
        <v>0.28781943435388868</v>
      </c>
    </row>
    <row r="221" spans="1:26" s="27" customFormat="1" outlineLevel="1" collapsed="1" x14ac:dyDescent="0.25">
      <c r="A221" s="28"/>
      <c r="B221" s="14" t="str">
        <f>CONCATENATE("     ","Employees' Appreciation                           ")</f>
        <v xml:space="preserve">     Employees' Appreciation                           </v>
      </c>
      <c r="C221" s="14"/>
      <c r="D221" s="1">
        <f>SUM(OSRRefD22_8x_0)</f>
        <v>460.35</v>
      </c>
      <c r="E221" s="1"/>
      <c r="F221" s="5">
        <f t="shared" si="51"/>
        <v>1.0913175583441526E-4</v>
      </c>
      <c r="G221" s="1"/>
      <c r="H221" s="1">
        <f>SUM(OSRRefH22_8x_0)</f>
        <v>818.67</v>
      </c>
      <c r="I221" s="1"/>
      <c r="J221" s="5">
        <f t="shared" si="52"/>
        <v>1.8889233992865867E-4</v>
      </c>
      <c r="K221" s="1"/>
      <c r="L221" s="1">
        <f t="shared" si="53"/>
        <v>-358.31999999999994</v>
      </c>
      <c r="M221" s="1"/>
      <c r="N221" s="5">
        <f t="shared" si="54"/>
        <v>-0.43768551430979508</v>
      </c>
      <c r="O221" s="14"/>
      <c r="P221" s="1">
        <f>SUM(OSRRefP22_8x_0)</f>
        <v>963.65</v>
      </c>
      <c r="Q221" s="1"/>
      <c r="R221" s="5">
        <f t="shared" si="55"/>
        <v>1.6831706028833446E-4</v>
      </c>
      <c r="S221" s="1"/>
      <c r="T221" s="1">
        <f>SUM(OSRRefT22_8x_0)</f>
        <v>1273.8</v>
      </c>
      <c r="U221" s="1"/>
      <c r="V221" s="5">
        <f t="shared" si="56"/>
        <v>2.1234347060139564E-4</v>
      </c>
      <c r="W221" s="1"/>
      <c r="X221" s="1">
        <f t="shared" si="57"/>
        <v>-310.14999999999998</v>
      </c>
      <c r="Y221" s="1"/>
      <c r="Z221" s="5">
        <f t="shared" si="58"/>
        <v>-0.24348406343224996</v>
      </c>
    </row>
    <row r="222" spans="1:26" s="24" customFormat="1" hidden="1" outlineLevel="2" x14ac:dyDescent="0.25">
      <c r="A222" s="29"/>
      <c r="B222" s="11" t="str">
        <f>CONCATENATE("          ", "6277", " - ", "EMPLOYEE APPRECIATION")</f>
        <v xml:space="preserve">          6277 - EMPLOYEE APPRECIATION</v>
      </c>
      <c r="C222" s="11"/>
      <c r="D222" s="7">
        <v>460.35</v>
      </c>
      <c r="E222" s="2"/>
      <c r="F222" s="6">
        <f t="shared" si="51"/>
        <v>1.0913175583441526E-4</v>
      </c>
      <c r="G222" s="2"/>
      <c r="H222" s="7">
        <v>818.67</v>
      </c>
      <c r="I222" s="2"/>
      <c r="J222" s="6">
        <f t="shared" si="52"/>
        <v>1.8889233992865867E-4</v>
      </c>
      <c r="K222" s="2"/>
      <c r="L222" s="7">
        <f t="shared" si="53"/>
        <v>-358.31999999999994</v>
      </c>
      <c r="M222" s="2"/>
      <c r="N222" s="6">
        <f t="shared" si="54"/>
        <v>-0.43768551430979508</v>
      </c>
      <c r="O222" s="11"/>
      <c r="P222" s="7">
        <v>963.65</v>
      </c>
      <c r="Q222" s="2"/>
      <c r="R222" s="6">
        <f t="shared" si="55"/>
        <v>1.6831706028833446E-4</v>
      </c>
      <c r="S222" s="2"/>
      <c r="T222" s="7">
        <v>1273.8</v>
      </c>
      <c r="U222" s="2"/>
      <c r="V222" s="6">
        <f t="shared" si="56"/>
        <v>2.1234347060139564E-4</v>
      </c>
      <c r="W222" s="2"/>
      <c r="X222" s="7">
        <f t="shared" si="57"/>
        <v>-310.14999999999998</v>
      </c>
      <c r="Y222" s="2"/>
      <c r="Z222" s="6">
        <f t="shared" si="58"/>
        <v>-0.24348406343224996</v>
      </c>
    </row>
    <row r="223" spans="1:26" s="27" customFormat="1" outlineLevel="1" collapsed="1" x14ac:dyDescent="0.25">
      <c r="A223" s="28"/>
      <c r="B223" s="14" t="str">
        <f>CONCATENATE("     ","Equipment Rental                                  ")</f>
        <v xml:space="preserve">     Equipment Rental                                  </v>
      </c>
      <c r="C223" s="14"/>
      <c r="D223" s="1">
        <f>SUM(OSRRefD22_9x_0)</f>
        <v>6519.98</v>
      </c>
      <c r="E223" s="1"/>
      <c r="F223" s="5">
        <f t="shared" si="51"/>
        <v>1.5456432397203666E-3</v>
      </c>
      <c r="G223" s="1"/>
      <c r="H223" s="1">
        <f>SUM(OSRRefH22_9x_0)</f>
        <v>4759.4399999999996</v>
      </c>
      <c r="I223" s="1"/>
      <c r="J223" s="5">
        <f t="shared" si="52"/>
        <v>1.0981491423284781E-3</v>
      </c>
      <c r="K223" s="1"/>
      <c r="L223" s="1">
        <f t="shared" si="53"/>
        <v>1760.54</v>
      </c>
      <c r="M223" s="1"/>
      <c r="N223" s="5">
        <f t="shared" si="54"/>
        <v>0.36990486275696305</v>
      </c>
      <c r="O223" s="14"/>
      <c r="P223" s="1">
        <f>SUM(OSRRefP22_9x_0)</f>
        <v>9752.99</v>
      </c>
      <c r="Q223" s="1"/>
      <c r="R223" s="5">
        <f t="shared" si="55"/>
        <v>1.7035174656997074E-3</v>
      </c>
      <c r="S223" s="1"/>
      <c r="T223" s="1">
        <f>SUM(OSRRefT22_9x_0)</f>
        <v>10811.41</v>
      </c>
      <c r="U223" s="1"/>
      <c r="V223" s="5">
        <f t="shared" si="56"/>
        <v>1.8022706245051302E-3</v>
      </c>
      <c r="W223" s="1"/>
      <c r="X223" s="1">
        <f t="shared" si="57"/>
        <v>-1058.42</v>
      </c>
      <c r="Y223" s="1"/>
      <c r="Z223" s="5">
        <f t="shared" si="58"/>
        <v>-9.7898423979850921E-2</v>
      </c>
    </row>
    <row r="224" spans="1:26" s="24" customFormat="1" hidden="1" outlineLevel="2" x14ac:dyDescent="0.25">
      <c r="A224" s="29"/>
      <c r="B224" s="11" t="str">
        <f>CONCATENATE("          ", "6351", " - ", "EQUIPMENT RENTAL")</f>
        <v xml:space="preserve">          6351 - EQUIPMENT RENTAL</v>
      </c>
      <c r="C224" s="11"/>
      <c r="D224" s="7">
        <v>6519.98</v>
      </c>
      <c r="E224" s="2"/>
      <c r="F224" s="6">
        <f t="shared" si="51"/>
        <v>1.5456432397203666E-3</v>
      </c>
      <c r="G224" s="2"/>
      <c r="H224" s="7">
        <v>4759.4399999999996</v>
      </c>
      <c r="I224" s="2"/>
      <c r="J224" s="6">
        <f t="shared" si="52"/>
        <v>1.0981491423284781E-3</v>
      </c>
      <c r="K224" s="2"/>
      <c r="L224" s="7">
        <f t="shared" si="53"/>
        <v>1760.54</v>
      </c>
      <c r="M224" s="2"/>
      <c r="N224" s="6">
        <f t="shared" si="54"/>
        <v>0.36990486275696305</v>
      </c>
      <c r="O224" s="11"/>
      <c r="P224" s="7">
        <v>9752.99</v>
      </c>
      <c r="Q224" s="2"/>
      <c r="R224" s="6">
        <f t="shared" si="55"/>
        <v>1.7035174656997074E-3</v>
      </c>
      <c r="S224" s="2"/>
      <c r="T224" s="7">
        <v>10811.41</v>
      </c>
      <c r="U224" s="2"/>
      <c r="V224" s="6">
        <f t="shared" si="56"/>
        <v>1.8022706245051302E-3</v>
      </c>
      <c r="W224" s="2"/>
      <c r="X224" s="7">
        <f t="shared" si="57"/>
        <v>-1058.42</v>
      </c>
      <c r="Y224" s="2"/>
      <c r="Z224" s="6">
        <f t="shared" si="58"/>
        <v>-9.7898423979850921E-2</v>
      </c>
    </row>
    <row r="225" spans="1:26" s="27" customFormat="1" outlineLevel="1" collapsed="1" x14ac:dyDescent="0.25">
      <c r="A225" s="28"/>
      <c r="B225" s="14" t="str">
        <f>CONCATENATE("     ","Freight out/Postage                               ")</f>
        <v xml:space="preserve">     Freight out/Postage                               </v>
      </c>
      <c r="C225" s="14"/>
      <c r="D225" s="1">
        <f>SUM(OSRRefD22_10x_0)</f>
        <v>-12859.049999999997</v>
      </c>
      <c r="E225" s="1"/>
      <c r="F225" s="5">
        <f t="shared" si="51"/>
        <v>-3.0483994892202397E-3</v>
      </c>
      <c r="G225" s="1"/>
      <c r="H225" s="1">
        <f>SUM(OSRRefH22_10x_0)</f>
        <v>-8575.34</v>
      </c>
      <c r="I225" s="1"/>
      <c r="J225" s="5">
        <f t="shared" si="52"/>
        <v>-1.9785945964598973E-3</v>
      </c>
      <c r="K225" s="1"/>
      <c r="L225" s="1">
        <f t="shared" si="53"/>
        <v>-4283.7099999999973</v>
      </c>
      <c r="M225" s="1"/>
      <c r="N225" s="5">
        <f t="shared" si="54"/>
        <v>0.49953821072983662</v>
      </c>
      <c r="O225" s="14"/>
      <c r="P225" s="1">
        <f>SUM(OSRRefP22_10x_0)</f>
        <v>-15019.189999999999</v>
      </c>
      <c r="Q225" s="1"/>
      <c r="R225" s="5">
        <f t="shared" si="55"/>
        <v>-2.6233444805810716E-3</v>
      </c>
      <c r="S225" s="1"/>
      <c r="T225" s="1">
        <f>SUM(OSRRefT22_10x_0)</f>
        <v>-8476.09</v>
      </c>
      <c r="U225" s="1"/>
      <c r="V225" s="5">
        <f t="shared" si="56"/>
        <v>-1.4129709277200374E-3</v>
      </c>
      <c r="W225" s="1"/>
      <c r="X225" s="1">
        <f t="shared" si="57"/>
        <v>-6543.0999999999985</v>
      </c>
      <c r="Y225" s="1"/>
      <c r="Z225" s="5">
        <f t="shared" si="58"/>
        <v>0.77194791466348267</v>
      </c>
    </row>
    <row r="226" spans="1:26" s="24" customFormat="1" hidden="1" outlineLevel="2" x14ac:dyDescent="0.25">
      <c r="A226" s="29"/>
      <c r="B226" s="11" t="str">
        <f>CONCATENATE("          ", "6305", " - ", "FREIGHT OUT")</f>
        <v xml:space="preserve">          6305 - FREIGHT OUT</v>
      </c>
      <c r="C226" s="11"/>
      <c r="D226" s="7">
        <v>2905</v>
      </c>
      <c r="E226" s="2"/>
      <c r="F226" s="6">
        <f t="shared" si="51"/>
        <v>6.8866677679803702E-4</v>
      </c>
      <c r="G226" s="2"/>
      <c r="H226" s="7">
        <v>3056.7</v>
      </c>
      <c r="I226" s="2"/>
      <c r="J226" s="6">
        <f t="shared" si="52"/>
        <v>7.052746716747052E-4</v>
      </c>
      <c r="K226" s="2"/>
      <c r="L226" s="7">
        <f t="shared" si="53"/>
        <v>-151.69999999999982</v>
      </c>
      <c r="M226" s="2"/>
      <c r="N226" s="6">
        <f t="shared" si="54"/>
        <v>-4.9628684529067241E-2</v>
      </c>
      <c r="O226" s="11"/>
      <c r="P226" s="7">
        <v>4394.41</v>
      </c>
      <c r="Q226" s="2"/>
      <c r="R226" s="6">
        <f t="shared" si="55"/>
        <v>7.675547894999842E-4</v>
      </c>
      <c r="S226" s="2"/>
      <c r="T226" s="7">
        <v>5682.85</v>
      </c>
      <c r="U226" s="2"/>
      <c r="V226" s="6">
        <f t="shared" si="56"/>
        <v>9.4733560363254932E-4</v>
      </c>
      <c r="W226" s="2"/>
      <c r="X226" s="7">
        <f t="shared" si="57"/>
        <v>-1288.4400000000005</v>
      </c>
      <c r="Y226" s="2"/>
      <c r="Z226" s="6">
        <f t="shared" si="58"/>
        <v>-0.2267242668731359</v>
      </c>
    </row>
    <row r="227" spans="1:26" s="24" customFormat="1" hidden="1" outlineLevel="2" x14ac:dyDescent="0.25">
      <c r="A227" s="29"/>
      <c r="B227" s="11" t="str">
        <f>CONCATENATE("          ", "6307", " - ", "POSTAGE")</f>
        <v xml:space="preserve">          6307 - POSTAGE</v>
      </c>
      <c r="C227" s="11"/>
      <c r="D227" s="7">
        <v>-15764.049999999997</v>
      </c>
      <c r="E227" s="2"/>
      <c r="F227" s="6">
        <f t="shared" si="51"/>
        <v>-3.7370662660182767E-3</v>
      </c>
      <c r="G227" s="2"/>
      <c r="H227" s="7">
        <v>-11632.04</v>
      </c>
      <c r="I227" s="2"/>
      <c r="J227" s="6">
        <f t="shared" si="52"/>
        <v>-2.6838692681346024E-3</v>
      </c>
      <c r="K227" s="2"/>
      <c r="L227" s="7">
        <f t="shared" si="53"/>
        <v>-4132.0099999999966</v>
      </c>
      <c r="M227" s="2"/>
      <c r="N227" s="6">
        <f t="shared" si="54"/>
        <v>0.35522659825791486</v>
      </c>
      <c r="O227" s="11"/>
      <c r="P227" s="7">
        <v>-19413.599999999999</v>
      </c>
      <c r="Q227" s="2"/>
      <c r="R227" s="6">
        <f t="shared" si="55"/>
        <v>-3.3908992700810558E-3</v>
      </c>
      <c r="S227" s="2"/>
      <c r="T227" s="7">
        <v>-14158.94</v>
      </c>
      <c r="U227" s="2"/>
      <c r="V227" s="6">
        <f t="shared" si="56"/>
        <v>-2.3603065313525869E-3</v>
      </c>
      <c r="W227" s="2"/>
      <c r="X227" s="7">
        <f t="shared" si="57"/>
        <v>-5254.659999999998</v>
      </c>
      <c r="Y227" s="2"/>
      <c r="Z227" s="6">
        <f t="shared" si="58"/>
        <v>0.37111958946079282</v>
      </c>
    </row>
    <row r="228" spans="1:26" s="27" customFormat="1" outlineLevel="1" collapsed="1" x14ac:dyDescent="0.25">
      <c r="A228" s="28"/>
      <c r="B228" s="14" t="str">
        <f>CONCATENATE("     ","General                                           ")</f>
        <v xml:space="preserve">     General                                           </v>
      </c>
      <c r="C228" s="14"/>
      <c r="D228" s="1">
        <f>SUM(OSRRefD22_11x_0)</f>
        <v>-10049.09</v>
      </c>
      <c r="E228" s="1"/>
      <c r="F228" s="5">
        <f t="shared" ref="F228:F230" si="59">IF(D$12=0,0,D228/D$12)</f>
        <v>-2.3822631394331793E-3</v>
      </c>
      <c r="G228" s="1"/>
      <c r="H228" s="1">
        <f>SUM(OSRRefH22_11x_0)</f>
        <v>3853.95</v>
      </c>
      <c r="I228" s="1"/>
      <c r="J228" s="5">
        <f t="shared" ref="J228:J230" si="60">IF(H$12=0,0,H228/H$12)</f>
        <v>8.892247590214055E-4</v>
      </c>
      <c r="K228" s="1"/>
      <c r="L228" s="1">
        <f t="shared" ref="L228:L230" si="61">+D228-H228</f>
        <v>-13903.04</v>
      </c>
      <c r="M228" s="1"/>
      <c r="N228" s="5">
        <f t="shared" ref="N228:N230" si="62">IF(H228=0,0,L228/H228)</f>
        <v>-3.6074780420088484</v>
      </c>
      <c r="O228" s="14"/>
      <c r="P228" s="1">
        <f>SUM(OSRRefP22_11x_0)</f>
        <v>18394.8</v>
      </c>
      <c r="Q228" s="1"/>
      <c r="R228" s="5">
        <f t="shared" ref="R228:R230" si="63">IF(P$12=0,0,P228/P$12)</f>
        <v>3.2129493701985724E-3</v>
      </c>
      <c r="S228" s="1"/>
      <c r="T228" s="1">
        <f>SUM(OSRRefT22_11x_0)</f>
        <v>29902.080000000002</v>
      </c>
      <c r="U228" s="1"/>
      <c r="V228" s="5">
        <f t="shared" ref="V228:V230" si="64">IF(T$12=0,0,T228/T$12)</f>
        <v>4.9847004595702472E-3</v>
      </c>
      <c r="W228" s="1"/>
      <c r="X228" s="1">
        <f t="shared" ref="X228:X230" si="65">+P228-T228</f>
        <v>-11507.280000000002</v>
      </c>
      <c r="Y228" s="1"/>
      <c r="Z228" s="5">
        <f t="shared" ref="Z228:Z230" si="66">IF(T228=0,0,X228/T228)</f>
        <v>-0.38483209194811874</v>
      </c>
    </row>
    <row r="229" spans="1:26" s="24" customFormat="1" hidden="1" outlineLevel="2" x14ac:dyDescent="0.25">
      <c r="A229" s="29"/>
      <c r="B229" s="11" t="str">
        <f>CONCATENATE("          ", "6269", " - ", "ENTERTAINMENT")</f>
        <v xml:space="preserve">          6269 - ENTERTAINMENT</v>
      </c>
      <c r="C229" s="11"/>
      <c r="D229" s="7">
        <v>2600</v>
      </c>
      <c r="E229" s="2"/>
      <c r="F229" s="6">
        <f t="shared" si="59"/>
        <v>6.1636269179858735E-4</v>
      </c>
      <c r="G229" s="2"/>
      <c r="H229" s="7">
        <v>1550</v>
      </c>
      <c r="I229" s="2"/>
      <c r="J229" s="6">
        <f t="shared" si="60"/>
        <v>3.5763265649091939E-4</v>
      </c>
      <c r="K229" s="2"/>
      <c r="L229" s="7">
        <f t="shared" si="61"/>
        <v>1050</v>
      </c>
      <c r="M229" s="2"/>
      <c r="N229" s="6">
        <f t="shared" si="62"/>
        <v>0.67741935483870963</v>
      </c>
      <c r="O229" s="11"/>
      <c r="P229" s="7">
        <v>2600</v>
      </c>
      <c r="Q229" s="2"/>
      <c r="R229" s="6">
        <f t="shared" si="63"/>
        <v>4.5413205702243511E-4</v>
      </c>
      <c r="S229" s="2"/>
      <c r="T229" s="7">
        <v>1550</v>
      </c>
      <c r="U229" s="2"/>
      <c r="V229" s="6">
        <f t="shared" si="64"/>
        <v>2.5838622973164017E-4</v>
      </c>
      <c r="W229" s="2"/>
      <c r="X229" s="7">
        <f t="shared" si="65"/>
        <v>1050</v>
      </c>
      <c r="Y229" s="2"/>
      <c r="Z229" s="6">
        <f t="shared" si="66"/>
        <v>0.67741935483870963</v>
      </c>
    </row>
    <row r="230" spans="1:26" s="24" customFormat="1" hidden="1" outlineLevel="2" x14ac:dyDescent="0.25">
      <c r="A230" s="29"/>
      <c r="B230" s="11" t="str">
        <f>CONCATENATE("          ", "6279", " - ", "GENERAL EXPENSE")</f>
        <v xml:space="preserve">          6279 - GENERAL EXPENSE</v>
      </c>
      <c r="C230" s="11"/>
      <c r="D230" s="7">
        <v>-12649.09</v>
      </c>
      <c r="E230" s="2"/>
      <c r="F230" s="6">
        <f t="shared" si="59"/>
        <v>-2.9986258312317666E-3</v>
      </c>
      <c r="G230" s="2"/>
      <c r="H230" s="7">
        <v>2303.9499999999998</v>
      </c>
      <c r="I230" s="2"/>
      <c r="J230" s="6">
        <f t="shared" si="60"/>
        <v>5.3159210253048616E-4</v>
      </c>
      <c r="K230" s="2"/>
      <c r="L230" s="7">
        <f t="shared" si="61"/>
        <v>-14953.04</v>
      </c>
      <c r="M230" s="2"/>
      <c r="N230" s="6">
        <f t="shared" si="62"/>
        <v>-6.4901755680461823</v>
      </c>
      <c r="O230" s="11"/>
      <c r="P230" s="7">
        <v>15794.8</v>
      </c>
      <c r="Q230" s="2"/>
      <c r="R230" s="6">
        <f t="shared" si="63"/>
        <v>2.7588173131761376E-3</v>
      </c>
      <c r="S230" s="2"/>
      <c r="T230" s="7">
        <v>28352.080000000002</v>
      </c>
      <c r="U230" s="2"/>
      <c r="V230" s="6">
        <f t="shared" si="64"/>
        <v>4.726314229838607E-3</v>
      </c>
      <c r="W230" s="2"/>
      <c r="X230" s="7">
        <f t="shared" si="65"/>
        <v>-12557.280000000002</v>
      </c>
      <c r="Y230" s="2"/>
      <c r="Z230" s="6">
        <f t="shared" si="66"/>
        <v>-0.44290507080961966</v>
      </c>
    </row>
    <row r="231" spans="1:26" s="27" customFormat="1" outlineLevel="1" collapsed="1" x14ac:dyDescent="0.25">
      <c r="A231" s="28"/>
      <c r="B231" s="14" t="str">
        <f>CONCATENATE("     ","Insurance                                         ")</f>
        <v xml:space="preserve">     Insurance                                         </v>
      </c>
      <c r="C231" s="14"/>
      <c r="D231" s="1">
        <f>SUM(OSRRefD22_12x_0)</f>
        <v>8563.32</v>
      </c>
      <c r="E231" s="1"/>
      <c r="F231" s="5">
        <f t="shared" ref="F231:F246" si="67">IF(D$12=0,0,D231/D$12)</f>
        <v>2.0300426792048765E-3</v>
      </c>
      <c r="G231" s="1"/>
      <c r="H231" s="1">
        <f>SUM(OSRRefH22_12x_0)</f>
        <v>8064.85</v>
      </c>
      <c r="I231" s="1"/>
      <c r="J231" s="5">
        <f t="shared" ref="J231:J246" si="68">IF(H$12=0,0,H231/H$12)</f>
        <v>1.8608088578714781E-3</v>
      </c>
      <c r="K231" s="1"/>
      <c r="L231" s="1">
        <f t="shared" ref="L231:L246" si="69">+D231-H231</f>
        <v>498.46999999999935</v>
      </c>
      <c r="M231" s="1"/>
      <c r="N231" s="5">
        <f t="shared" ref="N231:N246" si="70">IF(H231=0,0,L231/H231)</f>
        <v>6.180772116034388E-2</v>
      </c>
      <c r="O231" s="14"/>
      <c r="P231" s="1">
        <f>SUM(OSRRefP22_12x_0)</f>
        <v>17126.64</v>
      </c>
      <c r="Q231" s="1"/>
      <c r="R231" s="5">
        <f t="shared" ref="R231:R246" si="71">IF(P$12=0,0,P231/P$12)</f>
        <v>2.9914447127241221E-3</v>
      </c>
      <c r="S231" s="1"/>
      <c r="T231" s="1">
        <f>SUM(OSRRefT22_12x_0)</f>
        <v>16129.7</v>
      </c>
      <c r="U231" s="1"/>
      <c r="V231" s="5">
        <f t="shared" ref="V231:V246" si="72">IF(T$12=0,0,T231/T$12)</f>
        <v>2.6888337869047981E-3</v>
      </c>
      <c r="W231" s="1"/>
      <c r="X231" s="1">
        <f t="shared" ref="X231:X246" si="73">+P231-T231</f>
        <v>996.93999999999869</v>
      </c>
      <c r="Y231" s="1"/>
      <c r="Z231" s="5">
        <f t="shared" ref="Z231:Z246" si="74">IF(T231=0,0,X231/T231)</f>
        <v>6.180772116034388E-2</v>
      </c>
    </row>
    <row r="232" spans="1:26" s="24" customFormat="1" hidden="1" outlineLevel="2" x14ac:dyDescent="0.25">
      <c r="A232" s="29"/>
      <c r="B232" s="11" t="str">
        <f>CONCATENATE("          ", "6314", " - ", "LIABILITY INSURANCE")</f>
        <v xml:space="preserve">          6314 - LIABILITY INSURANCE</v>
      </c>
      <c r="C232" s="11"/>
      <c r="D232" s="7">
        <v>8563.32</v>
      </c>
      <c r="E232" s="2"/>
      <c r="F232" s="6">
        <f t="shared" si="67"/>
        <v>2.0300426792048765E-3</v>
      </c>
      <c r="G232" s="2"/>
      <c r="H232" s="7">
        <v>8064.85</v>
      </c>
      <c r="I232" s="2"/>
      <c r="J232" s="6">
        <f t="shared" si="68"/>
        <v>1.8608088578714781E-3</v>
      </c>
      <c r="K232" s="2"/>
      <c r="L232" s="7">
        <f t="shared" si="69"/>
        <v>498.46999999999935</v>
      </c>
      <c r="M232" s="2"/>
      <c r="N232" s="6">
        <f t="shared" si="70"/>
        <v>6.180772116034388E-2</v>
      </c>
      <c r="O232" s="11"/>
      <c r="P232" s="7">
        <v>17126.64</v>
      </c>
      <c r="Q232" s="2"/>
      <c r="R232" s="6">
        <f t="shared" si="71"/>
        <v>2.9914447127241221E-3</v>
      </c>
      <c r="S232" s="2"/>
      <c r="T232" s="7">
        <v>16129.7</v>
      </c>
      <c r="U232" s="2"/>
      <c r="V232" s="6">
        <f t="shared" si="72"/>
        <v>2.6888337869047981E-3</v>
      </c>
      <c r="W232" s="2"/>
      <c r="X232" s="7">
        <f t="shared" si="73"/>
        <v>996.93999999999869</v>
      </c>
      <c r="Y232" s="2"/>
      <c r="Z232" s="6">
        <f t="shared" si="74"/>
        <v>6.180772116034388E-2</v>
      </c>
    </row>
    <row r="233" spans="1:26" s="27" customFormat="1" outlineLevel="1" collapsed="1" x14ac:dyDescent="0.25">
      <c r="A233" s="28"/>
      <c r="B233" s="14" t="str">
        <f>CONCATENATE("     ","Interest                                          ")</f>
        <v xml:space="preserve">     Interest                                          </v>
      </c>
      <c r="C233" s="14"/>
      <c r="D233" s="1">
        <f>SUM(OSRRefD22_13x_0)</f>
        <v>11740</v>
      </c>
      <c r="E233" s="1"/>
      <c r="F233" s="5">
        <f t="shared" si="67"/>
        <v>2.7831146160443906E-3</v>
      </c>
      <c r="G233" s="1"/>
      <c r="H233" s="1">
        <f>SUM(OSRRefH22_13x_0)</f>
        <v>12229</v>
      </c>
      <c r="I233" s="1"/>
      <c r="J233" s="5">
        <f t="shared" si="68"/>
        <v>2.8216062943402921E-3</v>
      </c>
      <c r="K233" s="1"/>
      <c r="L233" s="1">
        <f t="shared" si="69"/>
        <v>-489</v>
      </c>
      <c r="M233" s="1"/>
      <c r="N233" s="5">
        <f t="shared" si="70"/>
        <v>-3.9986916346389727E-2</v>
      </c>
      <c r="O233" s="14"/>
      <c r="P233" s="1">
        <f>SUM(OSRRefP22_13x_0)</f>
        <v>23480</v>
      </c>
      <c r="Q233" s="1"/>
      <c r="R233" s="5">
        <f t="shared" si="71"/>
        <v>4.1011618072641443E-3</v>
      </c>
      <c r="S233" s="1"/>
      <c r="T233" s="1">
        <f>SUM(OSRRefT22_13x_0)</f>
        <v>24458</v>
      </c>
      <c r="U233" s="1"/>
      <c r="V233" s="5">
        <f t="shared" si="72"/>
        <v>4.0771680043719064E-3</v>
      </c>
      <c r="W233" s="1"/>
      <c r="X233" s="1">
        <f t="shared" si="73"/>
        <v>-978</v>
      </c>
      <c r="Y233" s="1"/>
      <c r="Z233" s="5">
        <f t="shared" si="74"/>
        <v>-3.9986916346389727E-2</v>
      </c>
    </row>
    <row r="234" spans="1:26" s="24" customFormat="1" hidden="1" outlineLevel="2" x14ac:dyDescent="0.25">
      <c r="A234" s="29"/>
      <c r="B234" s="11" t="str">
        <f>CONCATENATE("          ", "6401", " - ", "INTEREST EXPENSE")</f>
        <v xml:space="preserve">          6401 - INTEREST EXPENSE</v>
      </c>
      <c r="C234" s="11"/>
      <c r="D234" s="7">
        <v>11740</v>
      </c>
      <c r="E234" s="2"/>
      <c r="F234" s="6">
        <f t="shared" si="67"/>
        <v>2.7831146160443906E-3</v>
      </c>
      <c r="G234" s="2"/>
      <c r="H234" s="7">
        <v>12229</v>
      </c>
      <c r="I234" s="2"/>
      <c r="J234" s="6">
        <f t="shared" si="68"/>
        <v>2.8216062943402921E-3</v>
      </c>
      <c r="K234" s="2"/>
      <c r="L234" s="7">
        <f t="shared" si="69"/>
        <v>-489</v>
      </c>
      <c r="M234" s="2"/>
      <c r="N234" s="6">
        <f t="shared" si="70"/>
        <v>-3.9986916346389727E-2</v>
      </c>
      <c r="O234" s="11"/>
      <c r="P234" s="7">
        <v>23480</v>
      </c>
      <c r="Q234" s="2"/>
      <c r="R234" s="6">
        <f t="shared" si="71"/>
        <v>4.1011618072641443E-3</v>
      </c>
      <c r="S234" s="2"/>
      <c r="T234" s="7">
        <v>24458</v>
      </c>
      <c r="U234" s="2"/>
      <c r="V234" s="6">
        <f t="shared" si="72"/>
        <v>4.0771680043719064E-3</v>
      </c>
      <c r="W234" s="2"/>
      <c r="X234" s="7">
        <f t="shared" si="73"/>
        <v>-978</v>
      </c>
      <c r="Y234" s="2"/>
      <c r="Z234" s="6">
        <f t="shared" si="74"/>
        <v>-3.9986916346389727E-2</v>
      </c>
    </row>
    <row r="235" spans="1:26" s="27" customFormat="1" outlineLevel="1" collapsed="1" x14ac:dyDescent="0.25">
      <c r="A235" s="28"/>
      <c r="B235" s="14" t="str">
        <f>CONCATENATE("     ","Inventory Adjustment                              ")</f>
        <v xml:space="preserve">     Inventory Adjustment                              </v>
      </c>
      <c r="C235" s="14"/>
      <c r="D235" s="1">
        <f>SUM(OSRRefD22_14x_0)</f>
        <v>4250</v>
      </c>
      <c r="E235" s="1"/>
      <c r="F235" s="5">
        <f t="shared" si="67"/>
        <v>1.0075159385169216E-3</v>
      </c>
      <c r="G235" s="1"/>
      <c r="H235" s="1">
        <f>SUM(OSRRefH22_14x_0)</f>
        <v>10000</v>
      </c>
      <c r="I235" s="1"/>
      <c r="J235" s="5">
        <f t="shared" si="68"/>
        <v>2.3073074612317379E-3</v>
      </c>
      <c r="K235" s="1"/>
      <c r="L235" s="1">
        <f t="shared" si="69"/>
        <v>-5750</v>
      </c>
      <c r="M235" s="1"/>
      <c r="N235" s="5">
        <f t="shared" si="70"/>
        <v>-0.57499999999999996</v>
      </c>
      <c r="O235" s="14"/>
      <c r="P235" s="1">
        <f>SUM(OSRRefP22_14x_0)</f>
        <v>8400</v>
      </c>
      <c r="Q235" s="1"/>
      <c r="R235" s="5">
        <f t="shared" si="71"/>
        <v>1.4671958765340211E-3</v>
      </c>
      <c r="S235" s="1"/>
      <c r="T235" s="1">
        <f>SUM(OSRRefT22_14x_0)</f>
        <v>20000</v>
      </c>
      <c r="U235" s="1"/>
      <c r="V235" s="5">
        <f t="shared" si="72"/>
        <v>3.3340158675050345E-3</v>
      </c>
      <c r="W235" s="1"/>
      <c r="X235" s="1">
        <f t="shared" si="73"/>
        <v>-11600</v>
      </c>
      <c r="Y235" s="1"/>
      <c r="Z235" s="5">
        <f t="shared" si="74"/>
        <v>-0.57999999999999996</v>
      </c>
    </row>
    <row r="236" spans="1:26" s="24" customFormat="1" hidden="1" outlineLevel="2" x14ac:dyDescent="0.25">
      <c r="A236" s="29"/>
      <c r="B236" s="11" t="str">
        <f>CONCATENATE("          ", "6408", " - ", "INVENTORY ADJUSTMENT")</f>
        <v xml:space="preserve">          6408 - INVENTORY ADJUSTMENT</v>
      </c>
      <c r="C236" s="11"/>
      <c r="D236" s="7">
        <v>4250</v>
      </c>
      <c r="E236" s="2"/>
      <c r="F236" s="6">
        <f t="shared" si="67"/>
        <v>1.0075159385169216E-3</v>
      </c>
      <c r="G236" s="2"/>
      <c r="H236" s="7">
        <v>10000</v>
      </c>
      <c r="I236" s="2"/>
      <c r="J236" s="6">
        <f t="shared" si="68"/>
        <v>2.3073074612317379E-3</v>
      </c>
      <c r="K236" s="2"/>
      <c r="L236" s="7">
        <f t="shared" si="69"/>
        <v>-5750</v>
      </c>
      <c r="M236" s="2"/>
      <c r="N236" s="6">
        <f t="shared" si="70"/>
        <v>-0.57499999999999996</v>
      </c>
      <c r="O236" s="11"/>
      <c r="P236" s="7">
        <v>8400</v>
      </c>
      <c r="Q236" s="2"/>
      <c r="R236" s="6">
        <f t="shared" si="71"/>
        <v>1.4671958765340211E-3</v>
      </c>
      <c r="S236" s="2"/>
      <c r="T236" s="7">
        <v>20000</v>
      </c>
      <c r="U236" s="2"/>
      <c r="V236" s="6">
        <f t="shared" si="72"/>
        <v>3.3340158675050345E-3</v>
      </c>
      <c r="W236" s="2"/>
      <c r="X236" s="7">
        <f t="shared" si="73"/>
        <v>-11600</v>
      </c>
      <c r="Y236" s="2"/>
      <c r="Z236" s="6">
        <f t="shared" si="74"/>
        <v>-0.57999999999999996</v>
      </c>
    </row>
    <row r="237" spans="1:26" s="27" customFormat="1" outlineLevel="1" collapsed="1" x14ac:dyDescent="0.25">
      <c r="A237" s="28"/>
      <c r="B237" s="14" t="str">
        <f>CONCATENATE("     ","Professional Services                             ")</f>
        <v xml:space="preserve">     Professional Services                             </v>
      </c>
      <c r="C237" s="14"/>
      <c r="D237" s="1">
        <f>SUM(OSRRefD22_15x_0)</f>
        <v>125</v>
      </c>
      <c r="E237" s="1"/>
      <c r="F237" s="5">
        <f t="shared" si="67"/>
        <v>2.963282172108593E-5</v>
      </c>
      <c r="G237" s="1"/>
      <c r="H237" s="1">
        <f>SUM(OSRRefH22_15x_0)</f>
        <v>0</v>
      </c>
      <c r="I237" s="1"/>
      <c r="J237" s="5">
        <f t="shared" si="68"/>
        <v>0</v>
      </c>
      <c r="K237" s="1"/>
      <c r="L237" s="1">
        <f t="shared" si="69"/>
        <v>125</v>
      </c>
      <c r="M237" s="1"/>
      <c r="N237" s="5">
        <f t="shared" si="70"/>
        <v>0</v>
      </c>
      <c r="O237" s="14"/>
      <c r="P237" s="1">
        <f>SUM(OSRRefP22_15x_0)</f>
        <v>6283.41</v>
      </c>
      <c r="Q237" s="1"/>
      <c r="R237" s="5">
        <f t="shared" si="71"/>
        <v>1.0974991955443611E-3</v>
      </c>
      <c r="S237" s="1"/>
      <c r="T237" s="1">
        <f>SUM(OSRRefT22_15x_0)</f>
        <v>8276.43</v>
      </c>
      <c r="U237" s="1"/>
      <c r="V237" s="5">
        <f t="shared" si="72"/>
        <v>1.3796874473147346E-3</v>
      </c>
      <c r="W237" s="1"/>
      <c r="X237" s="1">
        <f t="shared" si="73"/>
        <v>-1993.0200000000004</v>
      </c>
      <c r="Y237" s="1"/>
      <c r="Z237" s="5">
        <f t="shared" si="74"/>
        <v>-0.24080672463852174</v>
      </c>
    </row>
    <row r="238" spans="1:26" s="24" customFormat="1" hidden="1" outlineLevel="2" x14ac:dyDescent="0.25">
      <c r="A238" s="29"/>
      <c r="B238" s="11" t="str">
        <f>CONCATENATE("          ", "6336", " - ", "PROFESSIONAL SERVICES")</f>
        <v xml:space="preserve">          6336 - PROFESSIONAL SERVICES</v>
      </c>
      <c r="C238" s="11"/>
      <c r="D238" s="7">
        <v>125</v>
      </c>
      <c r="E238" s="2"/>
      <c r="F238" s="6">
        <f t="shared" si="67"/>
        <v>2.963282172108593E-5</v>
      </c>
      <c r="G238" s="2"/>
      <c r="H238" s="7"/>
      <c r="I238" s="2"/>
      <c r="J238" s="6">
        <f t="shared" si="68"/>
        <v>0</v>
      </c>
      <c r="K238" s="2"/>
      <c r="L238" s="7">
        <f t="shared" si="69"/>
        <v>125</v>
      </c>
      <c r="M238" s="2"/>
      <c r="N238" s="6">
        <f t="shared" si="70"/>
        <v>0</v>
      </c>
      <c r="O238" s="11"/>
      <c r="P238" s="7">
        <v>6283.41</v>
      </c>
      <c r="Q238" s="2"/>
      <c r="R238" s="6">
        <f t="shared" si="71"/>
        <v>1.0974991955443611E-3</v>
      </c>
      <c r="S238" s="2"/>
      <c r="T238" s="7">
        <v>8276.43</v>
      </c>
      <c r="U238" s="2"/>
      <c r="V238" s="6">
        <f t="shared" si="72"/>
        <v>1.3796874473147346E-3</v>
      </c>
      <c r="W238" s="2"/>
      <c r="X238" s="7">
        <f t="shared" si="73"/>
        <v>-1993.0200000000004</v>
      </c>
      <c r="Y238" s="2"/>
      <c r="Z238" s="6">
        <f t="shared" si="74"/>
        <v>-0.24080672463852174</v>
      </c>
    </row>
    <row r="239" spans="1:26" s="27" customFormat="1" outlineLevel="1" collapsed="1" x14ac:dyDescent="0.25">
      <c r="A239" s="28"/>
      <c r="B239" s="14" t="str">
        <f>CONCATENATE("     ","R/H Commissions                                   ")</f>
        <v xml:space="preserve">     R/H Commissions                                   </v>
      </c>
      <c r="C239" s="14"/>
      <c r="D239" s="1">
        <f>SUM(OSRRefD22_16x_0)</f>
        <v>32320.179999999997</v>
      </c>
      <c r="E239" s="1"/>
      <c r="F239" s="5">
        <f t="shared" si="67"/>
        <v>7.661905055467255E-3</v>
      </c>
      <c r="G239" s="1"/>
      <c r="H239" s="1">
        <f>SUM(OSRRefH22_16x_0)</f>
        <v>36735.14</v>
      </c>
      <c r="I239" s="1"/>
      <c r="J239" s="5">
        <f t="shared" si="68"/>
        <v>8.4759262611392456E-3</v>
      </c>
      <c r="K239" s="1"/>
      <c r="L239" s="1">
        <f t="shared" si="69"/>
        <v>-4414.9600000000028</v>
      </c>
      <c r="M239" s="1"/>
      <c r="N239" s="5">
        <f t="shared" si="70"/>
        <v>-0.12018356265962245</v>
      </c>
      <c r="O239" s="14"/>
      <c r="P239" s="1">
        <f>SUM(OSRRefP22_16x_0)</f>
        <v>72032.83</v>
      </c>
      <c r="Q239" s="1"/>
      <c r="R239" s="5">
        <f t="shared" si="71"/>
        <v>1.2581698946556683E-2</v>
      </c>
      <c r="S239" s="1"/>
      <c r="T239" s="1">
        <f>SUM(OSRRefT22_16x_0)</f>
        <v>77201</v>
      </c>
      <c r="U239" s="1"/>
      <c r="V239" s="5">
        <f t="shared" si="72"/>
        <v>1.286946794936281E-2</v>
      </c>
      <c r="W239" s="1"/>
      <c r="X239" s="1">
        <f t="shared" si="73"/>
        <v>-5168.1699999999983</v>
      </c>
      <c r="Y239" s="1"/>
      <c r="Z239" s="5">
        <f t="shared" si="74"/>
        <v>-6.6944340099221483E-2</v>
      </c>
    </row>
    <row r="240" spans="1:26" s="24" customFormat="1" hidden="1" outlineLevel="2" x14ac:dyDescent="0.25">
      <c r="A240" s="29"/>
      <c r="B240" s="11" t="str">
        <f>CONCATENATE("          ", "6387", " - ", "COMMISSION DUE HOUSING")</f>
        <v xml:space="preserve">          6387 - COMMISSION DUE HOUSING</v>
      </c>
      <c r="C240" s="11"/>
      <c r="D240" s="7">
        <v>32320.179999999997</v>
      </c>
      <c r="E240" s="2"/>
      <c r="F240" s="6">
        <f t="shared" si="67"/>
        <v>7.661905055467255E-3</v>
      </c>
      <c r="G240" s="2"/>
      <c r="H240" s="7">
        <v>36735.14</v>
      </c>
      <c r="I240" s="2"/>
      <c r="J240" s="6">
        <f t="shared" si="68"/>
        <v>8.4759262611392456E-3</v>
      </c>
      <c r="K240" s="2"/>
      <c r="L240" s="7">
        <f t="shared" si="69"/>
        <v>-4414.9600000000028</v>
      </c>
      <c r="M240" s="2"/>
      <c r="N240" s="6">
        <f t="shared" si="70"/>
        <v>-0.12018356265962245</v>
      </c>
      <c r="O240" s="11"/>
      <c r="P240" s="7">
        <v>72032.83</v>
      </c>
      <c r="Q240" s="2"/>
      <c r="R240" s="6">
        <f t="shared" si="71"/>
        <v>1.2581698946556683E-2</v>
      </c>
      <c r="S240" s="2"/>
      <c r="T240" s="7">
        <v>77201</v>
      </c>
      <c r="U240" s="2"/>
      <c r="V240" s="6">
        <f t="shared" si="72"/>
        <v>1.286946794936281E-2</v>
      </c>
      <c r="W240" s="2"/>
      <c r="X240" s="7">
        <f t="shared" si="73"/>
        <v>-5168.1699999999983</v>
      </c>
      <c r="Y240" s="2"/>
      <c r="Z240" s="6">
        <f t="shared" si="74"/>
        <v>-6.6944340099221483E-2</v>
      </c>
    </row>
    <row r="241" spans="1:26" s="27" customFormat="1" outlineLevel="1" collapsed="1" x14ac:dyDescent="0.25">
      <c r="A241" s="28"/>
      <c r="B241" s="14" t="str">
        <f>CONCATENATE("     ","Rent                                              ")</f>
        <v xml:space="preserve">     Rent                                              </v>
      </c>
      <c r="C241" s="14"/>
      <c r="D241" s="1">
        <f>SUM(OSRRefD22_17x_0)</f>
        <v>9900</v>
      </c>
      <c r="E241" s="1"/>
      <c r="F241" s="5">
        <f t="shared" si="67"/>
        <v>2.3469194803100056E-3</v>
      </c>
      <c r="G241" s="1"/>
      <c r="H241" s="1">
        <f>SUM(OSRRefH22_17x_0)</f>
        <v>9900</v>
      </c>
      <c r="I241" s="1"/>
      <c r="J241" s="5">
        <f t="shared" si="68"/>
        <v>2.2842343866194205E-3</v>
      </c>
      <c r="K241" s="1"/>
      <c r="L241" s="1">
        <f t="shared" si="69"/>
        <v>0</v>
      </c>
      <c r="M241" s="1"/>
      <c r="N241" s="5">
        <f t="shared" si="70"/>
        <v>0</v>
      </c>
      <c r="O241" s="14"/>
      <c r="P241" s="1">
        <f>SUM(OSRRefP22_17x_0)</f>
        <v>19800</v>
      </c>
      <c r="Q241" s="1"/>
      <c r="R241" s="5">
        <f t="shared" si="71"/>
        <v>3.4583902804016212E-3</v>
      </c>
      <c r="S241" s="1"/>
      <c r="T241" s="1">
        <f>SUM(OSRRefT22_17x_0)</f>
        <v>19901.080000000002</v>
      </c>
      <c r="U241" s="1"/>
      <c r="V241" s="5">
        <f t="shared" si="72"/>
        <v>3.3175258250243548E-3</v>
      </c>
      <c r="W241" s="1"/>
      <c r="X241" s="1">
        <f t="shared" si="73"/>
        <v>-101.08000000000175</v>
      </c>
      <c r="Y241" s="1"/>
      <c r="Z241" s="5">
        <f t="shared" si="74"/>
        <v>-5.0791213341186379E-3</v>
      </c>
    </row>
    <row r="242" spans="1:26" s="24" customFormat="1" hidden="1" outlineLevel="2" x14ac:dyDescent="0.25">
      <c r="A242" s="29"/>
      <c r="B242" s="11" t="str">
        <f>CONCATENATE("          ", "6273", " - ", "RENT")</f>
        <v xml:space="preserve">          6273 - RENT</v>
      </c>
      <c r="C242" s="11"/>
      <c r="D242" s="7">
        <v>9900</v>
      </c>
      <c r="E242" s="2"/>
      <c r="F242" s="6">
        <f t="shared" si="67"/>
        <v>2.3469194803100056E-3</v>
      </c>
      <c r="G242" s="2"/>
      <c r="H242" s="7">
        <v>9900</v>
      </c>
      <c r="I242" s="2"/>
      <c r="J242" s="6">
        <f t="shared" si="68"/>
        <v>2.2842343866194205E-3</v>
      </c>
      <c r="K242" s="2"/>
      <c r="L242" s="7">
        <f t="shared" si="69"/>
        <v>0</v>
      </c>
      <c r="M242" s="2"/>
      <c r="N242" s="6">
        <f t="shared" si="70"/>
        <v>0</v>
      </c>
      <c r="O242" s="11"/>
      <c r="P242" s="7">
        <v>19800</v>
      </c>
      <c r="Q242" s="2"/>
      <c r="R242" s="6">
        <f t="shared" si="71"/>
        <v>3.4583902804016212E-3</v>
      </c>
      <c r="S242" s="2"/>
      <c r="T242" s="7">
        <v>19901.080000000002</v>
      </c>
      <c r="U242" s="2"/>
      <c r="V242" s="6">
        <f t="shared" si="72"/>
        <v>3.3175258250243548E-3</v>
      </c>
      <c r="W242" s="2"/>
      <c r="X242" s="7">
        <f t="shared" si="73"/>
        <v>-101.08000000000175</v>
      </c>
      <c r="Y242" s="2"/>
      <c r="Z242" s="6">
        <f t="shared" si="74"/>
        <v>-5.0791213341186379E-3</v>
      </c>
    </row>
    <row r="243" spans="1:26" s="27" customFormat="1" outlineLevel="1" collapsed="1" x14ac:dyDescent="0.25">
      <c r="A243" s="28"/>
      <c r="B243" s="14" t="str">
        <f>CONCATENATE("     ","Repair and Maintenance                            ")</f>
        <v xml:space="preserve">     Repair and Maintenance                            </v>
      </c>
      <c r="C243" s="14"/>
      <c r="D243" s="1">
        <f>SUM(OSRRefD22_18x_0)</f>
        <v>38125.15</v>
      </c>
      <c r="E243" s="1"/>
      <c r="F243" s="5">
        <f t="shared" si="67"/>
        <v>9.0380461843172742E-3</v>
      </c>
      <c r="G243" s="1"/>
      <c r="H243" s="1">
        <f>SUM(OSRRefH22_18x_0)</f>
        <v>46018.6</v>
      </c>
      <c r="I243" s="1"/>
      <c r="J243" s="5">
        <f t="shared" si="68"/>
        <v>1.0617905913543885E-2</v>
      </c>
      <c r="K243" s="1"/>
      <c r="L243" s="1">
        <f t="shared" si="69"/>
        <v>-7893.4499999999971</v>
      </c>
      <c r="M243" s="1"/>
      <c r="N243" s="5">
        <f t="shared" si="70"/>
        <v>-0.17152738240624438</v>
      </c>
      <c r="O243" s="14"/>
      <c r="P243" s="1">
        <f>SUM(OSRRefP22_18x_0)</f>
        <v>88509.62</v>
      </c>
      <c r="Q243" s="1"/>
      <c r="R243" s="5">
        <f t="shared" si="71"/>
        <v>1.5459636844951561E-2</v>
      </c>
      <c r="S243" s="1"/>
      <c r="T243" s="1">
        <f>SUM(OSRRefT22_18x_0)</f>
        <v>129719.08000000002</v>
      </c>
      <c r="U243" s="1"/>
      <c r="V243" s="5">
        <f t="shared" si="72"/>
        <v>2.1624273551907752E-2</v>
      </c>
      <c r="W243" s="1"/>
      <c r="X243" s="1">
        <f t="shared" si="73"/>
        <v>-41209.460000000021</v>
      </c>
      <c r="Y243" s="1"/>
      <c r="Z243" s="5">
        <f t="shared" si="74"/>
        <v>-0.3176823332388729</v>
      </c>
    </row>
    <row r="244" spans="1:26" s="24" customFormat="1" hidden="1" outlineLevel="2" x14ac:dyDescent="0.25">
      <c r="A244" s="29"/>
      <c r="B244" s="11" t="str">
        <f>CONCATENATE("          ", "6371", " - ", "COMPUTER SOFTWARE MAINTENANCE")</f>
        <v xml:space="preserve">          6371 - COMPUTER SOFTWARE MAINTENANCE</v>
      </c>
      <c r="C244" s="11"/>
      <c r="D244" s="7">
        <v>7887.25</v>
      </c>
      <c r="E244" s="2"/>
      <c r="F244" s="6">
        <f t="shared" si="67"/>
        <v>1.8697717849570799E-3</v>
      </c>
      <c r="G244" s="2"/>
      <c r="H244" s="7">
        <v>2081.8000000000002</v>
      </c>
      <c r="I244" s="2"/>
      <c r="J244" s="6">
        <f t="shared" si="68"/>
        <v>4.803352672792232E-4</v>
      </c>
      <c r="K244" s="2"/>
      <c r="L244" s="7">
        <f t="shared" si="69"/>
        <v>5805.45</v>
      </c>
      <c r="M244" s="2"/>
      <c r="N244" s="6">
        <f t="shared" si="70"/>
        <v>2.7886684599865497</v>
      </c>
      <c r="O244" s="11"/>
      <c r="P244" s="7">
        <v>8488.25</v>
      </c>
      <c r="Q244" s="2"/>
      <c r="R244" s="6">
        <f t="shared" si="71"/>
        <v>1.4826101665464172E-3</v>
      </c>
      <c r="S244" s="2"/>
      <c r="T244" s="7">
        <v>44412.380000000005</v>
      </c>
      <c r="U244" s="2"/>
      <c r="V244" s="6">
        <f t="shared" si="72"/>
        <v>7.4035789816831628E-3</v>
      </c>
      <c r="W244" s="2"/>
      <c r="X244" s="7">
        <f t="shared" si="73"/>
        <v>-35924.130000000005</v>
      </c>
      <c r="Y244" s="2"/>
      <c r="Z244" s="6">
        <f t="shared" si="74"/>
        <v>-0.80887648894294795</v>
      </c>
    </row>
    <row r="245" spans="1:26" s="24" customFormat="1" hidden="1" outlineLevel="2" x14ac:dyDescent="0.25">
      <c r="A245" s="29"/>
      <c r="B245" s="11" t="str">
        <f>CONCATENATE("          ", "6373", " - ", "MAINTENANCE CONTRACTS")</f>
        <v xml:space="preserve">          6373 - MAINTENANCE CONTRACTS</v>
      </c>
      <c r="C245" s="11"/>
      <c r="D245" s="7">
        <v>15979.289999999999</v>
      </c>
      <c r="E245" s="2"/>
      <c r="F245" s="6">
        <f t="shared" si="67"/>
        <v>3.7880916143962491E-3</v>
      </c>
      <c r="G245" s="2"/>
      <c r="H245" s="7">
        <v>26463.83</v>
      </c>
      <c r="I245" s="2"/>
      <c r="J245" s="6">
        <f t="shared" si="68"/>
        <v>6.1060192411768301E-3</v>
      </c>
      <c r="K245" s="2"/>
      <c r="L245" s="7">
        <f t="shared" si="69"/>
        <v>-10484.540000000003</v>
      </c>
      <c r="M245" s="2"/>
      <c r="N245" s="6">
        <f t="shared" si="70"/>
        <v>-0.39618377234134294</v>
      </c>
      <c r="O245" s="11"/>
      <c r="P245" s="7">
        <v>28495.85</v>
      </c>
      <c r="Q245" s="2"/>
      <c r="R245" s="6">
        <f t="shared" si="71"/>
        <v>4.9772611450395214E-3</v>
      </c>
      <c r="S245" s="2"/>
      <c r="T245" s="7">
        <v>43439.51</v>
      </c>
      <c r="U245" s="2"/>
      <c r="V245" s="6">
        <f t="shared" si="72"/>
        <v>7.2414007808321813E-3</v>
      </c>
      <c r="W245" s="2"/>
      <c r="X245" s="7">
        <f t="shared" si="73"/>
        <v>-14943.660000000003</v>
      </c>
      <c r="Y245" s="2"/>
      <c r="Z245" s="6">
        <f t="shared" si="74"/>
        <v>-0.34401078649367828</v>
      </c>
    </row>
    <row r="246" spans="1:26" s="24" customFormat="1" hidden="1" outlineLevel="2" x14ac:dyDescent="0.25">
      <c r="A246" s="29"/>
      <c r="B246" s="11" t="str">
        <f>CONCATENATE("          ", "6375", " - ", "OUTSIDE REPAIRS &amp; MAINTENANCE")</f>
        <v xml:space="preserve">          6375 - OUTSIDE REPAIRS &amp; MAINTENANCE</v>
      </c>
      <c r="C246" s="11"/>
      <c r="D246" s="7">
        <v>14258.61</v>
      </c>
      <c r="E246" s="2"/>
      <c r="F246" s="6">
        <f t="shared" si="67"/>
        <v>3.3801827849639443E-3</v>
      </c>
      <c r="G246" s="2"/>
      <c r="H246" s="7">
        <v>17472.969999999998</v>
      </c>
      <c r="I246" s="2"/>
      <c r="J246" s="6">
        <f t="shared" si="68"/>
        <v>4.0315514050878309E-3</v>
      </c>
      <c r="K246" s="2"/>
      <c r="L246" s="7">
        <f t="shared" si="69"/>
        <v>-3214.3599999999969</v>
      </c>
      <c r="M246" s="2"/>
      <c r="N246" s="6">
        <f t="shared" si="70"/>
        <v>-0.18396185651323144</v>
      </c>
      <c r="O246" s="11"/>
      <c r="P246" s="7">
        <v>51525.52</v>
      </c>
      <c r="Q246" s="2"/>
      <c r="R246" s="6">
        <f t="shared" si="71"/>
        <v>8.9997655333656223E-3</v>
      </c>
      <c r="S246" s="2"/>
      <c r="T246" s="7">
        <v>41867.19</v>
      </c>
      <c r="U246" s="2"/>
      <c r="V246" s="6">
        <f t="shared" si="72"/>
        <v>6.9792937893924057E-3</v>
      </c>
      <c r="W246" s="2"/>
      <c r="X246" s="7">
        <f t="shared" si="73"/>
        <v>9658.3299999999945</v>
      </c>
      <c r="Y246" s="2"/>
      <c r="Z246" s="6">
        <f t="shared" si="74"/>
        <v>0.23068971192000212</v>
      </c>
    </row>
    <row r="247" spans="1:26" s="27" customFormat="1" outlineLevel="1" collapsed="1" x14ac:dyDescent="0.25">
      <c r="A247" s="28"/>
      <c r="B247" s="14" t="str">
        <f>CONCATENATE("     ","Royalty &amp; Commissions                             ")</f>
        <v xml:space="preserve">     Royalty &amp; Commissions                             </v>
      </c>
      <c r="C247" s="14"/>
      <c r="D247" s="1">
        <f>SUM(OSRRefD22_19x_0)</f>
        <v>20629.509999999998</v>
      </c>
      <c r="E247" s="1"/>
      <c r="F247" s="5">
        <f t="shared" ref="F247:F250" si="75">IF(D$12=0,0,D247/D$12)</f>
        <v>4.890484736186875E-3</v>
      </c>
      <c r="G247" s="1"/>
      <c r="H247" s="1">
        <f>SUM(OSRRefH22_19x_0)</f>
        <v>25864.97</v>
      </c>
      <c r="I247" s="1"/>
      <c r="J247" s="5">
        <f t="shared" ref="J247:J250" si="76">IF(H$12=0,0,H247/H$12)</f>
        <v>5.9678438265535066E-3</v>
      </c>
      <c r="K247" s="1"/>
      <c r="L247" s="1">
        <f t="shared" ref="L247:L250" si="77">+D247-H247</f>
        <v>-5235.4600000000028</v>
      </c>
      <c r="M247" s="1"/>
      <c r="N247" s="5">
        <f t="shared" ref="N247:N250" si="78">IF(H247=0,0,L247/H247)</f>
        <v>-0.20241508109230372</v>
      </c>
      <c r="O247" s="14"/>
      <c r="P247" s="1">
        <f>SUM(OSRRefP22_19x_0)</f>
        <v>42573.659999999996</v>
      </c>
      <c r="Q247" s="1"/>
      <c r="R247" s="5">
        <f t="shared" ref="R247:R250" si="79">IF(P$12=0,0,P247/P$12)</f>
        <v>7.4361783810668316E-3</v>
      </c>
      <c r="S247" s="1"/>
      <c r="T247" s="1">
        <f>SUM(OSRRefT22_19x_0)</f>
        <v>48630.260000000009</v>
      </c>
      <c r="U247" s="1"/>
      <c r="V247" s="5">
        <f t="shared" ref="V247:V250" si="80">IF(T$12=0,0,T247/T$12)</f>
        <v>8.1067029240447699E-3</v>
      </c>
      <c r="W247" s="1"/>
      <c r="X247" s="1">
        <f t="shared" ref="X247:X250" si="81">+P247-T247</f>
        <v>-6056.6000000000131</v>
      </c>
      <c r="Y247" s="1"/>
      <c r="Z247" s="5">
        <f t="shared" ref="Z247:Z250" si="82">IF(T247=0,0,X247/T247)</f>
        <v>-0.12454385397075837</v>
      </c>
    </row>
    <row r="248" spans="1:26" s="24" customFormat="1" hidden="1" outlineLevel="2" x14ac:dyDescent="0.25">
      <c r="A248" s="29"/>
      <c r="B248" s="11" t="str">
        <f>CONCATENATE("          ", "6253", " - ", "ROYALTY DUE ATHLETICS-LRG")</f>
        <v xml:space="preserve">          6253 - ROYALTY DUE ATHLETICS-LRG</v>
      </c>
      <c r="C248" s="11"/>
      <c r="D248" s="7"/>
      <c r="E248" s="2"/>
      <c r="F248" s="6">
        <f t="shared" si="75"/>
        <v>0</v>
      </c>
      <c r="G248" s="2"/>
      <c r="H248" s="7"/>
      <c r="I248" s="2"/>
      <c r="J248" s="6">
        <f t="shared" si="76"/>
        <v>0</v>
      </c>
      <c r="K248" s="2"/>
      <c r="L248" s="7">
        <f t="shared" si="77"/>
        <v>0</v>
      </c>
      <c r="M248" s="2"/>
      <c r="N248" s="6">
        <f t="shared" si="78"/>
        <v>0</v>
      </c>
      <c r="O248" s="11"/>
      <c r="P248" s="7">
        <v>4366.95</v>
      </c>
      <c r="Q248" s="2"/>
      <c r="R248" s="6">
        <f t="shared" si="79"/>
        <v>7.6275845631312421E-4</v>
      </c>
      <c r="S248" s="2"/>
      <c r="T248" s="7">
        <v>6645.39</v>
      </c>
      <c r="U248" s="2"/>
      <c r="V248" s="6">
        <f t="shared" si="80"/>
        <v>1.1077917852879641E-3</v>
      </c>
      <c r="W248" s="2"/>
      <c r="X248" s="7">
        <f t="shared" si="81"/>
        <v>-2278.4400000000005</v>
      </c>
      <c r="Y248" s="2"/>
      <c r="Z248" s="6">
        <f t="shared" si="82"/>
        <v>-0.34286023845101649</v>
      </c>
    </row>
    <row r="249" spans="1:26" s="24" customFormat="1" hidden="1" outlineLevel="2" x14ac:dyDescent="0.25">
      <c r="A249" s="29"/>
      <c r="B249" s="11" t="str">
        <f>CONCATENATE("          ", "6254", " - ", "ROYALTY &amp; COMMISSIONS")</f>
        <v xml:space="preserve">          6254 - ROYALTY &amp; COMMISSIONS</v>
      </c>
      <c r="C249" s="11"/>
      <c r="D249" s="7">
        <v>11007.38</v>
      </c>
      <c r="E249" s="2"/>
      <c r="F249" s="6">
        <f t="shared" si="75"/>
        <v>2.6094378332499743E-3</v>
      </c>
      <c r="G249" s="2"/>
      <c r="H249" s="7">
        <v>16677.41</v>
      </c>
      <c r="I249" s="2"/>
      <c r="J249" s="6">
        <f t="shared" si="76"/>
        <v>3.8479912527020796E-3</v>
      </c>
      <c r="K249" s="2"/>
      <c r="L249" s="7">
        <f t="shared" si="77"/>
        <v>-5670.0300000000007</v>
      </c>
      <c r="M249" s="2"/>
      <c r="N249" s="6">
        <f t="shared" si="78"/>
        <v>-0.33998264718562421</v>
      </c>
      <c r="O249" s="11"/>
      <c r="P249" s="7">
        <v>25094.129999999997</v>
      </c>
      <c r="Q249" s="2"/>
      <c r="R249" s="6">
        <f t="shared" si="79"/>
        <v>4.3830957215724607E-3</v>
      </c>
      <c r="S249" s="2"/>
      <c r="T249" s="7">
        <v>29097.710000000003</v>
      </c>
      <c r="U249" s="2"/>
      <c r="V249" s="6">
        <f t="shared" si="80"/>
        <v>4.850611342402996E-3</v>
      </c>
      <c r="W249" s="2"/>
      <c r="X249" s="7">
        <f t="shared" si="81"/>
        <v>-4003.5800000000054</v>
      </c>
      <c r="Y249" s="2"/>
      <c r="Z249" s="6">
        <f t="shared" si="82"/>
        <v>-0.13759089632826793</v>
      </c>
    </row>
    <row r="250" spans="1:26" s="24" customFormat="1" hidden="1" outlineLevel="2" x14ac:dyDescent="0.25">
      <c r="A250" s="29"/>
      <c r="B250" s="11" t="str">
        <f>CONCATENATE("          ", "6259", " - ", "ROYALTY &amp; COMMISSIONS")</f>
        <v xml:space="preserve">          6259 - ROYALTY &amp; COMMISSIONS</v>
      </c>
      <c r="C250" s="11"/>
      <c r="D250" s="7">
        <v>9622.1299999999992</v>
      </c>
      <c r="E250" s="2"/>
      <c r="F250" s="6">
        <f t="shared" si="75"/>
        <v>2.2810469029369003E-3</v>
      </c>
      <c r="G250" s="2"/>
      <c r="H250" s="7">
        <v>9187.56</v>
      </c>
      <c r="I250" s="2"/>
      <c r="J250" s="6">
        <f t="shared" si="76"/>
        <v>2.1198525738514262E-3</v>
      </c>
      <c r="K250" s="2"/>
      <c r="L250" s="7">
        <f t="shared" si="77"/>
        <v>434.56999999999971</v>
      </c>
      <c r="M250" s="2"/>
      <c r="N250" s="6">
        <f t="shared" si="78"/>
        <v>4.7299827157591325E-2</v>
      </c>
      <c r="O250" s="11"/>
      <c r="P250" s="7">
        <v>13112.58</v>
      </c>
      <c r="Q250" s="2"/>
      <c r="R250" s="6">
        <f t="shared" si="79"/>
        <v>2.2903242031812468E-3</v>
      </c>
      <c r="S250" s="2"/>
      <c r="T250" s="7">
        <v>12887.16</v>
      </c>
      <c r="U250" s="2"/>
      <c r="V250" s="6">
        <f t="shared" si="80"/>
        <v>2.1482997963538091E-3</v>
      </c>
      <c r="W250" s="2"/>
      <c r="X250" s="7">
        <f t="shared" si="81"/>
        <v>225.42000000000007</v>
      </c>
      <c r="Y250" s="2"/>
      <c r="Z250" s="6">
        <f t="shared" si="82"/>
        <v>1.7491829076383011E-2</v>
      </c>
    </row>
    <row r="251" spans="1:26" s="27" customFormat="1" outlineLevel="1" collapsed="1" x14ac:dyDescent="0.25">
      <c r="A251" s="28"/>
      <c r="B251" s="14" t="str">
        <f>CONCATENATE("     ","Services                                          ")</f>
        <v xml:space="preserve">     Services                                          </v>
      </c>
      <c r="C251" s="14"/>
      <c r="D251" s="1">
        <f>SUM(OSRRefD22_20x_0)</f>
        <v>42189.189999999995</v>
      </c>
      <c r="E251" s="1"/>
      <c r="F251" s="5">
        <f t="shared" ref="F251:F256" si="83">IF(D$12=0,0,D251/D$12)</f>
        <v>1.0001477966616169E-2</v>
      </c>
      <c r="G251" s="1"/>
      <c r="H251" s="1">
        <f>SUM(OSRRefH22_20x_0)</f>
        <v>35156.909999999996</v>
      </c>
      <c r="I251" s="1"/>
      <c r="J251" s="5">
        <f t="shared" ref="J251:J256" si="84">IF(H$12=0,0,H251/H$12)</f>
        <v>8.1117800756852678E-3</v>
      </c>
      <c r="K251" s="1"/>
      <c r="L251" s="1">
        <f t="shared" ref="L251:L256" si="85">+D251-H251</f>
        <v>7032.2799999999988</v>
      </c>
      <c r="M251" s="1"/>
      <c r="N251" s="5">
        <f t="shared" ref="N251:N256" si="86">IF(H251=0,0,L251/H251)</f>
        <v>0.20002554263159075</v>
      </c>
      <c r="O251" s="14"/>
      <c r="P251" s="1">
        <f>SUM(OSRRefP22_20x_0)</f>
        <v>89507.650000000009</v>
      </c>
      <c r="Q251" s="1"/>
      <c r="R251" s="5">
        <f t="shared" ref="R251:R256" si="87">IF(P$12=0,0,P251/P$12)</f>
        <v>1.563395892836314E-2</v>
      </c>
      <c r="S251" s="1"/>
      <c r="T251" s="1">
        <f>SUM(OSRRefT22_20x_0)</f>
        <v>73681.19</v>
      </c>
      <c r="U251" s="1"/>
      <c r="V251" s="5">
        <f t="shared" ref="V251:V256" si="88">IF(T$12=0,0,T251/T$12)</f>
        <v>1.2282712829832664E-2</v>
      </c>
      <c r="W251" s="1"/>
      <c r="X251" s="1">
        <f t="shared" ref="X251:X256" si="89">+P251-T251</f>
        <v>15826.460000000006</v>
      </c>
      <c r="Y251" s="1"/>
      <c r="Z251" s="5">
        <f t="shared" ref="Z251:Z256" si="90">IF(T251=0,0,X251/T251)</f>
        <v>0.21479647654984951</v>
      </c>
    </row>
    <row r="252" spans="1:26" s="24" customFormat="1" hidden="1" outlineLevel="2" x14ac:dyDescent="0.25">
      <c r="A252" s="29"/>
      <c r="B252" s="11" t="str">
        <f>CONCATENATE("          ", "6282", " - ", "JANITORIAL/EXTERMINATOR EXPENS")</f>
        <v xml:space="preserve">          6282 - JANITORIAL/EXTERMINATOR EXPENS</v>
      </c>
      <c r="C252" s="11"/>
      <c r="D252" s="7">
        <v>4249.2</v>
      </c>
      <c r="E252" s="2"/>
      <c r="F252" s="6">
        <f t="shared" si="83"/>
        <v>1.0073262884579067E-3</v>
      </c>
      <c r="G252" s="2"/>
      <c r="H252" s="7">
        <v>3485.5</v>
      </c>
      <c r="I252" s="2"/>
      <c r="J252" s="6">
        <f t="shared" si="84"/>
        <v>8.042120156123222E-4</v>
      </c>
      <c r="K252" s="2"/>
      <c r="L252" s="7">
        <f t="shared" si="85"/>
        <v>763.69999999999982</v>
      </c>
      <c r="M252" s="2"/>
      <c r="N252" s="6">
        <f t="shared" si="86"/>
        <v>0.21910773203270686</v>
      </c>
      <c r="O252" s="11"/>
      <c r="P252" s="7">
        <v>7903.66</v>
      </c>
      <c r="Q252" s="2"/>
      <c r="R252" s="6">
        <f t="shared" si="87"/>
        <v>1.3805020668484383E-3</v>
      </c>
      <c r="S252" s="2"/>
      <c r="T252" s="7">
        <v>7012.5</v>
      </c>
      <c r="U252" s="2"/>
      <c r="V252" s="6">
        <f t="shared" si="88"/>
        <v>1.1689893135439528E-3</v>
      </c>
      <c r="W252" s="2"/>
      <c r="X252" s="7">
        <f t="shared" si="89"/>
        <v>891.15999999999985</v>
      </c>
      <c r="Y252" s="2"/>
      <c r="Z252" s="6">
        <f t="shared" si="90"/>
        <v>0.12708163992869873</v>
      </c>
    </row>
    <row r="253" spans="1:26" s="24" customFormat="1" hidden="1" outlineLevel="2" x14ac:dyDescent="0.25">
      <c r="A253" s="29"/>
      <c r="B253" s="11" t="str">
        <f>CONCATENATE("          ", "6283", " - ", "PLANT SERVICE")</f>
        <v xml:space="preserve">          6283 - PLANT SERVICE</v>
      </c>
      <c r="C253" s="11"/>
      <c r="D253" s="7">
        <v>380.44</v>
      </c>
      <c r="E253" s="2"/>
      <c r="F253" s="6">
        <f t="shared" si="83"/>
        <v>9.018808556455945E-5</v>
      </c>
      <c r="G253" s="2"/>
      <c r="H253" s="7">
        <v>349</v>
      </c>
      <c r="I253" s="2"/>
      <c r="J253" s="6">
        <f t="shared" si="84"/>
        <v>8.0525030396987654E-5</v>
      </c>
      <c r="K253" s="2"/>
      <c r="L253" s="7">
        <f t="shared" si="85"/>
        <v>31.439999999999998</v>
      </c>
      <c r="M253" s="2"/>
      <c r="N253" s="6">
        <f t="shared" si="86"/>
        <v>9.0085959885386813E-2</v>
      </c>
      <c r="O253" s="11"/>
      <c r="P253" s="7">
        <v>760.88</v>
      </c>
      <c r="Q253" s="2"/>
      <c r="R253" s="6">
        <f t="shared" si="87"/>
        <v>1.3289999982585784E-4</v>
      </c>
      <c r="S253" s="2"/>
      <c r="T253" s="7">
        <v>698</v>
      </c>
      <c r="U253" s="2"/>
      <c r="V253" s="6">
        <f t="shared" si="88"/>
        <v>1.1635715377592571E-4</v>
      </c>
      <c r="W253" s="2"/>
      <c r="X253" s="7">
        <f t="shared" si="89"/>
        <v>62.879999999999995</v>
      </c>
      <c r="Y253" s="2"/>
      <c r="Z253" s="6">
        <f t="shared" si="90"/>
        <v>9.0085959885386813E-2</v>
      </c>
    </row>
    <row r="254" spans="1:26" s="24" customFormat="1" hidden="1" outlineLevel="2" x14ac:dyDescent="0.25">
      <c r="A254" s="29"/>
      <c r="B254" s="11" t="str">
        <f>CONCATENATE("          ", "6284", " - ", "TRASH REMOVAL EXPENSE")</f>
        <v xml:space="preserve">          6284 - TRASH REMOVAL EXPENSE</v>
      </c>
      <c r="C254" s="11"/>
      <c r="D254" s="7">
        <v>134.82</v>
      </c>
      <c r="E254" s="2"/>
      <c r="F254" s="6">
        <f t="shared" si="83"/>
        <v>3.196077619549444E-5</v>
      </c>
      <c r="G254" s="2"/>
      <c r="H254" s="7">
        <v>3494.46</v>
      </c>
      <c r="I254" s="2"/>
      <c r="J254" s="6">
        <f t="shared" si="84"/>
        <v>8.0627936309758588E-4</v>
      </c>
      <c r="K254" s="2"/>
      <c r="L254" s="7">
        <f t="shared" si="85"/>
        <v>-3359.64</v>
      </c>
      <c r="M254" s="2"/>
      <c r="N254" s="6">
        <f t="shared" si="86"/>
        <v>-0.96141893168043124</v>
      </c>
      <c r="O254" s="11"/>
      <c r="P254" s="7">
        <v>4705.6400000000003</v>
      </c>
      <c r="Q254" s="2"/>
      <c r="R254" s="6">
        <f t="shared" si="87"/>
        <v>8.2191614338732752E-4</v>
      </c>
      <c r="S254" s="2"/>
      <c r="T254" s="7">
        <v>6988.92</v>
      </c>
      <c r="U254" s="2"/>
      <c r="V254" s="6">
        <f t="shared" si="88"/>
        <v>1.1650585088361642E-3</v>
      </c>
      <c r="W254" s="2"/>
      <c r="X254" s="7">
        <f t="shared" si="89"/>
        <v>-2283.2799999999997</v>
      </c>
      <c r="Y254" s="2"/>
      <c r="Z254" s="6">
        <f t="shared" si="90"/>
        <v>-0.32669997653428567</v>
      </c>
    </row>
    <row r="255" spans="1:26" s="24" customFormat="1" hidden="1" outlineLevel="2" x14ac:dyDescent="0.25">
      <c r="A255" s="29"/>
      <c r="B255" s="11" t="str">
        <f>CONCATENATE("          ", "6285", " - ", "JANITORIAL SERVICES")</f>
        <v xml:space="preserve">          6285 - JANITORIAL SERVICES</v>
      </c>
      <c r="C255" s="11"/>
      <c r="D255" s="7">
        <v>29125.27</v>
      </c>
      <c r="E255" s="2"/>
      <c r="F255" s="6">
        <f t="shared" si="83"/>
        <v>6.9045114679079393E-3</v>
      </c>
      <c r="G255" s="2"/>
      <c r="H255" s="7">
        <v>21230.21</v>
      </c>
      <c r="I255" s="2"/>
      <c r="J255" s="6">
        <f t="shared" si="84"/>
        <v>4.8984621936516651E-3</v>
      </c>
      <c r="K255" s="2"/>
      <c r="L255" s="7">
        <f t="shared" si="85"/>
        <v>7895.0600000000013</v>
      </c>
      <c r="M255" s="2"/>
      <c r="N255" s="6">
        <f t="shared" si="86"/>
        <v>0.37187856361288946</v>
      </c>
      <c r="O255" s="11"/>
      <c r="P255" s="7">
        <v>59100.460000000006</v>
      </c>
      <c r="Q255" s="2"/>
      <c r="R255" s="6">
        <f t="shared" si="87"/>
        <v>1.0322851334912364E-2</v>
      </c>
      <c r="S255" s="2"/>
      <c r="T255" s="7">
        <v>45131.38</v>
      </c>
      <c r="U255" s="2"/>
      <c r="V255" s="6">
        <f t="shared" si="88"/>
        <v>7.523436852119968E-3</v>
      </c>
      <c r="W255" s="2"/>
      <c r="X255" s="7">
        <f t="shared" si="89"/>
        <v>13969.080000000009</v>
      </c>
      <c r="Y255" s="2"/>
      <c r="Z255" s="6">
        <f t="shared" si="90"/>
        <v>0.30952033817711777</v>
      </c>
    </row>
    <row r="256" spans="1:26" s="24" customFormat="1" hidden="1" outlineLevel="2" x14ac:dyDescent="0.25">
      <c r="A256" s="29"/>
      <c r="B256" s="11" t="str">
        <f>CONCATENATE("          ", "6286", " - ", "LAUNDRY EXPENSE")</f>
        <v xml:space="preserve">          6286 - LAUNDRY EXPENSE</v>
      </c>
      <c r="C256" s="11"/>
      <c r="D256" s="7">
        <v>8299.4599999999991</v>
      </c>
      <c r="E256" s="2"/>
      <c r="F256" s="6">
        <f t="shared" si="83"/>
        <v>1.9674913484902705E-3</v>
      </c>
      <c r="G256" s="2"/>
      <c r="H256" s="7">
        <v>6597.74</v>
      </c>
      <c r="I256" s="2"/>
      <c r="J256" s="6">
        <f t="shared" si="84"/>
        <v>1.5223014729267086E-3</v>
      </c>
      <c r="K256" s="2"/>
      <c r="L256" s="7">
        <f t="shared" si="85"/>
        <v>1701.7199999999993</v>
      </c>
      <c r="M256" s="2"/>
      <c r="N256" s="6">
        <f t="shared" si="86"/>
        <v>0.25792468330064527</v>
      </c>
      <c r="O256" s="11"/>
      <c r="P256" s="7">
        <v>17037.009999999998</v>
      </c>
      <c r="Q256" s="2"/>
      <c r="R256" s="6">
        <f t="shared" si="87"/>
        <v>2.9757893833891524E-3</v>
      </c>
      <c r="S256" s="2"/>
      <c r="T256" s="7">
        <v>13850.39</v>
      </c>
      <c r="U256" s="2"/>
      <c r="V256" s="6">
        <f t="shared" si="88"/>
        <v>2.3088710015566529E-3</v>
      </c>
      <c r="W256" s="2"/>
      <c r="X256" s="7">
        <f t="shared" si="89"/>
        <v>3186.619999999999</v>
      </c>
      <c r="Y256" s="2"/>
      <c r="Z256" s="6">
        <f t="shared" si="90"/>
        <v>0.23007438779702225</v>
      </c>
    </row>
    <row r="257" spans="1:26" s="27" customFormat="1" outlineLevel="1" collapsed="1" x14ac:dyDescent="0.25">
      <c r="A257" s="28"/>
      <c r="B257" s="14" t="str">
        <f>CONCATENATE("     ","Subscriptions &amp; Dues                              ")</f>
        <v xml:space="preserve">     Subscriptions &amp; Dues                              </v>
      </c>
      <c r="C257" s="14"/>
      <c r="D257" s="1">
        <f>SUM(OSRRefD22_21x_0)</f>
        <v>-3838.84</v>
      </c>
      <c r="E257" s="1"/>
      <c r="F257" s="5">
        <f t="shared" ref="F257:F259" si="91">IF(D$12=0,0,D257/D$12)</f>
        <v>-9.1004529068618807E-4</v>
      </c>
      <c r="G257" s="1"/>
      <c r="H257" s="1">
        <f>SUM(OSRRefH22_21x_0)</f>
        <v>908.61</v>
      </c>
      <c r="I257" s="1"/>
      <c r="J257" s="5">
        <f t="shared" ref="J257:J259" si="92">IF(H$12=0,0,H257/H$12)</f>
        <v>2.0964426323497693E-4</v>
      </c>
      <c r="K257" s="1"/>
      <c r="L257" s="1">
        <f t="shared" ref="L257:L259" si="93">+D257-H257</f>
        <v>-4747.45</v>
      </c>
      <c r="M257" s="1"/>
      <c r="N257" s="5">
        <f t="shared" ref="N257:N259" si="94">IF(H257=0,0,L257/H257)</f>
        <v>-5.224959003312752</v>
      </c>
      <c r="O257" s="14"/>
      <c r="P257" s="1">
        <f>SUM(OSRRefP22_21x_0)</f>
        <v>-2806.7699999999995</v>
      </c>
      <c r="Q257" s="1"/>
      <c r="R257" s="5">
        <f t="shared" ref="R257:R259" si="95">IF(P$12=0,0,P257/P$12)</f>
        <v>-4.9024778218802309E-4</v>
      </c>
      <c r="S257" s="1"/>
      <c r="T257" s="1">
        <f>SUM(OSRRefT22_21x_0)</f>
        <v>1750.96</v>
      </c>
      <c r="U257" s="1"/>
      <c r="V257" s="5">
        <f t="shared" ref="V257:V259" si="96">IF(T$12=0,0,T257/T$12)</f>
        <v>2.9188642116833078E-4</v>
      </c>
      <c r="W257" s="1"/>
      <c r="X257" s="1">
        <f t="shared" ref="X257:X259" si="97">+P257-T257</f>
        <v>-4557.7299999999996</v>
      </c>
      <c r="Y257" s="1"/>
      <c r="Z257" s="5">
        <f t="shared" ref="Z257:Z259" si="98">IF(T257=0,0,X257/T257)</f>
        <v>-2.6029892173436284</v>
      </c>
    </row>
    <row r="258" spans="1:26" s="24" customFormat="1" hidden="1" outlineLevel="2" x14ac:dyDescent="0.25">
      <c r="A258" s="29"/>
      <c r="B258" s="11" t="str">
        <f>CONCATENATE("          ", "6258", " - ", "MEMBERSHIP DUES")</f>
        <v xml:space="preserve">          6258 - MEMBERSHIP DUES</v>
      </c>
      <c r="C258" s="11"/>
      <c r="D258" s="7">
        <v>-4630</v>
      </c>
      <c r="E258" s="2"/>
      <c r="F258" s="6">
        <f t="shared" si="91"/>
        <v>-1.0975997165490229E-3</v>
      </c>
      <c r="G258" s="2"/>
      <c r="H258" s="7">
        <v>272.10000000000002</v>
      </c>
      <c r="I258" s="2"/>
      <c r="J258" s="6">
        <f t="shared" si="92"/>
        <v>6.2781836020115597E-5</v>
      </c>
      <c r="K258" s="2"/>
      <c r="L258" s="7">
        <f t="shared" si="93"/>
        <v>-4902.1000000000004</v>
      </c>
      <c r="M258" s="2"/>
      <c r="N258" s="6">
        <f t="shared" si="94"/>
        <v>-18.015803013597942</v>
      </c>
      <c r="O258" s="11"/>
      <c r="P258" s="7">
        <v>-4341.1499999999996</v>
      </c>
      <c r="Q258" s="2"/>
      <c r="R258" s="6">
        <f t="shared" si="95"/>
        <v>-7.5825206897805531E-4</v>
      </c>
      <c r="S258" s="2"/>
      <c r="T258" s="7">
        <v>553.9</v>
      </c>
      <c r="U258" s="2"/>
      <c r="V258" s="6">
        <f t="shared" si="96"/>
        <v>9.2335569450551928E-5</v>
      </c>
      <c r="W258" s="2"/>
      <c r="X258" s="7">
        <f t="shared" si="97"/>
        <v>-4895.0499999999993</v>
      </c>
      <c r="Y258" s="2"/>
      <c r="Z258" s="6">
        <f t="shared" si="98"/>
        <v>-8.8374255280736591</v>
      </c>
    </row>
    <row r="259" spans="1:26" s="24" customFormat="1" hidden="1" outlineLevel="2" x14ac:dyDescent="0.25">
      <c r="A259" s="29"/>
      <c r="B259" s="11" t="str">
        <f>CONCATENATE("          ", "6275", " - ", "SUBSCRIPTIONS")</f>
        <v xml:space="preserve">          6275 - SUBSCRIPTIONS</v>
      </c>
      <c r="C259" s="11"/>
      <c r="D259" s="7">
        <v>791.16</v>
      </c>
      <c r="E259" s="2"/>
      <c r="F259" s="6">
        <f t="shared" si="91"/>
        <v>1.8755442586283473E-4</v>
      </c>
      <c r="G259" s="2"/>
      <c r="H259" s="7">
        <v>636.51</v>
      </c>
      <c r="I259" s="2"/>
      <c r="J259" s="6">
        <f t="shared" si="92"/>
        <v>1.4686242721486135E-4</v>
      </c>
      <c r="K259" s="2"/>
      <c r="L259" s="7">
        <f t="shared" si="93"/>
        <v>154.64999999999998</v>
      </c>
      <c r="M259" s="2"/>
      <c r="N259" s="6">
        <f t="shared" si="94"/>
        <v>0.24296554649573451</v>
      </c>
      <c r="O259" s="11"/>
      <c r="P259" s="7">
        <v>1534.38</v>
      </c>
      <c r="Q259" s="2"/>
      <c r="R259" s="6">
        <f t="shared" si="95"/>
        <v>2.6800428679003233E-4</v>
      </c>
      <c r="S259" s="2"/>
      <c r="T259" s="7">
        <v>1197.06</v>
      </c>
      <c r="U259" s="2"/>
      <c r="V259" s="6">
        <f t="shared" si="96"/>
        <v>1.9955085171777882E-4</v>
      </c>
      <c r="W259" s="2"/>
      <c r="X259" s="7">
        <f t="shared" si="97"/>
        <v>337.32000000000016</v>
      </c>
      <c r="Y259" s="2"/>
      <c r="Z259" s="6">
        <f t="shared" si="98"/>
        <v>0.28179038644679477</v>
      </c>
    </row>
    <row r="260" spans="1:26" s="27" customFormat="1" outlineLevel="1" collapsed="1" x14ac:dyDescent="0.25">
      <c r="A260" s="28"/>
      <c r="B260" s="14" t="str">
        <f>CONCATENATE("     ","Supplies                                          ")</f>
        <v xml:space="preserve">     Supplies                                          </v>
      </c>
      <c r="C260" s="14"/>
      <c r="D260" s="1">
        <f>SUM(OSRRefD22_22x_0)</f>
        <v>57214.96</v>
      </c>
      <c r="E260" s="1"/>
      <c r="F260" s="5">
        <f t="shared" ref="F260:F268" si="99">IF(D$12=0,0,D260/D$12)</f>
        <v>1.35635256756725E-2</v>
      </c>
      <c r="G260" s="1"/>
      <c r="H260" s="1">
        <f>SUM(OSRRefH22_22x_0)</f>
        <v>66331.66</v>
      </c>
      <c r="I260" s="1"/>
      <c r="J260" s="5">
        <f t="shared" ref="J260:J268" si="100">IF(H$12=0,0,H260/H$12)</f>
        <v>1.5304753403388683E-2</v>
      </c>
      <c r="K260" s="1"/>
      <c r="L260" s="1">
        <f t="shared" ref="L260:L268" si="101">+D260-H260</f>
        <v>-9116.7000000000044</v>
      </c>
      <c r="M260" s="1"/>
      <c r="N260" s="5">
        <f t="shared" ref="N260:N268" si="102">IF(H260=0,0,L260/H260)</f>
        <v>-0.13744115555075817</v>
      </c>
      <c r="O260" s="14"/>
      <c r="P260" s="1">
        <f>SUM(OSRRefP22_22x_0)</f>
        <v>131577.19</v>
      </c>
      <c r="Q260" s="1"/>
      <c r="R260" s="5">
        <f t="shared" ref="R260:R268" si="103">IF(P$12=0,0,P260/P$12)</f>
        <v>2.2982084596896837E-2</v>
      </c>
      <c r="S260" s="1"/>
      <c r="T260" s="1">
        <f>SUM(OSRRefT22_22x_0)</f>
        <v>177653.34999999998</v>
      </c>
      <c r="U260" s="1"/>
      <c r="V260" s="5">
        <f t="shared" ref="V260:V268" si="104">IF(T$12=0,0,T260/T$12)</f>
        <v>2.9614954390771272E-2</v>
      </c>
      <c r="W260" s="1"/>
      <c r="X260" s="1">
        <f t="shared" ref="X260:X268" si="105">+P260-T260</f>
        <v>-46076.159999999974</v>
      </c>
      <c r="Y260" s="1"/>
      <c r="Z260" s="5">
        <f t="shared" ref="Z260:Z268" si="106">IF(T260=0,0,X260/T260)</f>
        <v>-0.25935992763435073</v>
      </c>
    </row>
    <row r="261" spans="1:26" s="24" customFormat="1" hidden="1" outlineLevel="2" x14ac:dyDescent="0.25">
      <c r="A261" s="29"/>
      <c r="B261" s="11" t="str">
        <f>CONCATENATE("          ", "6234", " - ", "EXPENDABLE SUPPLIES &amp; EQUIPMEN")</f>
        <v xml:space="preserve">          6234 - EXPENDABLE SUPPLIES &amp; EQUIPMEN</v>
      </c>
      <c r="C261" s="11"/>
      <c r="D261" s="7">
        <v>2491.5300000000002</v>
      </c>
      <c r="E261" s="2"/>
      <c r="F261" s="6">
        <f t="shared" si="99"/>
        <v>5.9064851442189781E-4</v>
      </c>
      <c r="G261" s="2"/>
      <c r="H261" s="7">
        <v>2969.23</v>
      </c>
      <c r="I261" s="2"/>
      <c r="J261" s="6">
        <f t="shared" si="100"/>
        <v>6.8509265331131129E-4</v>
      </c>
      <c r="K261" s="2"/>
      <c r="L261" s="7">
        <f t="shared" si="101"/>
        <v>-477.69999999999982</v>
      </c>
      <c r="M261" s="2"/>
      <c r="N261" s="6">
        <f t="shared" si="102"/>
        <v>-0.16088346136877232</v>
      </c>
      <c r="O261" s="11"/>
      <c r="P261" s="7">
        <v>3193.61</v>
      </c>
      <c r="Q261" s="2"/>
      <c r="R261" s="6">
        <f t="shared" si="103"/>
        <v>5.5781564562593035E-4</v>
      </c>
      <c r="S261" s="2"/>
      <c r="T261" s="7">
        <v>5759.42</v>
      </c>
      <c r="U261" s="2"/>
      <c r="V261" s="6">
        <f t="shared" si="104"/>
        <v>9.6009988338129233E-4</v>
      </c>
      <c r="W261" s="2"/>
      <c r="X261" s="7">
        <f t="shared" si="105"/>
        <v>-2565.81</v>
      </c>
      <c r="Y261" s="2"/>
      <c r="Z261" s="6">
        <f t="shared" si="106"/>
        <v>-0.4454979841720173</v>
      </c>
    </row>
    <row r="262" spans="1:26" s="24" customFormat="1" hidden="1" outlineLevel="2" x14ac:dyDescent="0.25">
      <c r="A262" s="29"/>
      <c r="B262" s="11" t="str">
        <f>CONCATENATE("          ", "6237", " - ", "JANITORIAL SUPPLIES")</f>
        <v xml:space="preserve">          6237 - JANITORIAL SUPPLIES</v>
      </c>
      <c r="C262" s="11"/>
      <c r="D262" s="7">
        <v>13111.33</v>
      </c>
      <c r="E262" s="2"/>
      <c r="F262" s="6">
        <f t="shared" si="99"/>
        <v>3.1082056353306047E-3</v>
      </c>
      <c r="G262" s="2"/>
      <c r="H262" s="7">
        <v>14829.82</v>
      </c>
      <c r="I262" s="2"/>
      <c r="J262" s="6">
        <f t="shared" si="100"/>
        <v>3.421695433472365E-3</v>
      </c>
      <c r="K262" s="2"/>
      <c r="L262" s="7">
        <f t="shared" si="101"/>
        <v>-1718.4899999999998</v>
      </c>
      <c r="M262" s="2"/>
      <c r="N262" s="6">
        <f t="shared" si="102"/>
        <v>-0.1158807052277101</v>
      </c>
      <c r="O262" s="11"/>
      <c r="P262" s="7">
        <v>25063.25</v>
      </c>
      <c r="Q262" s="2"/>
      <c r="R262" s="6">
        <f t="shared" si="103"/>
        <v>4.3777020300644412E-3</v>
      </c>
      <c r="S262" s="2"/>
      <c r="T262" s="7">
        <v>26746.53</v>
      </c>
      <c r="U262" s="2"/>
      <c r="V262" s="6">
        <f t="shared" si="104"/>
        <v>4.4586677710349715E-3</v>
      </c>
      <c r="W262" s="2"/>
      <c r="X262" s="7">
        <f t="shared" si="105"/>
        <v>-1683.2799999999988</v>
      </c>
      <c r="Y262" s="2"/>
      <c r="Z262" s="6">
        <f t="shared" si="106"/>
        <v>-6.2934518982462356E-2</v>
      </c>
    </row>
    <row r="263" spans="1:26" s="24" customFormat="1" hidden="1" outlineLevel="2" x14ac:dyDescent="0.25">
      <c r="A263" s="29"/>
      <c r="B263" s="11" t="str">
        <f>CONCATENATE("          ", "6239", " - ", "KITCHEN SUPPLIES")</f>
        <v xml:space="preserve">          6239 - KITCHEN SUPPLIES</v>
      </c>
      <c r="C263" s="11"/>
      <c r="D263" s="7">
        <v>8964.77</v>
      </c>
      <c r="E263" s="2"/>
      <c r="F263" s="6">
        <f t="shared" si="99"/>
        <v>2.1252114494443161E-3</v>
      </c>
      <c r="G263" s="2"/>
      <c r="H263" s="7">
        <v>7493.97</v>
      </c>
      <c r="I263" s="2"/>
      <c r="J263" s="6">
        <f t="shared" si="100"/>
        <v>1.7290892895246808E-3</v>
      </c>
      <c r="K263" s="2"/>
      <c r="L263" s="7">
        <f t="shared" si="101"/>
        <v>1470.8000000000002</v>
      </c>
      <c r="M263" s="2"/>
      <c r="N263" s="6">
        <f t="shared" si="102"/>
        <v>0.19626446329515598</v>
      </c>
      <c r="O263" s="11"/>
      <c r="P263" s="7">
        <v>16217.270000000002</v>
      </c>
      <c r="Q263" s="2"/>
      <c r="R263" s="6">
        <f t="shared" si="103"/>
        <v>2.8326085324570103E-3</v>
      </c>
      <c r="S263" s="2"/>
      <c r="T263" s="7">
        <v>9829.92</v>
      </c>
      <c r="U263" s="2"/>
      <c r="V263" s="6">
        <f t="shared" si="104"/>
        <v>1.6386554628152546E-3</v>
      </c>
      <c r="W263" s="2"/>
      <c r="X263" s="7">
        <f t="shared" si="105"/>
        <v>6387.3500000000022</v>
      </c>
      <c r="Y263" s="2"/>
      <c r="Z263" s="6">
        <f t="shared" si="106"/>
        <v>0.64978656998225848</v>
      </c>
    </row>
    <row r="264" spans="1:26" s="24" customFormat="1" hidden="1" outlineLevel="2" x14ac:dyDescent="0.25">
      <c r="A264" s="29"/>
      <c r="B264" s="11" t="str">
        <f>CONCATENATE("          ", "6241", " - ", "OFFICE EXPENSE")</f>
        <v xml:space="preserve">          6241 - OFFICE EXPENSE</v>
      </c>
      <c r="C264" s="11"/>
      <c r="D264" s="7">
        <v>10387.459999999999</v>
      </c>
      <c r="E264" s="2"/>
      <c r="F264" s="6">
        <f t="shared" si="99"/>
        <v>2.4624780025192896E-3</v>
      </c>
      <c r="G264" s="2"/>
      <c r="H264" s="7">
        <v>10103.73</v>
      </c>
      <c r="I264" s="2"/>
      <c r="J264" s="6">
        <f t="shared" si="100"/>
        <v>2.3312411615270946E-3</v>
      </c>
      <c r="K264" s="2"/>
      <c r="L264" s="7">
        <f t="shared" si="101"/>
        <v>283.72999999999956</v>
      </c>
      <c r="M264" s="2"/>
      <c r="N264" s="6">
        <f t="shared" si="102"/>
        <v>2.8081708438368758E-2</v>
      </c>
      <c r="O264" s="11"/>
      <c r="P264" s="7">
        <v>51162.780000000006</v>
      </c>
      <c r="Q264" s="2"/>
      <c r="R264" s="6">
        <f t="shared" si="103"/>
        <v>8.9364071247639634E-3</v>
      </c>
      <c r="S264" s="2"/>
      <c r="T264" s="7">
        <v>56262.92</v>
      </c>
      <c r="U264" s="2"/>
      <c r="V264" s="6">
        <f t="shared" si="104"/>
        <v>9.3790734016083177E-3</v>
      </c>
      <c r="W264" s="2"/>
      <c r="X264" s="7">
        <f t="shared" si="105"/>
        <v>-5100.1399999999921</v>
      </c>
      <c r="Y264" s="2"/>
      <c r="Z264" s="6">
        <f t="shared" si="106"/>
        <v>-9.0648334640292261E-2</v>
      </c>
    </row>
    <row r="265" spans="1:26" s="24" customFormat="1" hidden="1" outlineLevel="2" x14ac:dyDescent="0.25">
      <c r="A265" s="29"/>
      <c r="B265" s="11" t="str">
        <f>CONCATENATE("          ", "6243", " - ", "PAPER SUPPLIES")</f>
        <v xml:space="preserve">          6243 - PAPER SUPPLIES</v>
      </c>
      <c r="C265" s="11"/>
      <c r="D265" s="7">
        <v>11136.84</v>
      </c>
      <c r="E265" s="2"/>
      <c r="F265" s="6">
        <f t="shared" si="99"/>
        <v>2.6401279540500689E-3</v>
      </c>
      <c r="G265" s="2"/>
      <c r="H265" s="7">
        <v>11119.37</v>
      </c>
      <c r="I265" s="2"/>
      <c r="J265" s="6">
        <f t="shared" si="100"/>
        <v>2.5655805365196352E-3</v>
      </c>
      <c r="K265" s="2"/>
      <c r="L265" s="7">
        <f t="shared" si="101"/>
        <v>17.469999999999345</v>
      </c>
      <c r="M265" s="2"/>
      <c r="N265" s="6">
        <f t="shared" si="102"/>
        <v>1.5711321774524406E-3</v>
      </c>
      <c r="O265" s="11"/>
      <c r="P265" s="7">
        <v>19733.62</v>
      </c>
      <c r="Q265" s="2"/>
      <c r="R265" s="6">
        <f t="shared" si="103"/>
        <v>3.4467959396534864E-3</v>
      </c>
      <c r="S265" s="2"/>
      <c r="T265" s="7">
        <v>20547.7</v>
      </c>
      <c r="U265" s="2"/>
      <c r="V265" s="6">
        <f t="shared" si="104"/>
        <v>3.42531789203666E-3</v>
      </c>
      <c r="W265" s="2"/>
      <c r="X265" s="7">
        <f t="shared" si="105"/>
        <v>-814.08000000000175</v>
      </c>
      <c r="Y265" s="2"/>
      <c r="Z265" s="6">
        <f t="shared" si="106"/>
        <v>-3.9619032787124676E-2</v>
      </c>
    </row>
    <row r="266" spans="1:26" s="24" customFormat="1" hidden="1" outlineLevel="2" x14ac:dyDescent="0.25">
      <c r="A266" s="29"/>
      <c r="B266" s="11" t="str">
        <f>CONCATENATE("          ", "6245", " - ", "PRINTING")</f>
        <v xml:space="preserve">          6245 - PRINTING</v>
      </c>
      <c r="C266" s="11"/>
      <c r="D266" s="7">
        <v>6341.27</v>
      </c>
      <c r="E266" s="2"/>
      <c r="F266" s="6">
        <f t="shared" si="99"/>
        <v>1.5032777871621646E-3</v>
      </c>
      <c r="G266" s="2"/>
      <c r="H266" s="7">
        <v>638.49</v>
      </c>
      <c r="I266" s="2"/>
      <c r="J266" s="6">
        <f t="shared" si="100"/>
        <v>1.4731927409218523E-4</v>
      </c>
      <c r="K266" s="2"/>
      <c r="L266" s="7">
        <f t="shared" si="101"/>
        <v>5702.7800000000007</v>
      </c>
      <c r="M266" s="2"/>
      <c r="N266" s="6">
        <f t="shared" si="102"/>
        <v>8.9316669015959533</v>
      </c>
      <c r="O266" s="11"/>
      <c r="P266" s="7">
        <v>6479.03</v>
      </c>
      <c r="Q266" s="2"/>
      <c r="R266" s="6">
        <f t="shared" si="103"/>
        <v>1.131667392850026E-3</v>
      </c>
      <c r="S266" s="2"/>
      <c r="T266" s="7">
        <v>2255.34</v>
      </c>
      <c r="U266" s="2"/>
      <c r="V266" s="6">
        <f t="shared" si="104"/>
        <v>3.7596696733094027E-4</v>
      </c>
      <c r="W266" s="2"/>
      <c r="X266" s="7">
        <f t="shared" si="105"/>
        <v>4223.6899999999996</v>
      </c>
      <c r="Y266" s="2"/>
      <c r="Z266" s="6">
        <f t="shared" si="106"/>
        <v>1.8727508934351358</v>
      </c>
    </row>
    <row r="267" spans="1:26" s="24" customFormat="1" hidden="1" outlineLevel="2" x14ac:dyDescent="0.25">
      <c r="A267" s="29"/>
      <c r="B267" s="11" t="str">
        <f>CONCATENATE("          ", "6247", " - ", "STORE SUPPLIES")</f>
        <v xml:space="preserve">          6247 - STORE SUPPLIES</v>
      </c>
      <c r="C267" s="11"/>
      <c r="D267" s="7">
        <v>1573.12</v>
      </c>
      <c r="E267" s="2"/>
      <c r="F267" s="6">
        <f t="shared" si="99"/>
        <v>3.7292787604699753E-4</v>
      </c>
      <c r="G267" s="2"/>
      <c r="H267" s="7">
        <v>15123.28</v>
      </c>
      <c r="I267" s="2"/>
      <c r="J267" s="6">
        <f t="shared" si="100"/>
        <v>3.4894056782296718E-3</v>
      </c>
      <c r="K267" s="2"/>
      <c r="L267" s="7">
        <f t="shared" si="101"/>
        <v>-13550.16</v>
      </c>
      <c r="M267" s="2"/>
      <c r="N267" s="6">
        <f t="shared" si="102"/>
        <v>-0.8959802370914246</v>
      </c>
      <c r="O267" s="11"/>
      <c r="P267" s="7">
        <v>11508.9</v>
      </c>
      <c r="Q267" s="2"/>
      <c r="R267" s="6">
        <f t="shared" si="103"/>
        <v>2.010215550409809E-3</v>
      </c>
      <c r="S267" s="2"/>
      <c r="T267" s="7">
        <v>39749.660000000003</v>
      </c>
      <c r="U267" s="2"/>
      <c r="V267" s="6">
        <f t="shared" si="104"/>
        <v>6.6262998583965088E-3</v>
      </c>
      <c r="W267" s="2"/>
      <c r="X267" s="7">
        <f t="shared" si="105"/>
        <v>-28240.760000000002</v>
      </c>
      <c r="Y267" s="2"/>
      <c r="Z267" s="6">
        <f t="shared" si="106"/>
        <v>-0.7104654480063477</v>
      </c>
    </row>
    <row r="268" spans="1:26" s="24" customFormat="1" hidden="1" outlineLevel="2" x14ac:dyDescent="0.25">
      <c r="A268" s="29"/>
      <c r="B268" s="11" t="str">
        <f>CONCATENATE("          ", "6248", " - ", "UNIFORMS")</f>
        <v xml:space="preserve">          6248 - UNIFORMS</v>
      </c>
      <c r="C268" s="11"/>
      <c r="D268" s="7">
        <v>3208.64</v>
      </c>
      <c r="E268" s="2"/>
      <c r="F268" s="6">
        <f t="shared" si="99"/>
        <v>7.6064845669716126E-4</v>
      </c>
      <c r="G268" s="2"/>
      <c r="H268" s="7">
        <v>4053.77</v>
      </c>
      <c r="I268" s="2"/>
      <c r="J268" s="6">
        <f t="shared" si="100"/>
        <v>9.3532937671173813E-4</v>
      </c>
      <c r="K268" s="2"/>
      <c r="L268" s="7">
        <f t="shared" si="101"/>
        <v>-845.13000000000011</v>
      </c>
      <c r="M268" s="2"/>
      <c r="N268" s="6">
        <f t="shared" si="102"/>
        <v>-0.20848000749919213</v>
      </c>
      <c r="O268" s="11"/>
      <c r="P268" s="7">
        <v>-1781.27</v>
      </c>
      <c r="Q268" s="2"/>
      <c r="R268" s="6">
        <f t="shared" si="103"/>
        <v>-3.1112761892782806E-4</v>
      </c>
      <c r="S268" s="2"/>
      <c r="T268" s="7">
        <v>16501.86</v>
      </c>
      <c r="U268" s="2"/>
      <c r="V268" s="6">
        <f t="shared" si="104"/>
        <v>2.7508731541673317E-3</v>
      </c>
      <c r="W268" s="2"/>
      <c r="X268" s="7">
        <f t="shared" si="105"/>
        <v>-18283.13</v>
      </c>
      <c r="Y268" s="2"/>
      <c r="Z268" s="6">
        <f t="shared" si="106"/>
        <v>-1.1079435893893173</v>
      </c>
    </row>
    <row r="269" spans="1:26" s="27" customFormat="1" outlineLevel="1" collapsed="1" x14ac:dyDescent="0.25">
      <c r="A269" s="28"/>
      <c r="B269" s="14" t="str">
        <f>CONCATENATE("     ","Telephone/Data Lines                              ")</f>
        <v xml:space="preserve">     Telephone/Data Lines                              </v>
      </c>
      <c r="C269" s="14"/>
      <c r="D269" s="1">
        <f>SUM(OSRRefD22_23x_0)</f>
        <v>5533.95</v>
      </c>
      <c r="E269" s="1"/>
      <c r="F269" s="5">
        <f t="shared" ref="F269:F271" si="107">IF(D$12=0,0,D269/D$12)</f>
        <v>1.3118924301072279E-3</v>
      </c>
      <c r="G269" s="1"/>
      <c r="H269" s="1">
        <f>SUM(OSRRefH22_23x_0)</f>
        <v>6821.47</v>
      </c>
      <c r="I269" s="1"/>
      <c r="J269" s="5">
        <f t="shared" ref="J269:J271" si="108">IF(H$12=0,0,H269/H$12)</f>
        <v>1.5739228627568464E-3</v>
      </c>
      <c r="K269" s="1"/>
      <c r="L269" s="1">
        <f t="shared" ref="L269:L271" si="109">+D269-H269</f>
        <v>-1287.5200000000004</v>
      </c>
      <c r="M269" s="1"/>
      <c r="N269" s="5">
        <f t="shared" ref="N269:N271" si="110">IF(H269=0,0,L269/H269)</f>
        <v>-0.18874524112837854</v>
      </c>
      <c r="O269" s="14"/>
      <c r="P269" s="1">
        <f>SUM(OSRRefP22_23x_0)</f>
        <v>8227.7200000000012</v>
      </c>
      <c r="Q269" s="1"/>
      <c r="R269" s="5">
        <f t="shared" ref="R269:R271" si="111">IF(P$12=0,0,P269/P$12)</f>
        <v>1.4371043877710115E-3</v>
      </c>
      <c r="S269" s="1"/>
      <c r="T269" s="1">
        <f>SUM(OSRRefT22_23x_0)</f>
        <v>11545.55</v>
      </c>
      <c r="U269" s="1"/>
      <c r="V269" s="5">
        <f t="shared" ref="V269:V271" si="112">IF(T$12=0,0,T269/T$12)</f>
        <v>1.9246523449536375E-3</v>
      </c>
      <c r="W269" s="1"/>
      <c r="X269" s="1">
        <f t="shared" ref="X269:X271" si="113">+P269-T269</f>
        <v>-3317.8299999999981</v>
      </c>
      <c r="Y269" s="1"/>
      <c r="Z269" s="5">
        <f t="shared" ref="Z269:Z271" si="114">IF(T269=0,0,X269/T269)</f>
        <v>-0.28736872647903289</v>
      </c>
    </row>
    <row r="270" spans="1:26" s="24" customFormat="1" hidden="1" outlineLevel="2" x14ac:dyDescent="0.25">
      <c r="A270" s="29"/>
      <c r="B270" s="11" t="str">
        <f>CONCATENATE("          ", "6303", " - ", "DATA PHONE LINES")</f>
        <v xml:space="preserve">          6303 - DATA PHONE LINES</v>
      </c>
      <c r="C270" s="11"/>
      <c r="D270" s="7">
        <v>295</v>
      </c>
      <c r="E270" s="2"/>
      <c r="F270" s="6">
        <f t="shared" si="107"/>
        <v>6.9933459261762798E-5</v>
      </c>
      <c r="G270" s="2"/>
      <c r="H270" s="7">
        <v>590</v>
      </c>
      <c r="I270" s="2"/>
      <c r="J270" s="6">
        <f t="shared" si="108"/>
        <v>1.3613114021267253E-4</v>
      </c>
      <c r="K270" s="2"/>
      <c r="L270" s="7">
        <f t="shared" si="109"/>
        <v>-295</v>
      </c>
      <c r="M270" s="2"/>
      <c r="N270" s="6">
        <f t="shared" si="110"/>
        <v>-0.5</v>
      </c>
      <c r="O270" s="11"/>
      <c r="P270" s="7">
        <v>590</v>
      </c>
      <c r="Q270" s="2"/>
      <c r="R270" s="6">
        <f t="shared" si="111"/>
        <v>1.0305304370893719E-4</v>
      </c>
      <c r="S270" s="2"/>
      <c r="T270" s="7">
        <v>590</v>
      </c>
      <c r="U270" s="2"/>
      <c r="V270" s="6">
        <f t="shared" si="112"/>
        <v>9.8353468091398526E-5</v>
      </c>
      <c r="W270" s="2"/>
      <c r="X270" s="7">
        <f t="shared" si="113"/>
        <v>0</v>
      </c>
      <c r="Y270" s="2"/>
      <c r="Z270" s="6">
        <f t="shared" si="114"/>
        <v>0</v>
      </c>
    </row>
    <row r="271" spans="1:26" s="24" customFormat="1" hidden="1" outlineLevel="2" x14ac:dyDescent="0.25">
      <c r="A271" s="29"/>
      <c r="B271" s="11" t="str">
        <f>CONCATENATE("          ", "6309", " - ", "TELEPHONE")</f>
        <v xml:space="preserve">          6309 - TELEPHONE</v>
      </c>
      <c r="C271" s="11"/>
      <c r="D271" s="7">
        <v>5238.95</v>
      </c>
      <c r="E271" s="2"/>
      <c r="F271" s="6">
        <f t="shared" si="107"/>
        <v>1.241958970845465E-3</v>
      </c>
      <c r="G271" s="2"/>
      <c r="H271" s="7">
        <v>6231.47</v>
      </c>
      <c r="I271" s="2"/>
      <c r="J271" s="6">
        <f t="shared" si="108"/>
        <v>1.4377917225441737E-3</v>
      </c>
      <c r="K271" s="2"/>
      <c r="L271" s="7">
        <f t="shared" si="109"/>
        <v>-992.52000000000044</v>
      </c>
      <c r="M271" s="2"/>
      <c r="N271" s="6">
        <f t="shared" si="110"/>
        <v>-0.15927541976451789</v>
      </c>
      <c r="O271" s="11"/>
      <c r="P271" s="7">
        <v>7637.72</v>
      </c>
      <c r="Q271" s="2"/>
      <c r="R271" s="6">
        <f t="shared" si="111"/>
        <v>1.3340513440620743E-3</v>
      </c>
      <c r="S271" s="2"/>
      <c r="T271" s="7">
        <v>10955.55</v>
      </c>
      <c r="U271" s="2"/>
      <c r="V271" s="6">
        <f t="shared" si="112"/>
        <v>1.8262988768622389E-3</v>
      </c>
      <c r="W271" s="2"/>
      <c r="X271" s="7">
        <f t="shared" si="113"/>
        <v>-3317.829999999999</v>
      </c>
      <c r="Y271" s="2"/>
      <c r="Z271" s="6">
        <f t="shared" si="114"/>
        <v>-0.3028446768989233</v>
      </c>
    </row>
    <row r="272" spans="1:26" s="27" customFormat="1" outlineLevel="1" collapsed="1" x14ac:dyDescent="0.25">
      <c r="A272" s="28"/>
      <c r="B272" s="14" t="str">
        <f>CONCATENATE("     ","Training                                          ")</f>
        <v xml:space="preserve">     Training                                          </v>
      </c>
      <c r="C272" s="14"/>
      <c r="D272" s="1">
        <f>SUM(OSRRefD22_24x_0)</f>
        <v>6895.76</v>
      </c>
      <c r="E272" s="1"/>
      <c r="F272" s="5">
        <f t="shared" ref="F272:F277" si="115">IF(D$12=0,0,D272/D$12)</f>
        <v>1.634726613691164E-3</v>
      </c>
      <c r="G272" s="1"/>
      <c r="H272" s="1">
        <f>SUM(OSRRefH22_24x_0)</f>
        <v>-1414.43</v>
      </c>
      <c r="I272" s="1"/>
      <c r="J272" s="5">
        <f t="shared" ref="J272:J277" si="116">IF(H$12=0,0,H272/H$12)</f>
        <v>-3.2635248923900068E-4</v>
      </c>
      <c r="K272" s="1"/>
      <c r="L272" s="1">
        <f t="shared" ref="L272:L277" si="117">+D272-H272</f>
        <v>8310.19</v>
      </c>
      <c r="M272" s="1"/>
      <c r="N272" s="5">
        <f t="shared" ref="N272:N277" si="118">IF(H272=0,0,L272/H272)</f>
        <v>-5.8752925206620334</v>
      </c>
      <c r="O272" s="14"/>
      <c r="P272" s="1">
        <f>SUM(OSRRefP22_24x_0)</f>
        <v>11762.65</v>
      </c>
      <c r="Q272" s="1"/>
      <c r="R272" s="5">
        <f t="shared" ref="R272:R277" si="119">IF(P$12=0,0,P272/P$12)</f>
        <v>2.0545370925134409E-3</v>
      </c>
      <c r="S272" s="1"/>
      <c r="T272" s="1">
        <f>SUM(OSRRefT22_24x_0)</f>
        <v>3566.76</v>
      </c>
      <c r="U272" s="1"/>
      <c r="V272" s="5">
        <f t="shared" ref="V272:V277" si="120">IF(T$12=0,0,T272/T$12)</f>
        <v>5.9458172177911288E-4</v>
      </c>
      <c r="W272" s="1"/>
      <c r="X272" s="1">
        <f t="shared" ref="X272:X277" si="121">+P272-T272</f>
        <v>8195.89</v>
      </c>
      <c r="Y272" s="1"/>
      <c r="Z272" s="5">
        <f t="shared" ref="Z272:Z277" si="122">IF(T272=0,0,X272/T272)</f>
        <v>2.2978529533806591</v>
      </c>
    </row>
    <row r="273" spans="1:26" s="24" customFormat="1" hidden="1" outlineLevel="2" x14ac:dyDescent="0.25">
      <c r="A273" s="29"/>
      <c r="B273" s="11" t="str">
        <f>CONCATENATE("          ", "6376", " - ", "TRAINING")</f>
        <v xml:space="preserve">          6376 - TRAINING</v>
      </c>
      <c r="C273" s="11"/>
      <c r="D273" s="7">
        <v>6895.76</v>
      </c>
      <c r="E273" s="2"/>
      <c r="F273" s="6">
        <f t="shared" si="115"/>
        <v>1.634726613691164E-3</v>
      </c>
      <c r="G273" s="2"/>
      <c r="H273" s="7">
        <v>-1414.43</v>
      </c>
      <c r="I273" s="2"/>
      <c r="J273" s="6">
        <f t="shared" si="116"/>
        <v>-3.2635248923900068E-4</v>
      </c>
      <c r="K273" s="2"/>
      <c r="L273" s="7">
        <f t="shared" si="117"/>
        <v>8310.19</v>
      </c>
      <c r="M273" s="2"/>
      <c r="N273" s="6">
        <f t="shared" si="118"/>
        <v>-5.8752925206620334</v>
      </c>
      <c r="O273" s="11"/>
      <c r="P273" s="7">
        <v>11762.65</v>
      </c>
      <c r="Q273" s="2"/>
      <c r="R273" s="6">
        <f t="shared" si="119"/>
        <v>2.0545370925134409E-3</v>
      </c>
      <c r="S273" s="2"/>
      <c r="T273" s="7">
        <v>3566.76</v>
      </c>
      <c r="U273" s="2"/>
      <c r="V273" s="6">
        <f t="shared" si="120"/>
        <v>5.9458172177911288E-4</v>
      </c>
      <c r="W273" s="2"/>
      <c r="X273" s="7">
        <f t="shared" si="121"/>
        <v>8195.89</v>
      </c>
      <c r="Y273" s="2"/>
      <c r="Z273" s="6">
        <f t="shared" si="122"/>
        <v>2.2978529533806591</v>
      </c>
    </row>
    <row r="274" spans="1:26" s="27" customFormat="1" outlineLevel="1" collapsed="1" x14ac:dyDescent="0.25">
      <c r="A274" s="28"/>
      <c r="B274" s="14" t="str">
        <f>CONCATENATE("     ","Travel                                            ")</f>
        <v xml:space="preserve">     Travel                                            </v>
      </c>
      <c r="C274" s="14"/>
      <c r="D274" s="1">
        <f>SUM(OSRRefD22_25x_0)</f>
        <v>391.29</v>
      </c>
      <c r="E274" s="1"/>
      <c r="F274" s="5">
        <f t="shared" si="115"/>
        <v>9.2760214489949713E-5</v>
      </c>
      <c r="G274" s="1"/>
      <c r="H274" s="1">
        <f>SUM(OSRRefH22_25x_0)</f>
        <v>813.44</v>
      </c>
      <c r="I274" s="1"/>
      <c r="J274" s="5">
        <f t="shared" si="116"/>
        <v>1.8768561812643449E-4</v>
      </c>
      <c r="K274" s="1"/>
      <c r="L274" s="1">
        <f t="shared" si="117"/>
        <v>-422.15000000000003</v>
      </c>
      <c r="M274" s="1"/>
      <c r="N274" s="5">
        <f t="shared" si="118"/>
        <v>-0.51896882376081821</v>
      </c>
      <c r="O274" s="14"/>
      <c r="P274" s="1">
        <f>SUM(OSRRefP22_25x_0)</f>
        <v>2945.7999999999997</v>
      </c>
      <c r="Q274" s="1"/>
      <c r="R274" s="5">
        <f t="shared" si="119"/>
        <v>5.1453162060641894E-4</v>
      </c>
      <c r="S274" s="1"/>
      <c r="T274" s="1">
        <f>SUM(OSRRefT22_25x_0)</f>
        <v>3407.85</v>
      </c>
      <c r="U274" s="1"/>
      <c r="V274" s="5">
        <f t="shared" si="120"/>
        <v>5.6809129870385164E-4</v>
      </c>
      <c r="W274" s="1"/>
      <c r="X274" s="1">
        <f t="shared" si="121"/>
        <v>-462.05000000000018</v>
      </c>
      <c r="Y274" s="1"/>
      <c r="Z274" s="5">
        <f t="shared" si="122"/>
        <v>-0.13558401924967362</v>
      </c>
    </row>
    <row r="275" spans="1:26" s="24" customFormat="1" hidden="1" outlineLevel="2" x14ac:dyDescent="0.25">
      <c r="A275" s="29"/>
      <c r="B275" s="11" t="str">
        <f>CONCATENATE("          ", "6292", " - ", "TRAVEL/CONFERENCE")</f>
        <v xml:space="preserve">          6292 - TRAVEL/CONFERENCE</v>
      </c>
      <c r="C275" s="11"/>
      <c r="D275" s="7">
        <v>260.52</v>
      </c>
      <c r="E275" s="2"/>
      <c r="F275" s="6">
        <f t="shared" si="115"/>
        <v>6.1759541718218449E-5</v>
      </c>
      <c r="G275" s="2"/>
      <c r="H275" s="7">
        <v>431.97</v>
      </c>
      <c r="I275" s="2"/>
      <c r="J275" s="6">
        <f t="shared" si="116"/>
        <v>9.9668760402827383E-5</v>
      </c>
      <c r="K275" s="2"/>
      <c r="L275" s="7">
        <f t="shared" si="117"/>
        <v>-171.45000000000005</v>
      </c>
      <c r="M275" s="2"/>
      <c r="N275" s="6">
        <f t="shared" si="118"/>
        <v>-0.39690256267796381</v>
      </c>
      <c r="O275" s="11"/>
      <c r="P275" s="7">
        <v>2484.7399999999998</v>
      </c>
      <c r="Q275" s="2"/>
      <c r="R275" s="6">
        <f t="shared" si="119"/>
        <v>4.3400003360227898E-4</v>
      </c>
      <c r="S275" s="2"/>
      <c r="T275" s="7">
        <v>1519.01</v>
      </c>
      <c r="U275" s="2"/>
      <c r="V275" s="6">
        <f t="shared" si="120"/>
        <v>2.5322017214494112E-4</v>
      </c>
      <c r="W275" s="2"/>
      <c r="X275" s="7">
        <f t="shared" si="121"/>
        <v>965.72999999999979</v>
      </c>
      <c r="Y275" s="2"/>
      <c r="Z275" s="6">
        <f t="shared" si="122"/>
        <v>0.63576276653873232</v>
      </c>
    </row>
    <row r="276" spans="1:26" s="24" customFormat="1" hidden="1" outlineLevel="2" x14ac:dyDescent="0.25">
      <c r="A276" s="29"/>
      <c r="B276" s="11" t="str">
        <f>CONCATENATE("          ", "6294", " - ", "TRAVEL OPERATIONAL")</f>
        <v xml:space="preserve">          6294 - TRAVEL OPERATIONAL</v>
      </c>
      <c r="C276" s="11"/>
      <c r="D276" s="7">
        <v>68.67</v>
      </c>
      <c r="E276" s="2"/>
      <c r="F276" s="6">
        <f t="shared" si="115"/>
        <v>1.6279086940695767E-5</v>
      </c>
      <c r="G276" s="2"/>
      <c r="H276" s="7">
        <v>271.73</v>
      </c>
      <c r="I276" s="2"/>
      <c r="J276" s="6">
        <f t="shared" si="116"/>
        <v>6.2696465644050022E-5</v>
      </c>
      <c r="K276" s="2"/>
      <c r="L276" s="7">
        <f t="shared" si="117"/>
        <v>-203.06</v>
      </c>
      <c r="M276" s="2"/>
      <c r="N276" s="6">
        <f t="shared" si="118"/>
        <v>-0.74728590880653589</v>
      </c>
      <c r="O276" s="11"/>
      <c r="P276" s="7">
        <v>114.16</v>
      </c>
      <c r="Q276" s="2"/>
      <c r="R276" s="6">
        <f t="shared" si="119"/>
        <v>1.9939890626800459E-5</v>
      </c>
      <c r="S276" s="2"/>
      <c r="T276" s="7">
        <v>1685.69</v>
      </c>
      <c r="U276" s="2"/>
      <c r="V276" s="6">
        <f t="shared" si="120"/>
        <v>2.8100586038472811E-4</v>
      </c>
      <c r="W276" s="2"/>
      <c r="X276" s="7">
        <f t="shared" si="121"/>
        <v>-1571.53</v>
      </c>
      <c r="Y276" s="2"/>
      <c r="Z276" s="6">
        <f t="shared" si="122"/>
        <v>-0.93227699043121803</v>
      </c>
    </row>
    <row r="277" spans="1:26" s="24" customFormat="1" hidden="1" outlineLevel="2" x14ac:dyDescent="0.25">
      <c r="A277" s="29"/>
      <c r="B277" s="11" t="str">
        <f>CONCATENATE("          ", "6298", " - ", "VEHICLE MILEAGE")</f>
        <v xml:space="preserve">          6298 - VEHICLE MILEAGE</v>
      </c>
      <c r="C277" s="11"/>
      <c r="D277" s="7">
        <v>62.1</v>
      </c>
      <c r="E277" s="2"/>
      <c r="F277" s="6">
        <f t="shared" si="115"/>
        <v>1.472158583103549E-5</v>
      </c>
      <c r="G277" s="2"/>
      <c r="H277" s="7">
        <v>109.74</v>
      </c>
      <c r="I277" s="2"/>
      <c r="J277" s="6">
        <f t="shared" si="116"/>
        <v>2.5320392079557089E-5</v>
      </c>
      <c r="K277" s="2"/>
      <c r="L277" s="7">
        <f t="shared" si="117"/>
        <v>-47.639999999999993</v>
      </c>
      <c r="M277" s="2"/>
      <c r="N277" s="6">
        <f t="shared" si="118"/>
        <v>-0.43411700382722795</v>
      </c>
      <c r="O277" s="11"/>
      <c r="P277" s="7">
        <v>346.9</v>
      </c>
      <c r="Q277" s="2"/>
      <c r="R277" s="6">
        <f t="shared" si="119"/>
        <v>6.0591696377339511E-5</v>
      </c>
      <c r="S277" s="2"/>
      <c r="T277" s="7">
        <v>203.15</v>
      </c>
      <c r="U277" s="2"/>
      <c r="V277" s="6">
        <f t="shared" si="120"/>
        <v>3.3865266174182388E-5</v>
      </c>
      <c r="W277" s="2"/>
      <c r="X277" s="7">
        <f t="shared" si="121"/>
        <v>143.74999999999997</v>
      </c>
      <c r="Y277" s="2"/>
      <c r="Z277" s="6">
        <f t="shared" si="122"/>
        <v>0.70760521781934516</v>
      </c>
    </row>
    <row r="278" spans="1:26" s="27" customFormat="1" outlineLevel="1" collapsed="1" x14ac:dyDescent="0.25">
      <c r="A278" s="28"/>
      <c r="B278" s="14" t="str">
        <f>CONCATENATE("     ","Utilities                                         ")</f>
        <v xml:space="preserve">     Utilities                                         </v>
      </c>
      <c r="C278" s="14"/>
      <c r="D278" s="1">
        <f>SUM(OSRRefD22_26x_0)</f>
        <v>-849.1</v>
      </c>
      <c r="E278" s="1"/>
      <c r="F278" s="5">
        <f t="shared" ref="F278:F279" si="123">IF(D$12=0,0,D278/D$12)</f>
        <v>-2.0128983138699251E-4</v>
      </c>
      <c r="G278" s="1"/>
      <c r="H278" s="1">
        <f>SUM(OSRRefH22_26x_0)</f>
        <v>22542.11</v>
      </c>
      <c r="I278" s="1"/>
      <c r="J278" s="5">
        <f t="shared" ref="J278:J279" si="124">IF(H$12=0,0,H278/H$12)</f>
        <v>5.2011578594906571E-3</v>
      </c>
      <c r="K278" s="1"/>
      <c r="L278" s="1">
        <f t="shared" ref="L278:L279" si="125">+D278-H278</f>
        <v>-23391.21</v>
      </c>
      <c r="M278" s="1"/>
      <c r="N278" s="5">
        <f t="shared" ref="N278:N279" si="126">IF(H278=0,0,L278/H278)</f>
        <v>-1.0376672813680705</v>
      </c>
      <c r="O278" s="14"/>
      <c r="P278" s="1">
        <f>SUM(OSRRefP22_26x_0)</f>
        <v>19436.900000000001</v>
      </c>
      <c r="Q278" s="1"/>
      <c r="R278" s="5">
        <f t="shared" ref="R278:R279" si="127">IF(P$12=0,0,P278/P$12)</f>
        <v>3.3949689919766804E-3</v>
      </c>
      <c r="S278" s="1"/>
      <c r="T278" s="1">
        <f>SUM(OSRRefT22_26x_0)</f>
        <v>45047.360000000001</v>
      </c>
      <c r="U278" s="1"/>
      <c r="V278" s="5">
        <f t="shared" ref="V278:V279" si="128">IF(T$12=0,0,T278/T$12)</f>
        <v>7.50943065146058E-3</v>
      </c>
      <c r="W278" s="1"/>
      <c r="X278" s="1">
        <f t="shared" ref="X278:X279" si="129">+P278-T278</f>
        <v>-25610.46</v>
      </c>
      <c r="Y278" s="1"/>
      <c r="Z278" s="5">
        <f t="shared" ref="Z278:Z279" si="130">IF(T278=0,0,X278/T278)</f>
        <v>-0.56852299446626842</v>
      </c>
    </row>
    <row r="279" spans="1:26" s="24" customFormat="1" hidden="1" outlineLevel="2" x14ac:dyDescent="0.25">
      <c r="A279" s="29"/>
      <c r="B279" s="11" t="str">
        <f>CONCATENATE("          ", "6274", " - ", "UTILITIES")</f>
        <v xml:space="preserve">          6274 - UTILITIES</v>
      </c>
      <c r="C279" s="11"/>
      <c r="D279" s="7">
        <v>-849.1</v>
      </c>
      <c r="E279" s="2"/>
      <c r="F279" s="6">
        <f t="shared" si="123"/>
        <v>-2.0128983138699251E-4</v>
      </c>
      <c r="G279" s="2"/>
      <c r="H279" s="7">
        <v>22542.11</v>
      </c>
      <c r="I279" s="2"/>
      <c r="J279" s="6">
        <f t="shared" si="124"/>
        <v>5.2011578594906571E-3</v>
      </c>
      <c r="K279" s="2"/>
      <c r="L279" s="7">
        <f t="shared" si="125"/>
        <v>-23391.21</v>
      </c>
      <c r="M279" s="2"/>
      <c r="N279" s="6">
        <f t="shared" si="126"/>
        <v>-1.0376672813680705</v>
      </c>
      <c r="O279" s="11"/>
      <c r="P279" s="7">
        <v>19436.900000000001</v>
      </c>
      <c r="Q279" s="2"/>
      <c r="R279" s="6">
        <f t="shared" si="127"/>
        <v>3.3949689919766804E-3</v>
      </c>
      <c r="S279" s="2"/>
      <c r="T279" s="7">
        <v>45047.360000000001</v>
      </c>
      <c r="U279" s="2"/>
      <c r="V279" s="6">
        <f t="shared" si="128"/>
        <v>7.50943065146058E-3</v>
      </c>
      <c r="W279" s="2"/>
      <c r="X279" s="7">
        <f t="shared" si="129"/>
        <v>-25610.46</v>
      </c>
      <c r="Y279" s="2"/>
      <c r="Z279" s="6">
        <f t="shared" si="130"/>
        <v>-0.56852299446626842</v>
      </c>
    </row>
    <row r="280" spans="1:26" s="62" customFormat="1" x14ac:dyDescent="0.25">
      <c r="A280" s="37"/>
      <c r="B280" s="37"/>
      <c r="C280" s="37"/>
      <c r="D280" s="1"/>
      <c r="E280" s="1"/>
      <c r="F280" s="5"/>
      <c r="G280" s="1"/>
      <c r="H280" s="1"/>
      <c r="I280" s="1"/>
      <c r="J280" s="5"/>
      <c r="K280" s="1"/>
      <c r="L280" s="1"/>
      <c r="M280" s="1"/>
      <c r="N280" s="5"/>
      <c r="O280" s="37"/>
      <c r="P280" s="1"/>
      <c r="Q280" s="1"/>
      <c r="R280" s="5"/>
      <c r="S280" s="1"/>
      <c r="T280" s="1"/>
      <c r="U280" s="1"/>
      <c r="V280" s="5"/>
      <c r="W280" s="1"/>
      <c r="X280" s="1"/>
      <c r="Y280" s="1"/>
      <c r="Z280" s="5"/>
    </row>
    <row r="281" spans="1:26" s="23" customFormat="1" collapsed="1" x14ac:dyDescent="0.25">
      <c r="A281" s="10"/>
      <c r="B281" s="25" t="s">
        <v>0</v>
      </c>
      <c r="C281" s="10"/>
      <c r="D281" s="4">
        <f>SUM(OSRRefD25x_0)</f>
        <v>65307.56</v>
      </c>
      <c r="E281" s="4"/>
      <c r="F281" s="12">
        <f t="shared" ref="F281:F291" si="131">IF(D$12=0,0,D281/D$12)</f>
        <v>1.5481978260152979E-2</v>
      </c>
      <c r="G281" s="4"/>
      <c r="H281" s="4">
        <f>SUM(OSRRefH25x_0)</f>
        <v>92989.719999999987</v>
      </c>
      <c r="I281" s="4"/>
      <c r="J281" s="12">
        <f t="shared" ref="J281:J291" si="132">IF(H$12=0,0,H281/H$12)</f>
        <v>2.1455587477385012E-2</v>
      </c>
      <c r="K281" s="4"/>
      <c r="L281" s="4">
        <f t="shared" ref="L281:L291" si="133">+D281-H281</f>
        <v>-27682.159999999989</v>
      </c>
      <c r="M281" s="4"/>
      <c r="N281" s="12">
        <f t="shared" ref="N281:N291" si="134">IF(H281=0,0,L281/H281)</f>
        <v>-0.29769054041672555</v>
      </c>
      <c r="O281" s="10"/>
      <c r="P281" s="4">
        <f>SUM(OSRRefP25x_0)</f>
        <v>187976.97</v>
      </c>
      <c r="Q281" s="4"/>
      <c r="R281" s="12">
        <f t="shared" ref="R281:R291" si="135">IF(P$12=0,0,P281/P$12)</f>
        <v>3.2833218484209448E-2</v>
      </c>
      <c r="S281" s="4"/>
      <c r="T281" s="4">
        <f>SUM(OSRRefT25x_0)</f>
        <v>191788.46000000002</v>
      </c>
      <c r="U281" s="4"/>
      <c r="V281" s="12">
        <f t="shared" ref="V281:V291" si="136">IF(T$12=0,0,T281/T$12)</f>
        <v>3.1971288442217735E-2</v>
      </c>
      <c r="W281" s="4"/>
      <c r="X281" s="4">
        <f t="shared" ref="X281:X291" si="137">+P281-T281</f>
        <v>-3811.4900000000198</v>
      </c>
      <c r="Y281" s="4"/>
      <c r="Z281" s="12">
        <f t="shared" ref="Z281:Z291" si="138">IF(T281=0,0,X281/T281)</f>
        <v>-1.9873406356148954E-2</v>
      </c>
    </row>
    <row r="282" spans="1:26" s="24" customFormat="1" hidden="1" outlineLevel="1" x14ac:dyDescent="0.25">
      <c r="A282" s="50"/>
      <c r="B282" s="11" t="str">
        <f>CONCATENATE("          ", "4098", " - ", "TAXABLE SALES-GRAD RENTALS")</f>
        <v xml:space="preserve">          4098 - TAXABLE SALES-GRAD RENTALS</v>
      </c>
      <c r="C282" s="11"/>
      <c r="D282" s="2">
        <f>--1552.15</f>
        <v>1552.15</v>
      </c>
      <c r="E282" s="2"/>
      <c r="F282" s="21">
        <f t="shared" si="131"/>
        <v>3.6795667387506823E-4</v>
      </c>
      <c r="G282" s="2"/>
      <c r="H282" s="2">
        <f>0</f>
        <v>0</v>
      </c>
      <c r="I282" s="2"/>
      <c r="J282" s="21">
        <f t="shared" si="132"/>
        <v>0</v>
      </c>
      <c r="K282" s="2"/>
      <c r="L282" s="2">
        <f t="shared" si="133"/>
        <v>1552.15</v>
      </c>
      <c r="M282" s="2"/>
      <c r="N282" s="21">
        <f t="shared" si="134"/>
        <v>0</v>
      </c>
      <c r="O282" s="11"/>
      <c r="P282" s="2">
        <f>--1626.85</f>
        <v>1626.85</v>
      </c>
      <c r="Q282" s="2"/>
      <c r="R282" s="21">
        <f t="shared" si="135"/>
        <v>2.8415566806421096E-4</v>
      </c>
      <c r="S282" s="2"/>
      <c r="T282" s="2">
        <f>0</f>
        <v>0</v>
      </c>
      <c r="U282" s="2"/>
      <c r="V282" s="21">
        <f t="shared" si="136"/>
        <v>0</v>
      </c>
      <c r="W282" s="2"/>
      <c r="X282" s="2">
        <f t="shared" si="137"/>
        <v>1626.85</v>
      </c>
      <c r="Y282" s="2"/>
      <c r="Z282" s="21">
        <f t="shared" si="138"/>
        <v>0</v>
      </c>
    </row>
    <row r="283" spans="1:26" s="24" customFormat="1" hidden="1" outlineLevel="1" x14ac:dyDescent="0.25">
      <c r="A283" s="50"/>
      <c r="B283" s="11" t="str">
        <f>CONCATENATE("          ", "4187", " - ", "NON-TAXABLE SALES-COMPUTER REP")</f>
        <v xml:space="preserve">          4187 - NON-TAXABLE SALES-COMPUTER REP</v>
      </c>
      <c r="C283" s="11"/>
      <c r="D283" s="2">
        <f>--1700.37</f>
        <v>1700.37</v>
      </c>
      <c r="E283" s="2"/>
      <c r="F283" s="21">
        <f t="shared" si="131"/>
        <v>4.0309408855906302E-4</v>
      </c>
      <c r="G283" s="2"/>
      <c r="H283" s="2">
        <f>--433.95</f>
        <v>433.95</v>
      </c>
      <c r="I283" s="2"/>
      <c r="J283" s="21">
        <f t="shared" si="132"/>
        <v>1.0012560728015126E-4</v>
      </c>
      <c r="K283" s="2"/>
      <c r="L283" s="2">
        <f t="shared" si="133"/>
        <v>1266.4199999999998</v>
      </c>
      <c r="M283" s="2"/>
      <c r="N283" s="21">
        <f t="shared" si="134"/>
        <v>2.918354649153128</v>
      </c>
      <c r="O283" s="11"/>
      <c r="P283" s="2">
        <f>--2482.26</f>
        <v>2482.2600000000002</v>
      </c>
      <c r="Q283" s="2"/>
      <c r="R283" s="21">
        <f t="shared" si="135"/>
        <v>4.3356686148634995E-4</v>
      </c>
      <c r="S283" s="2"/>
      <c r="T283" s="2">
        <f>--748.68</f>
        <v>748.68</v>
      </c>
      <c r="U283" s="2"/>
      <c r="V283" s="21">
        <f t="shared" si="136"/>
        <v>1.2480554998418346E-4</v>
      </c>
      <c r="W283" s="2"/>
      <c r="X283" s="2">
        <f t="shared" si="137"/>
        <v>1733.5800000000004</v>
      </c>
      <c r="Y283" s="2"/>
      <c r="Z283" s="21">
        <f t="shared" si="138"/>
        <v>2.3155153069402155</v>
      </c>
    </row>
    <row r="284" spans="1:26" s="24" customFormat="1" hidden="1" outlineLevel="1" x14ac:dyDescent="0.25">
      <c r="A284" s="50"/>
      <c r="B284" s="11" t="str">
        <f>CONCATENATE("          ", "4197", " - ", "NON-TAXABLE SALES-RETURNED CHE")</f>
        <v xml:space="preserve">          4197 - NON-TAXABLE SALES-RETURNED CHE</v>
      </c>
      <c r="C284" s="11"/>
      <c r="D284" s="2">
        <f>--30</f>
        <v>30</v>
      </c>
      <c r="E284" s="2"/>
      <c r="F284" s="21">
        <f t="shared" si="131"/>
        <v>7.1118772130606229E-6</v>
      </c>
      <c r="G284" s="2"/>
      <c r="H284" s="2">
        <f>--120</f>
        <v>120</v>
      </c>
      <c r="I284" s="2"/>
      <c r="J284" s="21">
        <f t="shared" si="132"/>
        <v>2.7687689534780854E-5</v>
      </c>
      <c r="K284" s="2"/>
      <c r="L284" s="2">
        <f t="shared" si="133"/>
        <v>-90</v>
      </c>
      <c r="M284" s="2"/>
      <c r="N284" s="21">
        <f t="shared" si="134"/>
        <v>-0.75</v>
      </c>
      <c r="O284" s="11"/>
      <c r="P284" s="2">
        <f>--30</f>
        <v>30</v>
      </c>
      <c r="Q284" s="2"/>
      <c r="R284" s="21">
        <f t="shared" si="135"/>
        <v>5.2399852733357893E-6</v>
      </c>
      <c r="S284" s="2"/>
      <c r="T284" s="2">
        <f>--120</f>
        <v>120</v>
      </c>
      <c r="U284" s="2"/>
      <c r="V284" s="21">
        <f t="shared" si="136"/>
        <v>2.0004095205030207E-5</v>
      </c>
      <c r="W284" s="2"/>
      <c r="X284" s="2">
        <f t="shared" si="137"/>
        <v>-90</v>
      </c>
      <c r="Y284" s="2"/>
      <c r="Z284" s="21">
        <f t="shared" si="138"/>
        <v>-0.75</v>
      </c>
    </row>
    <row r="285" spans="1:26" s="24" customFormat="1" hidden="1" outlineLevel="1" x14ac:dyDescent="0.25">
      <c r="A285" s="50"/>
      <c r="B285" s="11" t="str">
        <f>CONCATENATE("          ", "4198", " - ", "NON-TAXABLE SALES-GRAD RENTALS")</f>
        <v xml:space="preserve">          4198 - NON-TAXABLE SALES-GRAD RENTALS</v>
      </c>
      <c r="C285" s="11"/>
      <c r="D285" s="2">
        <f>--210</f>
        <v>210</v>
      </c>
      <c r="E285" s="2"/>
      <c r="F285" s="21">
        <f t="shared" si="131"/>
        <v>4.9783140491424363E-5</v>
      </c>
      <c r="G285" s="2"/>
      <c r="H285" s="2">
        <f>--60</f>
        <v>60</v>
      </c>
      <c r="I285" s="2"/>
      <c r="J285" s="21">
        <f t="shared" si="132"/>
        <v>1.3843844767390427E-5</v>
      </c>
      <c r="K285" s="2"/>
      <c r="L285" s="2">
        <f t="shared" si="133"/>
        <v>150</v>
      </c>
      <c r="M285" s="2"/>
      <c r="N285" s="21">
        <f t="shared" si="134"/>
        <v>2.5</v>
      </c>
      <c r="O285" s="11"/>
      <c r="P285" s="2">
        <f>--465</f>
        <v>465</v>
      </c>
      <c r="Q285" s="2"/>
      <c r="R285" s="21">
        <f t="shared" si="135"/>
        <v>8.1219771736704743E-5</v>
      </c>
      <c r="S285" s="2"/>
      <c r="T285" s="2">
        <f>--405</f>
        <v>405</v>
      </c>
      <c r="U285" s="2"/>
      <c r="V285" s="21">
        <f t="shared" si="136"/>
        <v>6.7513821316976956E-5</v>
      </c>
      <c r="W285" s="2"/>
      <c r="X285" s="2">
        <f t="shared" si="137"/>
        <v>60</v>
      </c>
      <c r="Y285" s="2"/>
      <c r="Z285" s="21">
        <f t="shared" si="138"/>
        <v>0.14814814814814814</v>
      </c>
    </row>
    <row r="286" spans="1:26" s="24" customFormat="1" hidden="1" outlineLevel="1" x14ac:dyDescent="0.25">
      <c r="A286" s="50"/>
      <c r="B286" s="11" t="str">
        <f>CONCATENATE("          ", "4387", " - ", "SALES RETURN NON TAXABLE-COMPU")</f>
        <v xml:space="preserve">          4387 - SALES RETURN NON TAXABLE-COMPU</v>
      </c>
      <c r="C286" s="11"/>
      <c r="D286" s="2">
        <f>-2820.7</f>
        <v>-2820.7</v>
      </c>
      <c r="E286" s="2"/>
      <c r="F286" s="21">
        <f t="shared" si="131"/>
        <v>-6.686824018293366E-4</v>
      </c>
      <c r="G286" s="2"/>
      <c r="H286" s="2">
        <f>0</f>
        <v>0</v>
      </c>
      <c r="I286" s="2"/>
      <c r="J286" s="21">
        <f t="shared" si="132"/>
        <v>0</v>
      </c>
      <c r="K286" s="2"/>
      <c r="L286" s="2">
        <f t="shared" si="133"/>
        <v>-2820.7</v>
      </c>
      <c r="M286" s="2"/>
      <c r="N286" s="21">
        <f t="shared" si="134"/>
        <v>0</v>
      </c>
      <c r="O286" s="11"/>
      <c r="P286" s="2">
        <f>-3451.5</f>
        <v>-3451.5</v>
      </c>
      <c r="Q286" s="2"/>
      <c r="R286" s="21">
        <f t="shared" si="135"/>
        <v>-6.0286030569728258E-4</v>
      </c>
      <c r="S286" s="2"/>
      <c r="T286" s="2">
        <f>0</f>
        <v>0</v>
      </c>
      <c r="U286" s="2"/>
      <c r="V286" s="21">
        <f t="shared" si="136"/>
        <v>0</v>
      </c>
      <c r="W286" s="2"/>
      <c r="X286" s="2">
        <f t="shared" si="137"/>
        <v>-3451.5</v>
      </c>
      <c r="Y286" s="2"/>
      <c r="Z286" s="21">
        <f t="shared" si="138"/>
        <v>0</v>
      </c>
    </row>
    <row r="287" spans="1:26" s="24" customFormat="1" hidden="1" outlineLevel="1" x14ac:dyDescent="0.25">
      <c r="A287" s="50"/>
      <c r="B287" s="11" t="str">
        <f>CONCATENATE("          ", "9150", " - ", "MISC. INCOME")</f>
        <v xml:space="preserve">          9150 - MISC. INCOME</v>
      </c>
      <c r="C287" s="11"/>
      <c r="D287" s="2">
        <f>--35694.77</f>
        <v>35694.769999999997</v>
      </c>
      <c r="E287" s="2"/>
      <c r="F287" s="21">
        <f t="shared" si="131"/>
        <v>8.4618940462813305E-3</v>
      </c>
      <c r="G287" s="2"/>
      <c r="H287" s="2">
        <f>--85284.76</f>
        <v>85284.76</v>
      </c>
      <c r="I287" s="2"/>
      <c r="J287" s="21">
        <f t="shared" si="132"/>
        <v>1.9677816307735806E-2</v>
      </c>
      <c r="K287" s="2"/>
      <c r="L287" s="2">
        <f t="shared" si="133"/>
        <v>-49589.99</v>
      </c>
      <c r="M287" s="2"/>
      <c r="N287" s="21">
        <f t="shared" si="134"/>
        <v>-0.58146367533894683</v>
      </c>
      <c r="O287" s="11"/>
      <c r="P287" s="2">
        <f>--148304.73</f>
        <v>148304.73000000001</v>
      </c>
      <c r="Q287" s="2"/>
      <c r="R287" s="21">
        <f t="shared" si="135"/>
        <v>2.5903820038868017E-2</v>
      </c>
      <c r="S287" s="2"/>
      <c r="T287" s="2">
        <f>--169812.25</f>
        <v>169812.25</v>
      </c>
      <c r="U287" s="2"/>
      <c r="V287" s="21">
        <f t="shared" si="136"/>
        <v>2.8307836799836592E-2</v>
      </c>
      <c r="W287" s="2"/>
      <c r="X287" s="2">
        <f t="shared" si="137"/>
        <v>-21507.51999999999</v>
      </c>
      <c r="Y287" s="2"/>
      <c r="Z287" s="21">
        <f t="shared" si="138"/>
        <v>-0.12665470247287808</v>
      </c>
    </row>
    <row r="288" spans="1:26" s="24" customFormat="1" hidden="1" outlineLevel="1" x14ac:dyDescent="0.25">
      <c r="A288" s="50"/>
      <c r="B288" s="11" t="str">
        <f>CONCATENATE("          ", "9151", " - ", "MISC. INCOME")</f>
        <v xml:space="preserve">          9151 - MISC. INCOME</v>
      </c>
      <c r="C288" s="11"/>
      <c r="D288" s="2">
        <f>-170.02</f>
        <v>-170.02</v>
      </c>
      <c r="E288" s="2"/>
      <c r="F288" s="21">
        <f t="shared" si="131"/>
        <v>-4.0305378792152241E-5</v>
      </c>
      <c r="G288" s="2"/>
      <c r="H288" s="2">
        <f>--135.53</f>
        <v>135.53</v>
      </c>
      <c r="I288" s="2"/>
      <c r="J288" s="21">
        <f t="shared" si="132"/>
        <v>3.1270938022073743E-5</v>
      </c>
      <c r="K288" s="2"/>
      <c r="L288" s="2">
        <f t="shared" si="133"/>
        <v>-305.55</v>
      </c>
      <c r="M288" s="2"/>
      <c r="N288" s="21">
        <f t="shared" si="134"/>
        <v>-2.2544824024201287</v>
      </c>
      <c r="O288" s="11"/>
      <c r="P288" s="2">
        <f>-264.51</f>
        <v>-264.51</v>
      </c>
      <c r="Q288" s="2"/>
      <c r="R288" s="21">
        <f t="shared" si="135"/>
        <v>-4.6200950155001653E-5</v>
      </c>
      <c r="S288" s="2"/>
      <c r="T288" s="2">
        <f>--394.89</f>
        <v>394.89</v>
      </c>
      <c r="U288" s="2"/>
      <c r="V288" s="21">
        <f t="shared" si="136"/>
        <v>6.5828476295953152E-5</v>
      </c>
      <c r="W288" s="2"/>
      <c r="X288" s="2">
        <f t="shared" si="137"/>
        <v>-659.4</v>
      </c>
      <c r="Y288" s="2"/>
      <c r="Z288" s="21">
        <f t="shared" si="138"/>
        <v>-1.6698321051432043</v>
      </c>
    </row>
    <row r="289" spans="1:26" s="24" customFormat="1" hidden="1" outlineLevel="1" x14ac:dyDescent="0.25">
      <c r="A289" s="50"/>
      <c r="B289" s="11" t="str">
        <f>CONCATENATE("          ", "9152", " - ", "MISC. INCOME")</f>
        <v xml:space="preserve">          9152 - MISC. INCOME</v>
      </c>
      <c r="C289" s="11"/>
      <c r="D289" s="2">
        <f>--7.43</f>
        <v>7.43</v>
      </c>
      <c r="E289" s="2"/>
      <c r="F289" s="21">
        <f t="shared" si="131"/>
        <v>1.7613749231013475E-6</v>
      </c>
      <c r="G289" s="2"/>
      <c r="H289" s="2">
        <f>--192.44</f>
        <v>192.44</v>
      </c>
      <c r="I289" s="2"/>
      <c r="J289" s="21">
        <f t="shared" si="132"/>
        <v>4.440182478394356E-5</v>
      </c>
      <c r="K289" s="2"/>
      <c r="L289" s="2">
        <f t="shared" si="133"/>
        <v>-185.01</v>
      </c>
      <c r="M289" s="2"/>
      <c r="N289" s="21">
        <f t="shared" si="134"/>
        <v>-0.96139056329245476</v>
      </c>
      <c r="O289" s="11"/>
      <c r="P289" s="2">
        <f>--7.43</f>
        <v>7.43</v>
      </c>
      <c r="Q289" s="2"/>
      <c r="R289" s="21">
        <f t="shared" si="135"/>
        <v>1.2977696860294971E-6</v>
      </c>
      <c r="S289" s="2"/>
      <c r="T289" s="2">
        <f>--964.78</f>
        <v>964.78</v>
      </c>
      <c r="U289" s="2"/>
      <c r="V289" s="21">
        <f t="shared" si="136"/>
        <v>1.6082959143257536E-4</v>
      </c>
      <c r="W289" s="2"/>
      <c r="X289" s="2">
        <f t="shared" si="137"/>
        <v>-957.35</v>
      </c>
      <c r="Y289" s="2"/>
      <c r="Z289" s="21">
        <f t="shared" si="138"/>
        <v>-0.9922987624121562</v>
      </c>
    </row>
    <row r="290" spans="1:26" s="24" customFormat="1" hidden="1" outlineLevel="1" x14ac:dyDescent="0.25">
      <c r="A290" s="50"/>
      <c r="B290" s="11" t="str">
        <f>CONCATENATE("          ", "9160", " - ", "MISC. INCOME")</f>
        <v xml:space="preserve">          9160 - MISC. INCOME</v>
      </c>
      <c r="C290" s="11"/>
      <c r="D290" s="2">
        <f>--26151.17</f>
        <v>26151.17</v>
      </c>
      <c r="E290" s="2"/>
      <c r="F290" s="21">
        <f t="shared" si="131"/>
        <v>6.1994636672624854E-3</v>
      </c>
      <c r="G290" s="2"/>
      <c r="H290" s="2">
        <f>--4981.17</f>
        <v>4981.17</v>
      </c>
      <c r="I290" s="2"/>
      <c r="J290" s="21">
        <f t="shared" si="132"/>
        <v>1.1493090706663695E-3</v>
      </c>
      <c r="K290" s="2"/>
      <c r="L290" s="2">
        <f t="shared" si="133"/>
        <v>21170</v>
      </c>
      <c r="M290" s="2"/>
      <c r="N290" s="21">
        <f t="shared" si="134"/>
        <v>4.2500055207912997</v>
      </c>
      <c r="O290" s="11"/>
      <c r="P290" s="2">
        <f>--32143.27</f>
        <v>32143.27</v>
      </c>
      <c r="Q290" s="2"/>
      <c r="R290" s="21">
        <f t="shared" si="135"/>
        <v>5.614342047895203E-3</v>
      </c>
      <c r="S290" s="2"/>
      <c r="T290" s="2">
        <f>--15442.16</f>
        <v>15442.16</v>
      </c>
      <c r="U290" s="2"/>
      <c r="V290" s="21">
        <f t="shared" si="136"/>
        <v>2.5742203234275771E-3</v>
      </c>
      <c r="W290" s="2"/>
      <c r="X290" s="2">
        <f t="shared" si="137"/>
        <v>16701.11</v>
      </c>
      <c r="Y290" s="2"/>
      <c r="Z290" s="21">
        <f t="shared" si="138"/>
        <v>1.0815268071306088</v>
      </c>
    </row>
    <row r="291" spans="1:26" s="24" customFormat="1" hidden="1" outlineLevel="1" x14ac:dyDescent="0.25">
      <c r="A291" s="50"/>
      <c r="B291" s="11" t="str">
        <f>CONCATENATE("          ", "9165", " - ", "OTHER INCOME")</f>
        <v xml:space="preserve">          9165 - OTHER INCOME</v>
      </c>
      <c r="C291" s="11"/>
      <c r="D291" s="2">
        <f>--2952.39</f>
        <v>2952.39</v>
      </c>
      <c r="E291" s="2"/>
      <c r="F291" s="21">
        <f t="shared" si="131"/>
        <v>6.9990117216893509E-4</v>
      </c>
      <c r="G291" s="2"/>
      <c r="H291" s="2">
        <f>--1781.87</f>
        <v>1781.87</v>
      </c>
      <c r="I291" s="2"/>
      <c r="J291" s="21">
        <f t="shared" si="132"/>
        <v>4.1113219459449962E-4</v>
      </c>
      <c r="K291" s="2"/>
      <c r="L291" s="2">
        <f t="shared" si="133"/>
        <v>1170.52</v>
      </c>
      <c r="M291" s="2"/>
      <c r="N291" s="21">
        <f t="shared" si="134"/>
        <v>0.65690538591479741</v>
      </c>
      <c r="O291" s="11"/>
      <c r="P291" s="2">
        <f>--6633.44</f>
        <v>6633.44</v>
      </c>
      <c r="Q291" s="2"/>
      <c r="R291" s="21">
        <f t="shared" si="135"/>
        <v>1.1586375970518853E-3</v>
      </c>
      <c r="S291" s="2"/>
      <c r="T291" s="2">
        <f>--3900.7</f>
        <v>3900.7</v>
      </c>
      <c r="U291" s="2"/>
      <c r="V291" s="21">
        <f t="shared" si="136"/>
        <v>6.5024978471884436E-4</v>
      </c>
      <c r="W291" s="2"/>
      <c r="X291" s="2">
        <f t="shared" si="137"/>
        <v>2732.74</v>
      </c>
      <c r="Y291" s="2"/>
      <c r="Z291" s="21">
        <f t="shared" si="138"/>
        <v>0.70057681954520978</v>
      </c>
    </row>
    <row r="292" spans="1:26" x14ac:dyDescent="0.25">
      <c r="A292" s="9"/>
      <c r="B292" s="10"/>
      <c r="C292" s="10"/>
      <c r="D292" s="3"/>
      <c r="E292" s="3"/>
      <c r="F292" s="8"/>
      <c r="G292" s="3"/>
      <c r="H292" s="3"/>
      <c r="I292" s="3"/>
      <c r="J292" s="8"/>
      <c r="K292" s="3"/>
      <c r="L292" s="3"/>
      <c r="M292" s="3"/>
      <c r="N292" s="8"/>
      <c r="O292" s="10"/>
      <c r="P292" s="3"/>
      <c r="Q292" s="3"/>
      <c r="R292" s="8"/>
      <c r="S292" s="3"/>
      <c r="T292" s="3"/>
      <c r="U292" s="3"/>
      <c r="V292" s="8"/>
      <c r="W292" s="3"/>
      <c r="X292" s="3"/>
      <c r="Y292" s="3"/>
      <c r="Z292" s="8"/>
    </row>
    <row r="293" spans="1:26" s="23" customFormat="1" x14ac:dyDescent="0.25">
      <c r="A293" s="10"/>
      <c r="B293" s="26" t="s">
        <v>3</v>
      </c>
      <c r="C293" s="26"/>
      <c r="D293" s="20">
        <f>+D185-D187+D281</f>
        <v>389926.99999999575</v>
      </c>
      <c r="E293" s="13"/>
      <c r="F293" s="19">
        <f>IF(D$12=0,0,D293/D$12)</f>
        <v>9.2437098201901977E-2</v>
      </c>
      <c r="G293" s="13"/>
      <c r="H293" s="20">
        <f>+H185-H187+H281</f>
        <v>401118.72999999882</v>
      </c>
      <c r="I293" s="13"/>
      <c r="J293" s="19">
        <f>IF(H$12=0,0,H293/H$12)</f>
        <v>9.2550423856879616E-2</v>
      </c>
      <c r="K293" s="15"/>
      <c r="L293" s="20">
        <f>+D293-H293</f>
        <v>-11191.730000003066</v>
      </c>
      <c r="M293" s="15"/>
      <c r="N293" s="19">
        <f>IF(H293=0,0,L293/H293)</f>
        <v>-2.790128997467433E-2</v>
      </c>
      <c r="O293" s="25"/>
      <c r="P293" s="20">
        <f>+P185-P187+P281</f>
        <v>-82689.020000001619</v>
      </c>
      <c r="Q293" s="13"/>
      <c r="R293" s="19">
        <f>IF(P$12=0,0,P293/P$12)</f>
        <v>-1.4442974902219236E-2</v>
      </c>
      <c r="S293" s="13"/>
      <c r="T293" s="20">
        <f>+T185-T187+T281</f>
        <v>63649.890000003448</v>
      </c>
      <c r="U293" s="13"/>
      <c r="V293" s="19">
        <f>IF(T$12=0,0,T293/T$12)</f>
        <v>1.0610487161248076E-2</v>
      </c>
      <c r="W293" s="15"/>
      <c r="X293" s="20">
        <f>+P293-T293</f>
        <v>-146338.91000000507</v>
      </c>
      <c r="Y293" s="15"/>
      <c r="Z293" s="19">
        <f>IF(T293=0,0,X293/T293)</f>
        <v>-2.2991227478947276</v>
      </c>
    </row>
    <row r="294" spans="1:26" x14ac:dyDescent="0.25">
      <c r="A294" s="9"/>
      <c r="B294" s="10"/>
      <c r="C294" s="9"/>
      <c r="D294" s="3"/>
      <c r="E294" s="3"/>
      <c r="F294" s="8"/>
      <c r="G294" s="3"/>
      <c r="H294" s="3"/>
      <c r="I294" s="3"/>
      <c r="J294" s="8"/>
      <c r="K294" s="3"/>
      <c r="L294" s="3"/>
      <c r="M294" s="3"/>
      <c r="N294" s="8"/>
      <c r="P294" s="3"/>
      <c r="Q294" s="3"/>
      <c r="R294" s="8"/>
      <c r="S294" s="3"/>
      <c r="T294" s="3"/>
      <c r="U294" s="3"/>
      <c r="V294" s="8"/>
      <c r="W294" s="3"/>
      <c r="X294" s="3"/>
      <c r="Y294" s="3"/>
      <c r="Z294" s="8"/>
    </row>
    <row r="295" spans="1:26" s="23" customFormat="1" x14ac:dyDescent="0.25">
      <c r="A295" s="51"/>
      <c r="B295" s="10" t="s">
        <v>13</v>
      </c>
      <c r="C295" s="10"/>
      <c r="D295" s="4">
        <v>400497.59</v>
      </c>
      <c r="E295" s="4"/>
      <c r="F295" s="12">
        <f>IF(D$12=0,0,D295/D$12)</f>
        <v>9.4942989473556547E-2</v>
      </c>
      <c r="G295" s="4"/>
      <c r="H295" s="4">
        <v>270679.11</v>
      </c>
      <c r="I295" s="4"/>
      <c r="J295" s="12">
        <f>IF(H$12=0,0,H295/H$12)</f>
        <v>6.2453993010256628E-2</v>
      </c>
      <c r="K295" s="4"/>
      <c r="L295" s="4">
        <f>+D295-H295</f>
        <v>129818.48000000004</v>
      </c>
      <c r="M295" s="4"/>
      <c r="N295" s="12">
        <f>IF(H295=0,0,L295/H295)</f>
        <v>0.47960287737018215</v>
      </c>
      <c r="O295" s="10"/>
      <c r="P295" s="4">
        <v>713828.86</v>
      </c>
      <c r="Q295" s="4"/>
      <c r="R295" s="12">
        <f>IF(P$12=0,0,P295/P$12)</f>
        <v>0.12468175713606916</v>
      </c>
      <c r="S295" s="4"/>
      <c r="T295" s="4">
        <v>612446.28999999992</v>
      </c>
      <c r="U295" s="4"/>
      <c r="V295" s="12">
        <f>IF(T$12=0,0,T295/T$12)</f>
        <v>0.10209528244272949</v>
      </c>
      <c r="W295" s="4"/>
      <c r="X295" s="4">
        <f>+P295-T295</f>
        <v>101382.57000000007</v>
      </c>
      <c r="Y295" s="4"/>
      <c r="Z295" s="12">
        <f>IF(T295=0,0,X295/T295)</f>
        <v>0.16553707917799629</v>
      </c>
    </row>
    <row r="296" spans="1:26" x14ac:dyDescent="0.25">
      <c r="A296" s="9"/>
      <c r="B296" s="10"/>
      <c r="C296" s="10"/>
      <c r="D296" s="3"/>
      <c r="E296" s="3"/>
      <c r="F296" s="8"/>
      <c r="G296" s="3"/>
      <c r="H296" s="3"/>
      <c r="I296" s="3"/>
      <c r="J296" s="8"/>
      <c r="K296" s="3"/>
      <c r="L296" s="3"/>
      <c r="M296" s="3"/>
      <c r="N296" s="8"/>
      <c r="O296" s="10"/>
      <c r="P296" s="3"/>
      <c r="Q296" s="3"/>
      <c r="R296" s="8"/>
      <c r="S296" s="3"/>
      <c r="T296" s="3"/>
      <c r="U296" s="3"/>
      <c r="V296" s="8"/>
      <c r="W296" s="3"/>
      <c r="X296" s="3"/>
      <c r="Y296" s="3"/>
      <c r="Z296" s="8"/>
    </row>
    <row r="297" spans="1:26" s="23" customFormat="1" ht="15.75" thickBot="1" x14ac:dyDescent="0.3">
      <c r="A297" s="10"/>
      <c r="B297" s="26" t="s">
        <v>4</v>
      </c>
      <c r="C297" s="26"/>
      <c r="D297" s="31">
        <f>+D293-D295</f>
        <v>-10570.590000004275</v>
      </c>
      <c r="E297" s="13"/>
      <c r="F297" s="36">
        <f>IF(D$12=0,0,D297/D$12)</f>
        <v>-2.5058912716545631E-3</v>
      </c>
      <c r="G297" s="13"/>
      <c r="H297" s="31">
        <f>+H293-H295</f>
        <v>130439.61999999883</v>
      </c>
      <c r="I297" s="13"/>
      <c r="J297" s="36">
        <f>IF(H$12=0,0,H297/H$12)</f>
        <v>3.0096430846622991E-2</v>
      </c>
      <c r="K297" s="15"/>
      <c r="L297" s="31">
        <f>D297-H297</f>
        <v>-141010.21000000311</v>
      </c>
      <c r="M297" s="15"/>
      <c r="N297" s="36">
        <f>IF(H297=0,0,L297/H297)</f>
        <v>-1.0810381845638952</v>
      </c>
      <c r="O297" s="25"/>
      <c r="P297" s="31">
        <f>+P293-P295</f>
        <v>-796517.88000000163</v>
      </c>
      <c r="Q297" s="13"/>
      <c r="R297" s="36">
        <f>IF(P$12=0,0,P297/P$12)</f>
        <v>-0.1391247320382884</v>
      </c>
      <c r="S297" s="13"/>
      <c r="T297" s="31">
        <f>+T293-T295</f>
        <v>-548796.39999999641</v>
      </c>
      <c r="U297" s="13"/>
      <c r="V297" s="36">
        <f>IF(T$12=0,0,T297/T$12)</f>
        <v>-9.1484795281481401E-2</v>
      </c>
      <c r="W297" s="15"/>
      <c r="X297" s="31">
        <f>P297-T297</f>
        <v>-247721.48000000522</v>
      </c>
      <c r="Y297" s="15"/>
      <c r="Z297" s="36">
        <f>IF(T297=0,0,X297/T297)</f>
        <v>0.4513904974595439</v>
      </c>
    </row>
    <row r="298" spans="1:26" ht="15.75" thickTop="1" x14ac:dyDescent="0.25">
      <c r="A298" s="9"/>
      <c r="B298" s="9"/>
      <c r="C298" s="9"/>
      <c r="D298" s="3"/>
      <c r="E298" s="3"/>
      <c r="F298" s="8"/>
      <c r="G298" s="3"/>
      <c r="H298" s="3"/>
      <c r="I298" s="3"/>
      <c r="J298" s="8"/>
      <c r="K298" s="3"/>
      <c r="L298" s="3"/>
      <c r="M298" s="3"/>
      <c r="N298" s="8"/>
      <c r="P298" s="3"/>
      <c r="Q298" s="3"/>
      <c r="R298" s="8"/>
      <c r="S298" s="3"/>
      <c r="T298" s="3"/>
      <c r="U298" s="3"/>
      <c r="V298" s="8"/>
      <c r="W298" s="3"/>
      <c r="X298" s="3"/>
      <c r="Y298" s="3"/>
      <c r="Z298" s="8"/>
    </row>
    <row r="299" spans="1:26" s="23" customFormat="1" x14ac:dyDescent="0.25">
      <c r="A299" s="51"/>
      <c r="B299" s="10" t="s">
        <v>2</v>
      </c>
      <c r="C299" s="10"/>
      <c r="D299" s="4">
        <f>-209613.95</f>
        <v>-209613.95</v>
      </c>
      <c r="E299" s="4"/>
      <c r="F299" s="12">
        <f t="shared" ref="F299:F300" si="139">IF(D$12=0,0,D299/D$12)</f>
        <v>-4.9691622484820959E-2</v>
      </c>
      <c r="G299" s="4"/>
      <c r="H299" s="4">
        <f>-17619.45</f>
        <v>-17619.45</v>
      </c>
      <c r="I299" s="4"/>
      <c r="J299" s="12">
        <f t="shared" ref="J299:J300" si="140">IF(H$12=0,0,H299/H$12)</f>
        <v>-4.0653488447799542E-3</v>
      </c>
      <c r="K299" s="4"/>
      <c r="L299" s="4">
        <f t="shared" ref="L299:L300" si="141">+D299-H299</f>
        <v>-191994.5</v>
      </c>
      <c r="M299" s="4"/>
      <c r="N299" s="12">
        <f t="shared" ref="N299:N300" si="142">IF(H299=0,0,L299/H299)</f>
        <v>10.896736277239073</v>
      </c>
      <c r="O299" s="10"/>
      <c r="P299" s="4">
        <f>-180605.81</f>
        <v>-180605.81</v>
      </c>
      <c r="Q299" s="4"/>
      <c r="R299" s="12">
        <f t="shared" ref="R299:R300" si="143">IF(P$12=0,0,P299/P$12)</f>
        <v>-3.1545726155962725E-2</v>
      </c>
      <c r="S299" s="4"/>
      <c r="T299" s="4">
        <f>--154121.2</f>
        <v>154121.20000000001</v>
      </c>
      <c r="U299" s="4"/>
      <c r="V299" s="12">
        <f t="shared" ref="V299:V300" si="144">IF(T$12=0,0,T299/T$12)</f>
        <v>2.5692126315945849E-2</v>
      </c>
      <c r="W299" s="4"/>
      <c r="X299" s="4">
        <f t="shared" ref="X299:X300" si="145">+P299-T299</f>
        <v>-334727.01</v>
      </c>
      <c r="Y299" s="4"/>
      <c r="Z299" s="12">
        <f t="shared" ref="Z299:Z300" si="146">IF(T299=0,0,X299/T299)</f>
        <v>-2.1718427445413089</v>
      </c>
    </row>
    <row r="300" spans="1:26" s="23" customFormat="1" x14ac:dyDescent="0.25">
      <c r="A300" s="51"/>
      <c r="B300" s="10" t="s">
        <v>1</v>
      </c>
      <c r="C300" s="10"/>
      <c r="D300" s="4">
        <f>--15286.66</f>
        <v>15286.66</v>
      </c>
      <c r="E300" s="4"/>
      <c r="F300" s="12">
        <f t="shared" si="139"/>
        <v>3.6238949639268432E-3</v>
      </c>
      <c r="G300" s="4"/>
      <c r="H300" s="4">
        <f>--13868.43</f>
        <v>13868.43</v>
      </c>
      <c r="I300" s="4"/>
      <c r="J300" s="12">
        <f t="shared" si="140"/>
        <v>3.1998732014570071E-3</v>
      </c>
      <c r="K300" s="4"/>
      <c r="L300" s="4">
        <f t="shared" si="141"/>
        <v>1418.2299999999996</v>
      </c>
      <c r="M300" s="4"/>
      <c r="N300" s="12">
        <f t="shared" si="142"/>
        <v>0.10226319778085909</v>
      </c>
      <c r="O300" s="10"/>
      <c r="P300" s="4">
        <f>--31820.95</f>
        <v>31820.95</v>
      </c>
      <c r="Q300" s="4"/>
      <c r="R300" s="12">
        <f t="shared" si="143"/>
        <v>5.5580436461184829E-3</v>
      </c>
      <c r="S300" s="4"/>
      <c r="T300" s="4">
        <f>--30316.54</f>
        <v>30316.54</v>
      </c>
      <c r="U300" s="4"/>
      <c r="V300" s="12">
        <f t="shared" si="144"/>
        <v>5.053791270392554E-3</v>
      </c>
      <c r="W300" s="4"/>
      <c r="X300" s="4">
        <f t="shared" si="145"/>
        <v>1504.4099999999999</v>
      </c>
      <c r="Y300" s="4"/>
      <c r="Z300" s="12">
        <f t="shared" si="146"/>
        <v>4.9623406892739072E-2</v>
      </c>
    </row>
    <row r="301" spans="1:26" x14ac:dyDescent="0.25">
      <c r="A301" s="9"/>
      <c r="B301" s="9"/>
      <c r="C301" s="9"/>
      <c r="D301" s="3"/>
      <c r="E301" s="3"/>
      <c r="F301" s="8"/>
      <c r="G301" s="3"/>
      <c r="H301" s="3"/>
      <c r="I301" s="3"/>
      <c r="J301" s="8"/>
      <c r="K301" s="3"/>
      <c r="L301" s="3"/>
      <c r="M301" s="3"/>
      <c r="N301" s="8"/>
      <c r="P301" s="3"/>
      <c r="Q301" s="3"/>
      <c r="R301" s="8"/>
      <c r="S301" s="3"/>
      <c r="T301" s="3"/>
      <c r="U301" s="3"/>
      <c r="V301" s="8"/>
      <c r="W301" s="3"/>
      <c r="X301" s="3"/>
      <c r="Y301" s="3"/>
      <c r="Z301" s="8"/>
    </row>
    <row r="302" spans="1:26" s="23" customFormat="1" ht="15.75" thickBot="1" x14ac:dyDescent="0.3">
      <c r="A302" s="10"/>
      <c r="B302" s="26" t="s">
        <v>5</v>
      </c>
      <c r="C302" s="26"/>
      <c r="D302" s="32">
        <f>SUM(D297:D301)</f>
        <v>-204897.88000000428</v>
      </c>
      <c r="E302" s="13"/>
      <c r="F302" s="30">
        <f>IF(D$12=0,0,D302/D$12)</f>
        <v>-4.8573618792548678E-2</v>
      </c>
      <c r="G302" s="13"/>
      <c r="H302" s="32">
        <f>SUM(H297:H301)</f>
        <v>126688.59999999884</v>
      </c>
      <c r="I302" s="13"/>
      <c r="J302" s="30">
        <f>IF(H$12=0,0,H302/H$12)</f>
        <v>2.9230955203300046E-2</v>
      </c>
      <c r="K302" s="15"/>
      <c r="L302" s="32">
        <f>+D302-H302</f>
        <v>-331586.48000000312</v>
      </c>
      <c r="M302" s="15"/>
      <c r="N302" s="30">
        <f>IF(H302=0,0,L302/H302)</f>
        <v>-2.6173347878183684</v>
      </c>
      <c r="O302" s="25"/>
      <c r="P302" s="32">
        <f>SUM(P297:P301)</f>
        <v>-945302.74000000162</v>
      </c>
      <c r="Q302" s="13"/>
      <c r="R302" s="30">
        <f>IF(P$12=0,0,P302/P$12)</f>
        <v>-0.16511241454813264</v>
      </c>
      <c r="S302" s="13"/>
      <c r="T302" s="32">
        <f>SUM(T297:T301)</f>
        <v>-364358.65999999642</v>
      </c>
      <c r="U302" s="13"/>
      <c r="V302" s="30">
        <f>IF(T$12=0,0,T302/T$12)</f>
        <v>-6.0738877695143002E-2</v>
      </c>
      <c r="W302" s="15"/>
      <c r="X302" s="32">
        <f>+P302-T302</f>
        <v>-580944.0800000052</v>
      </c>
      <c r="Y302" s="15"/>
      <c r="Z302" s="30">
        <f>IF(T302=0,0,X302/T302)</f>
        <v>1.5944291814005762</v>
      </c>
    </row>
    <row r="303" spans="1:26" ht="15.75" thickTop="1" x14ac:dyDescent="0.25">
      <c r="A303" s="9"/>
      <c r="C303" s="9"/>
      <c r="D303" s="17"/>
      <c r="E303" s="17"/>
      <c r="G303" s="17"/>
      <c r="H303" s="17"/>
      <c r="I303" s="17"/>
      <c r="J303" s="43"/>
      <c r="K303" s="17"/>
      <c r="L303" s="17"/>
      <c r="M303" s="17"/>
      <c r="P303" s="17"/>
      <c r="Q303" s="17"/>
      <c r="R303" s="43"/>
      <c r="S303" s="17"/>
      <c r="T303" s="17"/>
      <c r="U303" s="17"/>
      <c r="V303" s="43"/>
      <c r="W303" s="17"/>
      <c r="X303" s="17"/>
    </row>
    <row r="304" spans="1:26" x14ac:dyDescent="0.25">
      <c r="A304" s="9"/>
      <c r="B304" s="57">
        <v>43732.709027349534</v>
      </c>
      <c r="D304" s="17"/>
      <c r="E304" s="17"/>
      <c r="G304" s="17"/>
      <c r="H304" s="17"/>
      <c r="I304" s="17"/>
      <c r="J304" s="43"/>
      <c r="K304" s="17"/>
      <c r="L304" s="17"/>
      <c r="M304" s="17"/>
      <c r="P304" s="17"/>
      <c r="Q304" s="17"/>
      <c r="R304" s="43"/>
      <c r="S304" s="17"/>
      <c r="T304" s="17"/>
      <c r="U304" s="17"/>
      <c r="V304" s="43"/>
      <c r="W304" s="17"/>
      <c r="X304" s="17"/>
    </row>
    <row r="305" spans="1:24" x14ac:dyDescent="0.25">
      <c r="A305" s="9"/>
      <c r="B305" s="60" t="s">
        <v>313</v>
      </c>
      <c r="D305" s="17"/>
      <c r="E305" s="17"/>
      <c r="G305" s="17"/>
      <c r="H305" s="17"/>
      <c r="I305" s="17"/>
      <c r="J305" s="43"/>
      <c r="K305" s="17"/>
      <c r="L305" s="17"/>
      <c r="M305" s="17"/>
      <c r="P305" s="17"/>
      <c r="Q305" s="17"/>
      <c r="R305" s="43"/>
      <c r="S305" s="17"/>
      <c r="T305" s="17"/>
      <c r="U305" s="17"/>
      <c r="V305" s="43"/>
      <c r="W305" s="17"/>
      <c r="X305" s="17"/>
    </row>
    <row r="306" spans="1:24" x14ac:dyDescent="0.25">
      <c r="A306" s="9"/>
      <c r="B306" s="56"/>
      <c r="D306" s="17"/>
      <c r="E306" s="17"/>
      <c r="G306" s="17"/>
      <c r="H306" s="17"/>
      <c r="I306" s="17"/>
      <c r="J306" s="43"/>
      <c r="K306" s="17"/>
      <c r="L306" s="17"/>
      <c r="M306" s="17"/>
      <c r="P306" s="17"/>
      <c r="Q306" s="17"/>
      <c r="R306" s="43"/>
      <c r="S306" s="17"/>
      <c r="T306" s="17"/>
      <c r="U306" s="17"/>
      <c r="V306" s="43"/>
      <c r="W306" s="17"/>
      <c r="X306" s="17"/>
    </row>
    <row r="307" spans="1:24" x14ac:dyDescent="0.25">
      <c r="D307" s="17"/>
      <c r="E307" s="17"/>
      <c r="G307" s="17"/>
      <c r="H307" s="17"/>
      <c r="I307" s="17"/>
      <c r="J307" s="43"/>
      <c r="K307" s="17"/>
      <c r="L307" s="17"/>
      <c r="M307" s="17"/>
      <c r="P307" s="17"/>
      <c r="Q307" s="17"/>
      <c r="R307" s="43"/>
      <c r="S307" s="17"/>
      <c r="T307" s="17"/>
      <c r="U307" s="17"/>
      <c r="V307" s="43"/>
      <c r="W307" s="17"/>
      <c r="X307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SUM(0)</f>
        <v>0</v>
      </c>
      <c r="E18" s="22"/>
      <c r="F18" s="33">
        <f>IF(D$12=0,0,D18/D$12)</f>
        <v>0</v>
      </c>
      <c r="G18" s="22"/>
      <c r="H18" s="22">
        <f>SUM(0)</f>
        <v>0</v>
      </c>
      <c r="I18" s="22"/>
      <c r="J18" s="33">
        <f>IF(H$12=0,0,H18/H$12)</f>
        <v>0</v>
      </c>
      <c r="K18" s="4"/>
      <c r="L18" s="22">
        <f>+D18-H18</f>
        <v>0</v>
      </c>
      <c r="M18" s="4"/>
      <c r="N18" s="33">
        <f>IF(H18=0,0,L18/H18)</f>
        <v>0</v>
      </c>
      <c r="O18" s="10"/>
      <c r="P18" s="22">
        <f>SUM(0)</f>
        <v>0</v>
      </c>
      <c r="Q18" s="22"/>
      <c r="R18" s="33">
        <f>IF(P$12=0,0,P18/P$12)</f>
        <v>0</v>
      </c>
      <c r="S18" s="22"/>
      <c r="T18" s="22">
        <f>SUM(0)</f>
        <v>0</v>
      </c>
      <c r="U18" s="22"/>
      <c r="V18" s="33">
        <f>IF(T$12=0,0,T18/T$12)</f>
        <v>0</v>
      </c>
      <c r="W18" s="4"/>
      <c r="X18" s="22">
        <f>+P18-T18</f>
        <v>0</v>
      </c>
      <c r="Y18" s="4"/>
      <c r="Z18" s="33">
        <f>IF(T18=0,0,X18/T18)</f>
        <v>0</v>
      </c>
    </row>
    <row r="19" spans="1:26" s="6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0">
        <f>+D16-D18+D20</f>
        <v>0</v>
      </c>
      <c r="E22" s="13"/>
      <c r="F22" s="19">
        <f>IF(D$12=0,0,D22/D$12)</f>
        <v>0</v>
      </c>
      <c r="G22" s="13"/>
      <c r="H22" s="20">
        <f>+H16-H18+H20</f>
        <v>0</v>
      </c>
      <c r="I22" s="13"/>
      <c r="J22" s="19">
        <f>IF(H$12=0,0,H22/H$12)</f>
        <v>0</v>
      </c>
      <c r="K22" s="15"/>
      <c r="L22" s="20">
        <f>+D22-H22</f>
        <v>0</v>
      </c>
      <c r="M22" s="15"/>
      <c r="N22" s="19">
        <f>IF(H22=0,0,L22/H22)</f>
        <v>0</v>
      </c>
      <c r="O22" s="25"/>
      <c r="P22" s="20">
        <f>+P16-P18+P20</f>
        <v>0</v>
      </c>
      <c r="Q22" s="13"/>
      <c r="R22" s="19">
        <f>IF(P$12=0,0,P22/P$12)</f>
        <v>0</v>
      </c>
      <c r="S22" s="13"/>
      <c r="T22" s="20">
        <f>+T16-T18+T20</f>
        <v>0</v>
      </c>
      <c r="U22" s="13"/>
      <c r="V22" s="19">
        <f>IF(T$12=0,0,T22/T$12)</f>
        <v>0</v>
      </c>
      <c r="W22" s="15"/>
      <c r="X22" s="20">
        <f>+P22-T22</f>
        <v>0</v>
      </c>
      <c r="Y22" s="15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1">
        <f>+D22-D24</f>
        <v>0</v>
      </c>
      <c r="E26" s="13"/>
      <c r="F26" s="36">
        <f>IF(D$12=0,0,D26/D$12)</f>
        <v>0</v>
      </c>
      <c r="G26" s="13"/>
      <c r="H26" s="31">
        <f>+H22-H24</f>
        <v>0</v>
      </c>
      <c r="I26" s="13"/>
      <c r="J26" s="36">
        <f>IF(H$12=0,0,H26/H$12)</f>
        <v>0</v>
      </c>
      <c r="K26" s="15"/>
      <c r="L26" s="31">
        <f>D26-H26</f>
        <v>0</v>
      </c>
      <c r="M26" s="15"/>
      <c r="N26" s="36">
        <f>IF(H26=0,0,L26/H26)</f>
        <v>0</v>
      </c>
      <c r="O26" s="25"/>
      <c r="P26" s="31">
        <f>+P22-P24</f>
        <v>0</v>
      </c>
      <c r="Q26" s="13"/>
      <c r="R26" s="36">
        <f>IF(P$12=0,0,P26/P$12)</f>
        <v>0</v>
      </c>
      <c r="S26" s="13"/>
      <c r="T26" s="31">
        <f>+T22-T24</f>
        <v>0</v>
      </c>
      <c r="U26" s="13"/>
      <c r="V26" s="36">
        <f>IF(T$12=0,0,T26/T$12)</f>
        <v>0</v>
      </c>
      <c r="W26" s="15"/>
      <c r="X26" s="31">
        <f>P26-T26</f>
        <v>0</v>
      </c>
      <c r="Y26" s="15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-209613.95</f>
        <v>-209613.95</v>
      </c>
      <c r="E28" s="4"/>
      <c r="F28" s="12">
        <f t="shared" ref="F28:F29" si="0">IF(D$12=0,0,D28/D$12)</f>
        <v>0</v>
      </c>
      <c r="G28" s="4"/>
      <c r="H28" s="4">
        <f>-17619.45</f>
        <v>-17619.45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-191994.5</v>
      </c>
      <c r="M28" s="4"/>
      <c r="N28" s="12">
        <f t="shared" ref="N28:N29" si="3">IF(H28=0,0,L28/H28)</f>
        <v>10.896736277239073</v>
      </c>
      <c r="O28" s="10"/>
      <c r="P28" s="4">
        <f>-180605.81</f>
        <v>-180605.81</v>
      </c>
      <c r="Q28" s="4"/>
      <c r="R28" s="12">
        <f t="shared" ref="R28:R29" si="4">IF(P$12=0,0,P28/P$12)</f>
        <v>0</v>
      </c>
      <c r="S28" s="4"/>
      <c r="T28" s="4">
        <f>--154121.2</f>
        <v>154121.20000000001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-334727.01</v>
      </c>
      <c r="Y28" s="4"/>
      <c r="Z28" s="12">
        <f t="shared" ref="Z28:Z29" si="7">IF(T28=0,0,X28/T28)</f>
        <v>-2.1718427445413089</v>
      </c>
    </row>
    <row r="29" spans="1:26" s="23" customFormat="1" x14ac:dyDescent="0.25">
      <c r="A29" s="51"/>
      <c r="B29" s="10" t="s">
        <v>1</v>
      </c>
      <c r="C29" s="10"/>
      <c r="D29" s="4">
        <f>--15286.66</f>
        <v>15286.66</v>
      </c>
      <c r="E29" s="4"/>
      <c r="F29" s="12">
        <f t="shared" si="0"/>
        <v>0</v>
      </c>
      <c r="G29" s="4"/>
      <c r="H29" s="4">
        <f>--13868.43</f>
        <v>13868.43</v>
      </c>
      <c r="I29" s="4"/>
      <c r="J29" s="12">
        <f t="shared" si="1"/>
        <v>0</v>
      </c>
      <c r="K29" s="4"/>
      <c r="L29" s="4">
        <f t="shared" si="2"/>
        <v>1418.2299999999996</v>
      </c>
      <c r="M29" s="4"/>
      <c r="N29" s="12">
        <f t="shared" si="3"/>
        <v>0.10226319778085909</v>
      </c>
      <c r="O29" s="10"/>
      <c r="P29" s="4">
        <f>--31820.95</f>
        <v>31820.95</v>
      </c>
      <c r="Q29" s="4"/>
      <c r="R29" s="12">
        <f t="shared" si="4"/>
        <v>0</v>
      </c>
      <c r="S29" s="4"/>
      <c r="T29" s="4">
        <f>--30316.54</f>
        <v>30316.54</v>
      </c>
      <c r="U29" s="4"/>
      <c r="V29" s="12">
        <f t="shared" si="5"/>
        <v>0</v>
      </c>
      <c r="W29" s="4"/>
      <c r="X29" s="4">
        <f t="shared" si="6"/>
        <v>1504.4099999999999</v>
      </c>
      <c r="Y29" s="4"/>
      <c r="Z29" s="12">
        <f t="shared" si="7"/>
        <v>4.9623406892739072E-2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2">
        <f>SUM(D26:D30)</f>
        <v>-194327.29</v>
      </c>
      <c r="E31" s="13"/>
      <c r="F31" s="30">
        <f>IF(D$12=0,0,D31/D$12)</f>
        <v>0</v>
      </c>
      <c r="G31" s="13"/>
      <c r="H31" s="32">
        <f>SUM(H26:H30)</f>
        <v>-3751.0200000000004</v>
      </c>
      <c r="I31" s="13"/>
      <c r="J31" s="30">
        <f>IF(H$12=0,0,H31/H$12)</f>
        <v>0</v>
      </c>
      <c r="K31" s="15"/>
      <c r="L31" s="32">
        <f>+D31-H31</f>
        <v>-190576.27000000002</v>
      </c>
      <c r="M31" s="15"/>
      <c r="N31" s="30">
        <f>IF(H31=0,0,L31/H31)</f>
        <v>50.806519293418859</v>
      </c>
      <c r="O31" s="25"/>
      <c r="P31" s="32">
        <f>SUM(P26:P30)</f>
        <v>-148784.85999999999</v>
      </c>
      <c r="Q31" s="13"/>
      <c r="R31" s="30">
        <f>IF(P$12=0,0,P31/P$12)</f>
        <v>0</v>
      </c>
      <c r="S31" s="13"/>
      <c r="T31" s="32">
        <f>SUM(T26:T30)</f>
        <v>184437.74000000002</v>
      </c>
      <c r="U31" s="13"/>
      <c r="V31" s="30">
        <f>IF(T$12=0,0,T31/T$12)</f>
        <v>0</v>
      </c>
      <c r="W31" s="15"/>
      <c r="X31" s="32">
        <f>+P31-T31</f>
        <v>-333222.59999999998</v>
      </c>
      <c r="Y31" s="15"/>
      <c r="Z31" s="30">
        <f>IF(T31=0,0,X31/T31)</f>
        <v>-1.806694226463629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7">
        <v>43732.709059143519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0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6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","100", " - ", "Corporate")</f>
        <v>Department 100 - Corporate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SUM(0)</f>
        <v>0</v>
      </c>
      <c r="E18" s="22"/>
      <c r="F18" s="33">
        <f>IF(D$12=0,0,D18/D$12)</f>
        <v>0</v>
      </c>
      <c r="G18" s="22"/>
      <c r="H18" s="22">
        <f>SUM(0)</f>
        <v>0</v>
      </c>
      <c r="I18" s="22"/>
      <c r="J18" s="33">
        <f>IF(H$12=0,0,H18/H$12)</f>
        <v>0</v>
      </c>
      <c r="K18" s="4"/>
      <c r="L18" s="22">
        <f>+D18-H18</f>
        <v>0</v>
      </c>
      <c r="M18" s="4"/>
      <c r="N18" s="33">
        <f>IF(H18=0,0,L18/H18)</f>
        <v>0</v>
      </c>
      <c r="O18" s="10"/>
      <c r="P18" s="22">
        <f>SUM(0)</f>
        <v>0</v>
      </c>
      <c r="Q18" s="22"/>
      <c r="R18" s="33">
        <f>IF(P$12=0,0,P18/P$12)</f>
        <v>0</v>
      </c>
      <c r="S18" s="22"/>
      <c r="T18" s="22">
        <f>SUM(0)</f>
        <v>0</v>
      </c>
      <c r="U18" s="22"/>
      <c r="V18" s="33">
        <f>IF(T$12=0,0,T18/T$12)</f>
        <v>0</v>
      </c>
      <c r="W18" s="4"/>
      <c r="X18" s="22">
        <f>+P18-T18</f>
        <v>0</v>
      </c>
      <c r="Y18" s="4"/>
      <c r="Z18" s="33">
        <f>IF(T18=0,0,X18/T18)</f>
        <v>0</v>
      </c>
    </row>
    <row r="19" spans="1:26" s="6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0">
        <f>+D16-D18+D20</f>
        <v>0</v>
      </c>
      <c r="E22" s="13"/>
      <c r="F22" s="19">
        <f>IF(D$12=0,0,D22/D$12)</f>
        <v>0</v>
      </c>
      <c r="G22" s="13"/>
      <c r="H22" s="20">
        <f>+H16-H18+H20</f>
        <v>0</v>
      </c>
      <c r="I22" s="13"/>
      <c r="J22" s="19">
        <f>IF(H$12=0,0,H22/H$12)</f>
        <v>0</v>
      </c>
      <c r="K22" s="15"/>
      <c r="L22" s="20">
        <f>+D22-H22</f>
        <v>0</v>
      </c>
      <c r="M22" s="15"/>
      <c r="N22" s="19">
        <f>IF(H22=0,0,L22/H22)</f>
        <v>0</v>
      </c>
      <c r="O22" s="25"/>
      <c r="P22" s="20">
        <f>+P16-P18+P20</f>
        <v>0</v>
      </c>
      <c r="Q22" s="13"/>
      <c r="R22" s="19">
        <f>IF(P$12=0,0,P22/P$12)</f>
        <v>0</v>
      </c>
      <c r="S22" s="13"/>
      <c r="T22" s="20">
        <f>+T16-T18+T20</f>
        <v>0</v>
      </c>
      <c r="U22" s="13"/>
      <c r="V22" s="19">
        <f>IF(T$12=0,0,T22/T$12)</f>
        <v>0</v>
      </c>
      <c r="W22" s="15"/>
      <c r="X22" s="20">
        <f>+P22-T22</f>
        <v>0</v>
      </c>
      <c r="Y22" s="15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1">
        <f>+D22-D24</f>
        <v>0</v>
      </c>
      <c r="E26" s="13"/>
      <c r="F26" s="36">
        <f>IF(D$12=0,0,D26/D$12)</f>
        <v>0</v>
      </c>
      <c r="G26" s="13"/>
      <c r="H26" s="31">
        <f>+H22-H24</f>
        <v>0</v>
      </c>
      <c r="I26" s="13"/>
      <c r="J26" s="36">
        <f>IF(H$12=0,0,H26/H$12)</f>
        <v>0</v>
      </c>
      <c r="K26" s="15"/>
      <c r="L26" s="31">
        <f>D26-H26</f>
        <v>0</v>
      </c>
      <c r="M26" s="15"/>
      <c r="N26" s="36">
        <f>IF(H26=0,0,L26/H26)</f>
        <v>0</v>
      </c>
      <c r="O26" s="25"/>
      <c r="P26" s="31">
        <f>+P22-P24</f>
        <v>0</v>
      </c>
      <c r="Q26" s="13"/>
      <c r="R26" s="36">
        <f>IF(P$12=0,0,P26/P$12)</f>
        <v>0</v>
      </c>
      <c r="S26" s="13"/>
      <c r="T26" s="31">
        <f>+T22-T24</f>
        <v>0</v>
      </c>
      <c r="U26" s="13"/>
      <c r="V26" s="36">
        <f>IF(T$12=0,0,T26/T$12)</f>
        <v>0</v>
      </c>
      <c r="W26" s="15"/>
      <c r="X26" s="31">
        <f>P26-T26</f>
        <v>0</v>
      </c>
      <c r="Y26" s="15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-209613.95</f>
        <v>-209613.95</v>
      </c>
      <c r="E28" s="4"/>
      <c r="F28" s="12">
        <f t="shared" ref="F28:F29" si="0">IF(D$12=0,0,D28/D$12)</f>
        <v>0</v>
      </c>
      <c r="G28" s="4"/>
      <c r="H28" s="4">
        <f>-17619.45</f>
        <v>-17619.45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-191994.5</v>
      </c>
      <c r="M28" s="4"/>
      <c r="N28" s="12">
        <f t="shared" ref="N28:N29" si="3">IF(H28=0,0,L28/H28)</f>
        <v>10.896736277239073</v>
      </c>
      <c r="O28" s="10"/>
      <c r="P28" s="4">
        <f>-180605.81</f>
        <v>-180605.81</v>
      </c>
      <c r="Q28" s="4"/>
      <c r="R28" s="12">
        <f t="shared" ref="R28:R29" si="4">IF(P$12=0,0,P28/P$12)</f>
        <v>0</v>
      </c>
      <c r="S28" s="4"/>
      <c r="T28" s="4">
        <f>--154121.2</f>
        <v>154121.20000000001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-334727.01</v>
      </c>
      <c r="Y28" s="4"/>
      <c r="Z28" s="12">
        <f t="shared" ref="Z28:Z29" si="7">IF(T28=0,0,X28/T28)</f>
        <v>-2.1718427445413089</v>
      </c>
    </row>
    <row r="29" spans="1:26" s="23" customFormat="1" x14ac:dyDescent="0.25">
      <c r="A29" s="51"/>
      <c r="B29" s="10" t="s">
        <v>1</v>
      </c>
      <c r="C29" s="10"/>
      <c r="D29" s="4">
        <f>--15286.66</f>
        <v>15286.66</v>
      </c>
      <c r="E29" s="4"/>
      <c r="F29" s="12">
        <f t="shared" si="0"/>
        <v>0</v>
      </c>
      <c r="G29" s="4"/>
      <c r="H29" s="4">
        <f>--13868.43</f>
        <v>13868.43</v>
      </c>
      <c r="I29" s="4"/>
      <c r="J29" s="12">
        <f t="shared" si="1"/>
        <v>0</v>
      </c>
      <c r="K29" s="4"/>
      <c r="L29" s="4">
        <f t="shared" si="2"/>
        <v>1418.2299999999996</v>
      </c>
      <c r="M29" s="4"/>
      <c r="N29" s="12">
        <f t="shared" si="3"/>
        <v>0.10226319778085909</v>
      </c>
      <c r="O29" s="10"/>
      <c r="P29" s="4">
        <f>--31820.95</f>
        <v>31820.95</v>
      </c>
      <c r="Q29" s="4"/>
      <c r="R29" s="12">
        <f t="shared" si="4"/>
        <v>0</v>
      </c>
      <c r="S29" s="4"/>
      <c r="T29" s="4">
        <f>--30316.54</f>
        <v>30316.54</v>
      </c>
      <c r="U29" s="4"/>
      <c r="V29" s="12">
        <f t="shared" si="5"/>
        <v>0</v>
      </c>
      <c r="W29" s="4"/>
      <c r="X29" s="4">
        <f t="shared" si="6"/>
        <v>1504.4099999999999</v>
      </c>
      <c r="Y29" s="4"/>
      <c r="Z29" s="12">
        <f t="shared" si="7"/>
        <v>4.9623406892739072E-2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2">
        <f>SUM(D26:D30)</f>
        <v>-194327.29</v>
      </c>
      <c r="E31" s="13"/>
      <c r="F31" s="30">
        <f>IF(D$12=0,0,D31/D$12)</f>
        <v>0</v>
      </c>
      <c r="G31" s="13"/>
      <c r="H31" s="32">
        <f>SUM(H26:H30)</f>
        <v>-3751.0200000000004</v>
      </c>
      <c r="I31" s="13"/>
      <c r="J31" s="30">
        <f>IF(H$12=0,0,H31/H$12)</f>
        <v>0</v>
      </c>
      <c r="K31" s="15"/>
      <c r="L31" s="32">
        <f>+D31-H31</f>
        <v>-190576.27000000002</v>
      </c>
      <c r="M31" s="15"/>
      <c r="N31" s="30">
        <f>IF(H31=0,0,L31/H31)</f>
        <v>50.806519293418859</v>
      </c>
      <c r="O31" s="25"/>
      <c r="P31" s="32">
        <f>SUM(P26:P30)</f>
        <v>-148784.85999999999</v>
      </c>
      <c r="Q31" s="13"/>
      <c r="R31" s="30">
        <f>IF(P$12=0,0,P31/P$12)</f>
        <v>0</v>
      </c>
      <c r="S31" s="13"/>
      <c r="T31" s="32">
        <f>SUM(T26:T30)</f>
        <v>184437.74000000002</v>
      </c>
      <c r="U31" s="13"/>
      <c r="V31" s="30">
        <f>IF(T$12=0,0,T31/T$12)</f>
        <v>0</v>
      </c>
      <c r="W31" s="15"/>
      <c r="X31" s="32">
        <f>+P31-T31</f>
        <v>-333222.59999999998</v>
      </c>
      <c r="Y31" s="15"/>
      <c r="Z31" s="30">
        <f>IF(T31=0,0,X31/T31)</f>
        <v>-1.806694226463629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7">
        <v>43732.709404745372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0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6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400497.58999999985</v>
      </c>
      <c r="E18" s="22"/>
      <c r="F18" s="33">
        <f t="shared" ref="F18:F30" si="0">IF(D$12=0,0,D18/D$12)</f>
        <v>0</v>
      </c>
      <c r="G18" s="22"/>
      <c r="H18" s="22">
        <f>SUM(OSRRefH22x_0)</f>
        <v>270679.10999999993</v>
      </c>
      <c r="I18" s="22"/>
      <c r="J18" s="33">
        <f t="shared" ref="J18:J30" si="1">IF(H$12=0,0,H18/H$12)</f>
        <v>0</v>
      </c>
      <c r="K18" s="4"/>
      <c r="L18" s="22">
        <f t="shared" ref="L18:L30" si="2">+D18-H18</f>
        <v>129818.47999999992</v>
      </c>
      <c r="M18" s="4"/>
      <c r="N18" s="33">
        <f t="shared" ref="N18:N30" si="3">IF(H18=0,0,L18/H18)</f>
        <v>0.47960287737018181</v>
      </c>
      <c r="O18" s="10"/>
      <c r="P18" s="22">
        <f>SUM(OSRRefP22x_0)</f>
        <v>713828.85999999975</v>
      </c>
      <c r="Q18" s="22"/>
      <c r="R18" s="33">
        <f t="shared" ref="R18:R30" si="4">IF(P$12=0,0,P18/P$12)</f>
        <v>0</v>
      </c>
      <c r="S18" s="22"/>
      <c r="T18" s="22">
        <f>SUM(OSRRefT22x_0)</f>
        <v>612446.29</v>
      </c>
      <c r="U18" s="22"/>
      <c r="V18" s="33">
        <f t="shared" ref="V18:V30" si="5">IF(T$12=0,0,T18/T$12)</f>
        <v>0</v>
      </c>
      <c r="W18" s="4"/>
      <c r="X18" s="22">
        <f t="shared" ref="X18:X30" si="6">+P18-T18</f>
        <v>101382.56999999972</v>
      </c>
      <c r="Y18" s="4"/>
      <c r="Z18" s="33">
        <f t="shared" ref="Z18:Z30" si="7">IF(T18=0,0,X18/T18)</f>
        <v>0.16553707917799568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86652.94</v>
      </c>
      <c r="E19" s="1"/>
      <c r="F19" s="5">
        <f t="shared" si="0"/>
        <v>0</v>
      </c>
      <c r="G19" s="1"/>
      <c r="H19" s="1">
        <f>SUM(OSRRefH22_0x_0)</f>
        <v>103223.50999999998</v>
      </c>
      <c r="I19" s="1"/>
      <c r="J19" s="5">
        <f t="shared" si="1"/>
        <v>0</v>
      </c>
      <c r="K19" s="1"/>
      <c r="L19" s="1">
        <f t="shared" si="2"/>
        <v>-16570.569999999978</v>
      </c>
      <c r="M19" s="1"/>
      <c r="N19" s="5">
        <f t="shared" si="3"/>
        <v>-0.16053096818738272</v>
      </c>
      <c r="O19" s="14"/>
      <c r="P19" s="1">
        <f>SUM(OSRRefP22_0x_0)</f>
        <v>189514.23999999999</v>
      </c>
      <c r="Q19" s="1"/>
      <c r="R19" s="5">
        <f t="shared" si="4"/>
        <v>0</v>
      </c>
      <c r="S19" s="1"/>
      <c r="T19" s="1">
        <f>SUM(OSRRefT22_0x_0)</f>
        <v>196706.15999999997</v>
      </c>
      <c r="U19" s="1"/>
      <c r="V19" s="5">
        <f t="shared" si="5"/>
        <v>0</v>
      </c>
      <c r="W19" s="1"/>
      <c r="X19" s="1">
        <f t="shared" si="6"/>
        <v>-7191.9199999999837</v>
      </c>
      <c r="Y19" s="1"/>
      <c r="Z19" s="5">
        <f t="shared" si="7"/>
        <v>-3.6561742652085651E-2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9409.27</v>
      </c>
      <c r="E20" s="2"/>
      <c r="F20" s="6">
        <f t="shared" si="0"/>
        <v>0</v>
      </c>
      <c r="G20" s="2"/>
      <c r="H20" s="7">
        <v>9827.5300000000007</v>
      </c>
      <c r="I20" s="2"/>
      <c r="J20" s="6">
        <f t="shared" si="1"/>
        <v>0</v>
      </c>
      <c r="K20" s="2"/>
      <c r="L20" s="7">
        <f t="shared" si="2"/>
        <v>-418.26000000000022</v>
      </c>
      <c r="M20" s="2"/>
      <c r="N20" s="6">
        <f t="shared" si="3"/>
        <v>-4.2560032887205654E-2</v>
      </c>
      <c r="O20" s="11"/>
      <c r="P20" s="7">
        <v>18946.009999999998</v>
      </c>
      <c r="Q20" s="2"/>
      <c r="R20" s="6">
        <f t="shared" si="4"/>
        <v>0</v>
      </c>
      <c r="S20" s="2"/>
      <c r="T20" s="7">
        <v>19271.289999999997</v>
      </c>
      <c r="U20" s="2"/>
      <c r="V20" s="6">
        <f t="shared" si="5"/>
        <v>0</v>
      </c>
      <c r="W20" s="2"/>
      <c r="X20" s="7">
        <f t="shared" si="6"/>
        <v>-325.27999999999884</v>
      </c>
      <c r="Y20" s="2"/>
      <c r="Z20" s="6">
        <f t="shared" si="7"/>
        <v>-1.687899460804123E-2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720.31</v>
      </c>
      <c r="E21" s="2"/>
      <c r="F21" s="6">
        <f t="shared" si="0"/>
        <v>0</v>
      </c>
      <c r="G21" s="2"/>
      <c r="H21" s="7">
        <v>571.35</v>
      </c>
      <c r="I21" s="2"/>
      <c r="J21" s="6">
        <f t="shared" si="1"/>
        <v>0</v>
      </c>
      <c r="K21" s="2"/>
      <c r="L21" s="7">
        <f t="shared" si="2"/>
        <v>148.95999999999992</v>
      </c>
      <c r="M21" s="2"/>
      <c r="N21" s="6">
        <f t="shared" si="3"/>
        <v>0.26071584842915885</v>
      </c>
      <c r="O21" s="11"/>
      <c r="P21" s="7">
        <v>1401.07</v>
      </c>
      <c r="Q21" s="2"/>
      <c r="R21" s="6">
        <f t="shared" si="4"/>
        <v>0</v>
      </c>
      <c r="S21" s="2"/>
      <c r="T21" s="7">
        <v>1360.64</v>
      </c>
      <c r="U21" s="2"/>
      <c r="V21" s="6">
        <f t="shared" si="5"/>
        <v>0</v>
      </c>
      <c r="W21" s="2"/>
      <c r="X21" s="7">
        <f t="shared" si="6"/>
        <v>40.429999999999836</v>
      </c>
      <c r="Y21" s="2"/>
      <c r="Z21" s="6">
        <f t="shared" si="7"/>
        <v>2.9713958137347007E-2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23338.41</v>
      </c>
      <c r="E22" s="2"/>
      <c r="F22" s="6">
        <f t="shared" si="0"/>
        <v>0</v>
      </c>
      <c r="G22" s="2"/>
      <c r="H22" s="7">
        <v>29817.609999999997</v>
      </c>
      <c r="I22" s="2"/>
      <c r="J22" s="6">
        <f t="shared" si="1"/>
        <v>0</v>
      </c>
      <c r="K22" s="2"/>
      <c r="L22" s="7">
        <f t="shared" si="2"/>
        <v>-6479.1999999999971</v>
      </c>
      <c r="M22" s="2"/>
      <c r="N22" s="6">
        <f t="shared" si="3"/>
        <v>-0.21729441092025811</v>
      </c>
      <c r="O22" s="11"/>
      <c r="P22" s="7">
        <v>46041.72</v>
      </c>
      <c r="Q22" s="2"/>
      <c r="R22" s="6">
        <f t="shared" si="4"/>
        <v>0</v>
      </c>
      <c r="S22" s="2"/>
      <c r="T22" s="7">
        <v>40286.659999999996</v>
      </c>
      <c r="U22" s="2"/>
      <c r="V22" s="6">
        <f t="shared" si="5"/>
        <v>0</v>
      </c>
      <c r="W22" s="2"/>
      <c r="X22" s="7">
        <f t="shared" si="6"/>
        <v>5755.0600000000049</v>
      </c>
      <c r="Y22" s="2"/>
      <c r="Z22" s="6">
        <f t="shared" si="7"/>
        <v>0.14285274579724419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332.05</v>
      </c>
      <c r="E23" s="2"/>
      <c r="F23" s="6">
        <f t="shared" si="0"/>
        <v>0</v>
      </c>
      <c r="G23" s="2"/>
      <c r="H23" s="7">
        <v>339.06</v>
      </c>
      <c r="I23" s="2"/>
      <c r="J23" s="6">
        <f t="shared" si="1"/>
        <v>0</v>
      </c>
      <c r="K23" s="2"/>
      <c r="L23" s="7">
        <f t="shared" si="2"/>
        <v>-7.0099999999999909</v>
      </c>
      <c r="M23" s="2"/>
      <c r="N23" s="6">
        <f t="shared" si="3"/>
        <v>-2.0674806818852094E-2</v>
      </c>
      <c r="O23" s="11"/>
      <c r="P23" s="7">
        <v>649.34</v>
      </c>
      <c r="Q23" s="2"/>
      <c r="R23" s="6">
        <f t="shared" si="4"/>
        <v>0</v>
      </c>
      <c r="S23" s="2"/>
      <c r="T23" s="7">
        <v>799.38</v>
      </c>
      <c r="U23" s="2"/>
      <c r="V23" s="6">
        <f t="shared" si="5"/>
        <v>0</v>
      </c>
      <c r="W23" s="2"/>
      <c r="X23" s="7">
        <f t="shared" si="6"/>
        <v>-150.03999999999996</v>
      </c>
      <c r="Y23" s="2"/>
      <c r="Z23" s="6">
        <f t="shared" si="7"/>
        <v>-0.187695463984588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8066.48</v>
      </c>
      <c r="E24" s="2"/>
      <c r="F24" s="6">
        <f t="shared" si="0"/>
        <v>0</v>
      </c>
      <c r="G24" s="2"/>
      <c r="H24" s="7">
        <v>9207.8799999999992</v>
      </c>
      <c r="I24" s="2"/>
      <c r="J24" s="6">
        <f t="shared" si="1"/>
        <v>0</v>
      </c>
      <c r="K24" s="2"/>
      <c r="L24" s="7">
        <f t="shared" si="2"/>
        <v>-1141.3999999999996</v>
      </c>
      <c r="M24" s="2"/>
      <c r="N24" s="6">
        <f t="shared" si="3"/>
        <v>-0.12395904377554874</v>
      </c>
      <c r="O24" s="11"/>
      <c r="P24" s="7">
        <v>16132.96</v>
      </c>
      <c r="Q24" s="2"/>
      <c r="R24" s="6">
        <f t="shared" si="4"/>
        <v>0</v>
      </c>
      <c r="S24" s="2"/>
      <c r="T24" s="7">
        <v>20739.14</v>
      </c>
      <c r="U24" s="2"/>
      <c r="V24" s="6">
        <f t="shared" si="5"/>
        <v>0</v>
      </c>
      <c r="W24" s="2"/>
      <c r="X24" s="7">
        <f t="shared" si="6"/>
        <v>-4606.18</v>
      </c>
      <c r="Y24" s="2"/>
      <c r="Z24" s="6">
        <f t="shared" si="7"/>
        <v>-0.22210081999542897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2451.4</v>
      </c>
      <c r="I25" s="2"/>
      <c r="J25" s="6">
        <f t="shared" si="1"/>
        <v>0</v>
      </c>
      <c r="K25" s="2"/>
      <c r="L25" s="7">
        <f t="shared" si="2"/>
        <v>-2451.4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2451.4</v>
      </c>
      <c r="U25" s="2"/>
      <c r="V25" s="6">
        <f t="shared" si="5"/>
        <v>0</v>
      </c>
      <c r="W25" s="2"/>
      <c r="X25" s="7">
        <f t="shared" si="6"/>
        <v>-2451.4</v>
      </c>
      <c r="Y25" s="2"/>
      <c r="Z25" s="6">
        <f t="shared" si="7"/>
        <v>-1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808.45</v>
      </c>
      <c r="E26" s="2"/>
      <c r="F26" s="6">
        <f t="shared" si="0"/>
        <v>0</v>
      </c>
      <c r="G26" s="2"/>
      <c r="H26" s="7">
        <v>214.31</v>
      </c>
      <c r="I26" s="2"/>
      <c r="J26" s="6">
        <f t="shared" si="1"/>
        <v>0</v>
      </c>
      <c r="K26" s="2"/>
      <c r="L26" s="7">
        <f t="shared" si="2"/>
        <v>594.1400000000001</v>
      </c>
      <c r="M26" s="2"/>
      <c r="N26" s="6">
        <f t="shared" si="3"/>
        <v>2.7723391348980453</v>
      </c>
      <c r="O26" s="11"/>
      <c r="P26" s="7">
        <v>1440.77</v>
      </c>
      <c r="Q26" s="2"/>
      <c r="R26" s="6">
        <f t="shared" si="4"/>
        <v>0</v>
      </c>
      <c r="S26" s="2"/>
      <c r="T26" s="7">
        <v>432.55</v>
      </c>
      <c r="U26" s="2"/>
      <c r="V26" s="6">
        <f t="shared" si="5"/>
        <v>0</v>
      </c>
      <c r="W26" s="2"/>
      <c r="X26" s="7">
        <f t="shared" si="6"/>
        <v>1008.22</v>
      </c>
      <c r="Y26" s="2"/>
      <c r="Z26" s="6">
        <f t="shared" si="7"/>
        <v>2.3308750433475898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7800.7</v>
      </c>
      <c r="E27" s="2"/>
      <c r="F27" s="6">
        <f t="shared" si="0"/>
        <v>0</v>
      </c>
      <c r="G27" s="2"/>
      <c r="H27" s="7">
        <v>7857.44</v>
      </c>
      <c r="I27" s="2"/>
      <c r="J27" s="6">
        <f t="shared" si="1"/>
        <v>0</v>
      </c>
      <c r="K27" s="2"/>
      <c r="L27" s="7">
        <f t="shared" si="2"/>
        <v>-56.739999999999782</v>
      </c>
      <c r="M27" s="2"/>
      <c r="N27" s="6">
        <f t="shared" si="3"/>
        <v>-7.2211814535013677E-3</v>
      </c>
      <c r="O27" s="11"/>
      <c r="P27" s="7">
        <v>22523.649999999998</v>
      </c>
      <c r="Q27" s="2"/>
      <c r="R27" s="6">
        <f t="shared" si="4"/>
        <v>0</v>
      </c>
      <c r="S27" s="2"/>
      <c r="T27" s="7">
        <v>20154.560000000001</v>
      </c>
      <c r="U27" s="2"/>
      <c r="V27" s="6">
        <f t="shared" si="5"/>
        <v>0</v>
      </c>
      <c r="W27" s="2"/>
      <c r="X27" s="7">
        <f t="shared" si="6"/>
        <v>2369.0899999999965</v>
      </c>
      <c r="Y27" s="2"/>
      <c r="Z27" s="6">
        <f t="shared" si="7"/>
        <v>0.11754610371052489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4767.32</v>
      </c>
      <c r="E28" s="2"/>
      <c r="F28" s="6">
        <f t="shared" si="0"/>
        <v>0</v>
      </c>
      <c r="G28" s="2"/>
      <c r="H28" s="7">
        <v>4709.9399999999996</v>
      </c>
      <c r="I28" s="2"/>
      <c r="J28" s="6">
        <f t="shared" si="1"/>
        <v>0</v>
      </c>
      <c r="K28" s="2"/>
      <c r="L28" s="7">
        <f t="shared" si="2"/>
        <v>57.380000000000109</v>
      </c>
      <c r="M28" s="2"/>
      <c r="N28" s="6">
        <f t="shared" si="3"/>
        <v>1.2182745427754943E-2</v>
      </c>
      <c r="O28" s="11"/>
      <c r="P28" s="7">
        <v>19811.62</v>
      </c>
      <c r="Q28" s="2"/>
      <c r="R28" s="6">
        <f t="shared" si="4"/>
        <v>0</v>
      </c>
      <c r="S28" s="2"/>
      <c r="T28" s="7">
        <v>17876.82</v>
      </c>
      <c r="U28" s="2"/>
      <c r="V28" s="6">
        <f t="shared" si="5"/>
        <v>0</v>
      </c>
      <c r="W28" s="2"/>
      <c r="X28" s="7">
        <f t="shared" si="6"/>
        <v>1934.7999999999993</v>
      </c>
      <c r="Y28" s="2"/>
      <c r="Z28" s="6">
        <f t="shared" si="7"/>
        <v>0.10822953970560756</v>
      </c>
    </row>
    <row r="29" spans="1:26" s="24" customFormat="1" hidden="1" outlineLevel="2" x14ac:dyDescent="0.25">
      <c r="A29" s="29"/>
      <c r="B29" s="11" t="str">
        <f>CONCATENATE("          ", "6120", " - ", "RETIREES HEALTH INSURANCE")</f>
        <v xml:space="preserve">          6120 - RETIREES HEALTH INSURANCE</v>
      </c>
      <c r="C29" s="11"/>
      <c r="D29" s="7">
        <v>28957.26</v>
      </c>
      <c r="E29" s="2"/>
      <c r="F29" s="6">
        <f t="shared" si="0"/>
        <v>0</v>
      </c>
      <c r="G29" s="2"/>
      <c r="H29" s="7">
        <v>35728.339999999997</v>
      </c>
      <c r="I29" s="2"/>
      <c r="J29" s="6">
        <f t="shared" si="1"/>
        <v>0</v>
      </c>
      <c r="K29" s="2"/>
      <c r="L29" s="7">
        <f t="shared" si="2"/>
        <v>-6771.0799999999981</v>
      </c>
      <c r="M29" s="2"/>
      <c r="N29" s="6">
        <f t="shared" si="3"/>
        <v>-0.18951566179676971</v>
      </c>
      <c r="O29" s="11"/>
      <c r="P29" s="7">
        <v>57828.140000000007</v>
      </c>
      <c r="Q29" s="2"/>
      <c r="R29" s="6">
        <f t="shared" si="4"/>
        <v>0</v>
      </c>
      <c r="S29" s="2"/>
      <c r="T29" s="7">
        <v>68325.69</v>
      </c>
      <c r="U29" s="2"/>
      <c r="V29" s="6">
        <f t="shared" si="5"/>
        <v>0</v>
      </c>
      <c r="W29" s="2"/>
      <c r="X29" s="7">
        <f t="shared" si="6"/>
        <v>-10497.549999999996</v>
      </c>
      <c r="Y29" s="2"/>
      <c r="Z29" s="6">
        <f t="shared" si="7"/>
        <v>-0.15363986810817418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7">
        <v>2452.69</v>
      </c>
      <c r="E30" s="2"/>
      <c r="F30" s="6">
        <f t="shared" si="0"/>
        <v>0</v>
      </c>
      <c r="G30" s="2"/>
      <c r="H30" s="7">
        <v>2498.65</v>
      </c>
      <c r="I30" s="2"/>
      <c r="J30" s="6">
        <f t="shared" si="1"/>
        <v>0</v>
      </c>
      <c r="K30" s="2"/>
      <c r="L30" s="7">
        <f t="shared" si="2"/>
        <v>-45.960000000000036</v>
      </c>
      <c r="M30" s="2"/>
      <c r="N30" s="6">
        <f t="shared" si="3"/>
        <v>-1.8393932723670795E-2</v>
      </c>
      <c r="O30" s="11"/>
      <c r="P30" s="7">
        <v>4738.96</v>
      </c>
      <c r="Q30" s="2"/>
      <c r="R30" s="6">
        <f t="shared" si="4"/>
        <v>0</v>
      </c>
      <c r="S30" s="2"/>
      <c r="T30" s="7">
        <v>5008.03</v>
      </c>
      <c r="U30" s="2"/>
      <c r="V30" s="6">
        <f t="shared" si="5"/>
        <v>0</v>
      </c>
      <c r="W30" s="2"/>
      <c r="X30" s="7">
        <f t="shared" si="6"/>
        <v>-269.06999999999971</v>
      </c>
      <c r="Y30" s="2"/>
      <c r="Z30" s="6">
        <f t="shared" si="7"/>
        <v>-5.3727713292452267E-2</v>
      </c>
    </row>
    <row r="31" spans="1:26" s="27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116269.98</v>
      </c>
      <c r="E31" s="1"/>
      <c r="F31" s="5">
        <f t="shared" ref="F31:F38" si="8">IF(D$12=0,0,D31/D$12)</f>
        <v>0</v>
      </c>
      <c r="G31" s="1"/>
      <c r="H31" s="1">
        <f>SUM(OSRRefH22_1x_0)</f>
        <v>111164.13</v>
      </c>
      <c r="I31" s="1"/>
      <c r="J31" s="5">
        <f t="shared" ref="J31:J38" si="9">IF(H$12=0,0,H31/H$12)</f>
        <v>0</v>
      </c>
      <c r="K31" s="1"/>
      <c r="L31" s="1">
        <f t="shared" ref="L31:L38" si="10">+D31-H31</f>
        <v>5105.8499999999913</v>
      </c>
      <c r="M31" s="1"/>
      <c r="N31" s="5">
        <f t="shared" ref="N31:N38" si="11">IF(H31=0,0,L31/H31)</f>
        <v>4.5930733232023596E-2</v>
      </c>
      <c r="O31" s="14"/>
      <c r="P31" s="1">
        <f>SUM(OSRRefP22_1x_0)</f>
        <v>257625.79</v>
      </c>
      <c r="Q31" s="1"/>
      <c r="R31" s="5">
        <f t="shared" ref="R31:R38" si="12">IF(P$12=0,0,P31/P$12)</f>
        <v>0</v>
      </c>
      <c r="S31" s="1"/>
      <c r="T31" s="1">
        <f>SUM(OSRRefT22_1x_0)</f>
        <v>252024.45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5601.3399999999965</v>
      </c>
      <c r="Y31" s="1"/>
      <c r="Z31" s="5">
        <f t="shared" ref="Z31:Z38" si="15">IF(T31=0,0,X31/T31)</f>
        <v>2.222538329118463E-2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>
        <v>29340.329999999998</v>
      </c>
      <c r="E32" s="2"/>
      <c r="F32" s="6">
        <f t="shared" si="8"/>
        <v>0</v>
      </c>
      <c r="G32" s="2"/>
      <c r="H32" s="7">
        <v>33184.35</v>
      </c>
      <c r="I32" s="2"/>
      <c r="J32" s="6">
        <f t="shared" si="9"/>
        <v>0</v>
      </c>
      <c r="K32" s="2"/>
      <c r="L32" s="7">
        <f t="shared" si="10"/>
        <v>-3844.0200000000004</v>
      </c>
      <c r="M32" s="2"/>
      <c r="N32" s="6">
        <f t="shared" si="11"/>
        <v>-0.11583833945820848</v>
      </c>
      <c r="O32" s="11"/>
      <c r="P32" s="7">
        <v>68943.41</v>
      </c>
      <c r="Q32" s="2"/>
      <c r="R32" s="6">
        <f t="shared" si="12"/>
        <v>0</v>
      </c>
      <c r="S32" s="2"/>
      <c r="T32" s="7">
        <v>77396.450000000012</v>
      </c>
      <c r="U32" s="2"/>
      <c r="V32" s="6">
        <f t="shared" si="13"/>
        <v>0</v>
      </c>
      <c r="W32" s="2"/>
      <c r="X32" s="7">
        <f t="shared" si="14"/>
        <v>-8453.0400000000081</v>
      </c>
      <c r="Y32" s="2"/>
      <c r="Z32" s="6">
        <f t="shared" si="15"/>
        <v>-0.10921741242653903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41692.120000000003</v>
      </c>
      <c r="E33" s="2"/>
      <c r="F33" s="6">
        <f t="shared" si="8"/>
        <v>0</v>
      </c>
      <c r="G33" s="2"/>
      <c r="H33" s="7">
        <v>39947.279999999999</v>
      </c>
      <c r="I33" s="2"/>
      <c r="J33" s="6">
        <f t="shared" si="9"/>
        <v>0</v>
      </c>
      <c r="K33" s="2"/>
      <c r="L33" s="7">
        <f t="shared" si="10"/>
        <v>1744.8400000000038</v>
      </c>
      <c r="M33" s="2"/>
      <c r="N33" s="6">
        <f t="shared" si="11"/>
        <v>4.3678568353089468E-2</v>
      </c>
      <c r="O33" s="11"/>
      <c r="P33" s="7">
        <v>93246.09</v>
      </c>
      <c r="Q33" s="2"/>
      <c r="R33" s="6">
        <f t="shared" si="12"/>
        <v>0</v>
      </c>
      <c r="S33" s="2"/>
      <c r="T33" s="7">
        <v>93736.85</v>
      </c>
      <c r="U33" s="2"/>
      <c r="V33" s="6">
        <f t="shared" si="13"/>
        <v>0</v>
      </c>
      <c r="W33" s="2"/>
      <c r="X33" s="7">
        <f t="shared" si="14"/>
        <v>-490.76000000000931</v>
      </c>
      <c r="Y33" s="2"/>
      <c r="Z33" s="6">
        <f t="shared" si="15"/>
        <v>-5.235507700546896E-3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20760.870000000003</v>
      </c>
      <c r="E34" s="2"/>
      <c r="F34" s="6">
        <f t="shared" si="8"/>
        <v>0</v>
      </c>
      <c r="G34" s="2"/>
      <c r="H34" s="7">
        <v>16249.310000000001</v>
      </c>
      <c r="I34" s="2"/>
      <c r="J34" s="6">
        <f t="shared" si="9"/>
        <v>0</v>
      </c>
      <c r="K34" s="2"/>
      <c r="L34" s="7">
        <f t="shared" si="10"/>
        <v>4511.5600000000013</v>
      </c>
      <c r="M34" s="2"/>
      <c r="N34" s="6">
        <f t="shared" si="11"/>
        <v>0.27764625082541972</v>
      </c>
      <c r="O34" s="11"/>
      <c r="P34" s="7">
        <v>41026.140000000007</v>
      </c>
      <c r="Q34" s="2"/>
      <c r="R34" s="6">
        <f t="shared" si="12"/>
        <v>0</v>
      </c>
      <c r="S34" s="2"/>
      <c r="T34" s="7">
        <v>31894.01</v>
      </c>
      <c r="U34" s="2"/>
      <c r="V34" s="6">
        <f t="shared" si="13"/>
        <v>0</v>
      </c>
      <c r="W34" s="2"/>
      <c r="X34" s="7">
        <f t="shared" si="14"/>
        <v>9132.1300000000083</v>
      </c>
      <c r="Y34" s="2"/>
      <c r="Z34" s="6">
        <f t="shared" si="15"/>
        <v>0.28632743264330851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10180.65</v>
      </c>
      <c r="E35" s="2"/>
      <c r="F35" s="6">
        <f t="shared" si="8"/>
        <v>0</v>
      </c>
      <c r="G35" s="2"/>
      <c r="H35" s="7">
        <v>8382.2999999999993</v>
      </c>
      <c r="I35" s="2"/>
      <c r="J35" s="6">
        <f t="shared" si="9"/>
        <v>0</v>
      </c>
      <c r="K35" s="2"/>
      <c r="L35" s="7">
        <f t="shared" si="10"/>
        <v>1798.3500000000004</v>
      </c>
      <c r="M35" s="2"/>
      <c r="N35" s="6">
        <f t="shared" si="11"/>
        <v>0.21454135499803162</v>
      </c>
      <c r="O35" s="11"/>
      <c r="P35" s="7">
        <v>18536.68</v>
      </c>
      <c r="Q35" s="2"/>
      <c r="R35" s="6">
        <f t="shared" si="12"/>
        <v>0</v>
      </c>
      <c r="S35" s="2"/>
      <c r="T35" s="7">
        <v>14213.24</v>
      </c>
      <c r="U35" s="2"/>
      <c r="V35" s="6">
        <f t="shared" si="13"/>
        <v>0</v>
      </c>
      <c r="W35" s="2"/>
      <c r="X35" s="7">
        <f t="shared" si="14"/>
        <v>4323.4400000000005</v>
      </c>
      <c r="Y35" s="2"/>
      <c r="Z35" s="6">
        <f t="shared" si="15"/>
        <v>0.30418398619878373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>
        <v>1153.93</v>
      </c>
      <c r="E36" s="2"/>
      <c r="F36" s="6">
        <f t="shared" si="8"/>
        <v>0</v>
      </c>
      <c r="G36" s="2"/>
      <c r="H36" s="7"/>
      <c r="I36" s="2"/>
      <c r="J36" s="6">
        <f t="shared" si="9"/>
        <v>0</v>
      </c>
      <c r="K36" s="2"/>
      <c r="L36" s="7">
        <f t="shared" si="10"/>
        <v>1153.93</v>
      </c>
      <c r="M36" s="2"/>
      <c r="N36" s="6">
        <f t="shared" si="11"/>
        <v>0</v>
      </c>
      <c r="O36" s="11"/>
      <c r="P36" s="7">
        <v>1862.68</v>
      </c>
      <c r="Q36" s="2"/>
      <c r="R36" s="6">
        <f t="shared" si="12"/>
        <v>0</v>
      </c>
      <c r="S36" s="2"/>
      <c r="T36" s="7">
        <v>247.86</v>
      </c>
      <c r="U36" s="2"/>
      <c r="V36" s="6">
        <f t="shared" si="13"/>
        <v>0</v>
      </c>
      <c r="W36" s="2"/>
      <c r="X36" s="7">
        <f t="shared" si="14"/>
        <v>1614.8200000000002</v>
      </c>
      <c r="Y36" s="2"/>
      <c r="Z36" s="6">
        <f t="shared" si="15"/>
        <v>6.5150488178810626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11601.39</v>
      </c>
      <c r="E37" s="2"/>
      <c r="F37" s="6">
        <f t="shared" si="8"/>
        <v>0</v>
      </c>
      <c r="G37" s="2"/>
      <c r="H37" s="7">
        <v>13400.89</v>
      </c>
      <c r="I37" s="2"/>
      <c r="J37" s="6">
        <f t="shared" si="9"/>
        <v>0</v>
      </c>
      <c r="K37" s="2"/>
      <c r="L37" s="7">
        <f t="shared" si="10"/>
        <v>-1799.5</v>
      </c>
      <c r="M37" s="2"/>
      <c r="N37" s="6">
        <f t="shared" si="11"/>
        <v>-0.13428212603789749</v>
      </c>
      <c r="O37" s="11"/>
      <c r="P37" s="7">
        <v>30527.599999999999</v>
      </c>
      <c r="Q37" s="2"/>
      <c r="R37" s="6">
        <f t="shared" si="12"/>
        <v>0</v>
      </c>
      <c r="S37" s="2"/>
      <c r="T37" s="7">
        <v>34536.04</v>
      </c>
      <c r="U37" s="2"/>
      <c r="V37" s="6">
        <f t="shared" si="13"/>
        <v>0</v>
      </c>
      <c r="W37" s="2"/>
      <c r="X37" s="7">
        <f t="shared" si="14"/>
        <v>-4008.4400000000023</v>
      </c>
      <c r="Y37" s="2"/>
      <c r="Z37" s="6">
        <f t="shared" si="15"/>
        <v>-0.1160654203550842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>
        <v>1540.69</v>
      </c>
      <c r="E38" s="2"/>
      <c r="F38" s="6">
        <f t="shared" si="8"/>
        <v>0</v>
      </c>
      <c r="G38" s="2"/>
      <c r="H38" s="7"/>
      <c r="I38" s="2"/>
      <c r="J38" s="6">
        <f t="shared" si="9"/>
        <v>0</v>
      </c>
      <c r="K38" s="2"/>
      <c r="L38" s="7">
        <f t="shared" si="10"/>
        <v>1540.69</v>
      </c>
      <c r="M38" s="2"/>
      <c r="N38" s="6">
        <f t="shared" si="11"/>
        <v>0</v>
      </c>
      <c r="O38" s="11"/>
      <c r="P38" s="7">
        <v>3483.19</v>
      </c>
      <c r="Q38" s="2"/>
      <c r="R38" s="6">
        <f t="shared" si="12"/>
        <v>0</v>
      </c>
      <c r="S38" s="2"/>
      <c r="T38" s="7"/>
      <c r="U38" s="2"/>
      <c r="V38" s="6">
        <f t="shared" si="13"/>
        <v>0</v>
      </c>
      <c r="W38" s="2"/>
      <c r="X38" s="7">
        <f t="shared" si="14"/>
        <v>3483.19</v>
      </c>
      <c r="Y38" s="2"/>
      <c r="Z38" s="6">
        <f t="shared" si="15"/>
        <v>0</v>
      </c>
    </row>
    <row r="39" spans="1:26" s="27" customFormat="1" outlineLevel="1" collapsed="1" x14ac:dyDescent="0.25">
      <c r="A39" s="28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-988.85</v>
      </c>
      <c r="E39" s="1"/>
      <c r="F39" s="5">
        <f t="shared" ref="F39:F47" si="16">IF(D$12=0,0,D39/D$12)</f>
        <v>0</v>
      </c>
      <c r="G39" s="1"/>
      <c r="H39" s="1">
        <f>SUM(OSRRefH22_2x_0)</f>
        <v>-2671.57</v>
      </c>
      <c r="I39" s="1"/>
      <c r="J39" s="5">
        <f t="shared" ref="J39:J47" si="17">IF(H$12=0,0,H39/H$12)</f>
        <v>0</v>
      </c>
      <c r="K39" s="1"/>
      <c r="L39" s="1">
        <f t="shared" ref="L39:L47" si="18">+D39-H39</f>
        <v>1682.7200000000003</v>
      </c>
      <c r="M39" s="1"/>
      <c r="N39" s="5">
        <f t="shared" ref="N39:N47" si="19">IF(H39=0,0,L39/H39)</f>
        <v>-0.62986184153887048</v>
      </c>
      <c r="O39" s="14"/>
      <c r="P39" s="1">
        <f>SUM(OSRRefP22_2x_0)</f>
        <v>-1958.59</v>
      </c>
      <c r="Q39" s="1"/>
      <c r="R39" s="5">
        <f t="shared" ref="R39:R47" si="20">IF(P$12=0,0,P39/P$12)</f>
        <v>0</v>
      </c>
      <c r="S39" s="1"/>
      <c r="T39" s="1">
        <f>SUM(OSRRefT22_2x_0)</f>
        <v>-1818.11</v>
      </c>
      <c r="U39" s="1"/>
      <c r="V39" s="5">
        <f t="shared" ref="V39:V47" si="21">IF(T$12=0,0,T39/T$12)</f>
        <v>0</v>
      </c>
      <c r="W39" s="1"/>
      <c r="X39" s="1">
        <f t="shared" ref="X39:X47" si="22">+P39-T39</f>
        <v>-140.48000000000002</v>
      </c>
      <c r="Y39" s="1"/>
      <c r="Z39" s="5">
        <f t="shared" ref="Z39:Z47" si="23">IF(T39=0,0,X39/T39)</f>
        <v>7.7267052048555926E-2</v>
      </c>
    </row>
    <row r="40" spans="1:26" s="24" customFormat="1" hidden="1" outlineLevel="2" x14ac:dyDescent="0.25">
      <c r="A40" s="29"/>
      <c r="B40" s="11" t="str">
        <f>CONCATENATE("          ", "6362", " - ", "ADVERTISING EXPENSE")</f>
        <v xml:space="preserve">          6362 - ADVERTISING EXPENSE</v>
      </c>
      <c r="C40" s="11"/>
      <c r="D40" s="7">
        <v>-988.85</v>
      </c>
      <c r="E40" s="2"/>
      <c r="F40" s="6">
        <f t="shared" si="16"/>
        <v>0</v>
      </c>
      <c r="G40" s="2"/>
      <c r="H40" s="7">
        <v>-2671.57</v>
      </c>
      <c r="I40" s="2"/>
      <c r="J40" s="6">
        <f t="shared" si="17"/>
        <v>0</v>
      </c>
      <c r="K40" s="2"/>
      <c r="L40" s="7">
        <f t="shared" si="18"/>
        <v>1682.7200000000003</v>
      </c>
      <c r="M40" s="2"/>
      <c r="N40" s="6">
        <f t="shared" si="19"/>
        <v>-0.62986184153887048</v>
      </c>
      <c r="O40" s="11"/>
      <c r="P40" s="7">
        <v>-1958.59</v>
      </c>
      <c r="Q40" s="2"/>
      <c r="R40" s="6">
        <f t="shared" si="20"/>
        <v>0</v>
      </c>
      <c r="S40" s="2"/>
      <c r="T40" s="7">
        <v>-1818.11</v>
      </c>
      <c r="U40" s="2"/>
      <c r="V40" s="6">
        <f t="shared" si="21"/>
        <v>0</v>
      </c>
      <c r="W40" s="2"/>
      <c r="X40" s="7">
        <f t="shared" si="22"/>
        <v>-140.48000000000002</v>
      </c>
      <c r="Y40" s="2"/>
      <c r="Z40" s="6">
        <f t="shared" si="23"/>
        <v>7.7267052048555926E-2</v>
      </c>
    </row>
    <row r="41" spans="1:26" s="27" customFormat="1" outlineLevel="1" collapsed="1" x14ac:dyDescent="0.25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SUM(OSRRefD22_3x_0)</f>
        <v>2611.65</v>
      </c>
      <c r="E41" s="1"/>
      <c r="F41" s="5">
        <f t="shared" si="16"/>
        <v>0</v>
      </c>
      <c r="G41" s="1"/>
      <c r="H41" s="1">
        <f>SUM(OSRRefH22_3x_0)</f>
        <v>2210.6799999999998</v>
      </c>
      <c r="I41" s="1"/>
      <c r="J41" s="5">
        <f t="shared" si="17"/>
        <v>0</v>
      </c>
      <c r="K41" s="1"/>
      <c r="L41" s="1">
        <f t="shared" si="18"/>
        <v>400.97000000000025</v>
      </c>
      <c r="M41" s="1"/>
      <c r="N41" s="5">
        <f t="shared" si="19"/>
        <v>0.1813785803463189</v>
      </c>
      <c r="O41" s="14"/>
      <c r="P41" s="1">
        <f>SUM(OSRRefP22_3x_0)</f>
        <v>3438.04</v>
      </c>
      <c r="Q41" s="1"/>
      <c r="R41" s="5">
        <f t="shared" si="20"/>
        <v>0</v>
      </c>
      <c r="S41" s="1"/>
      <c r="T41" s="1">
        <f>SUM(OSRRefT22_3x_0)</f>
        <v>3024.42</v>
      </c>
      <c r="U41" s="1"/>
      <c r="V41" s="5">
        <f t="shared" si="21"/>
        <v>0</v>
      </c>
      <c r="W41" s="1"/>
      <c r="X41" s="1">
        <f t="shared" si="22"/>
        <v>413.61999999999989</v>
      </c>
      <c r="Y41" s="1"/>
      <c r="Z41" s="5">
        <f t="shared" si="23"/>
        <v>0.13676010606992411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7">
        <v>2611.65</v>
      </c>
      <c r="E42" s="2"/>
      <c r="F42" s="6">
        <f t="shared" si="16"/>
        <v>0</v>
      </c>
      <c r="G42" s="2"/>
      <c r="H42" s="7">
        <v>2210.6799999999998</v>
      </c>
      <c r="I42" s="2"/>
      <c r="J42" s="6">
        <f t="shared" si="17"/>
        <v>0</v>
      </c>
      <c r="K42" s="2"/>
      <c r="L42" s="7">
        <f t="shared" si="18"/>
        <v>400.97000000000025</v>
      </c>
      <c r="M42" s="2"/>
      <c r="N42" s="6">
        <f t="shared" si="19"/>
        <v>0.1813785803463189</v>
      </c>
      <c r="O42" s="11"/>
      <c r="P42" s="7">
        <v>3438.04</v>
      </c>
      <c r="Q42" s="2"/>
      <c r="R42" s="6">
        <f t="shared" si="20"/>
        <v>0</v>
      </c>
      <c r="S42" s="2"/>
      <c r="T42" s="7">
        <v>3024.42</v>
      </c>
      <c r="U42" s="2"/>
      <c r="V42" s="6">
        <f t="shared" si="21"/>
        <v>0</v>
      </c>
      <c r="W42" s="2"/>
      <c r="X42" s="7">
        <f t="shared" si="22"/>
        <v>413.61999999999989</v>
      </c>
      <c r="Y42" s="2"/>
      <c r="Z42" s="6">
        <f t="shared" si="23"/>
        <v>0.13676010606992411</v>
      </c>
    </row>
    <row r="43" spans="1:26" s="27" customFormat="1" outlineLevel="1" collapsed="1" x14ac:dyDescent="0.25">
      <c r="A43" s="28"/>
      <c r="B43" s="14" t="str">
        <f>CONCATENATE("     ","Board                                             ")</f>
        <v xml:space="preserve">     Board                                             </v>
      </c>
      <c r="C43" s="14"/>
      <c r="D43" s="1">
        <f>SUM(OSRRefD22_4x_0)</f>
        <v>2489.2800000000002</v>
      </c>
      <c r="E43" s="1"/>
      <c r="F43" s="5">
        <f t="shared" si="16"/>
        <v>0</v>
      </c>
      <c r="G43" s="1"/>
      <c r="H43" s="1">
        <f>SUM(OSRRefH22_4x_0)</f>
        <v>2619.87</v>
      </c>
      <c r="I43" s="1"/>
      <c r="J43" s="5">
        <f t="shared" si="17"/>
        <v>0</v>
      </c>
      <c r="K43" s="1"/>
      <c r="L43" s="1">
        <f t="shared" si="18"/>
        <v>-130.58999999999969</v>
      </c>
      <c r="M43" s="1"/>
      <c r="N43" s="5">
        <f t="shared" si="19"/>
        <v>-4.9845984724432774E-2</v>
      </c>
      <c r="O43" s="14"/>
      <c r="P43" s="1">
        <f>SUM(OSRRefP22_4x_0)</f>
        <v>4914.68</v>
      </c>
      <c r="Q43" s="1"/>
      <c r="R43" s="5">
        <f t="shared" si="20"/>
        <v>0</v>
      </c>
      <c r="S43" s="1"/>
      <c r="T43" s="1">
        <f>SUM(OSRRefT22_4x_0)</f>
        <v>4815.87</v>
      </c>
      <c r="U43" s="1"/>
      <c r="V43" s="5">
        <f t="shared" si="21"/>
        <v>0</v>
      </c>
      <c r="W43" s="1"/>
      <c r="X43" s="1">
        <f t="shared" si="22"/>
        <v>98.8100000000004</v>
      </c>
      <c r="Y43" s="1"/>
      <c r="Z43" s="5">
        <f t="shared" si="23"/>
        <v>2.0517580416414979E-2</v>
      </c>
    </row>
    <row r="44" spans="1:26" s="24" customFormat="1" hidden="1" outlineLevel="2" x14ac:dyDescent="0.25">
      <c r="A44" s="29"/>
      <c r="B44" s="11" t="str">
        <f>CONCATENATE("          ", "6397", " - ", "BOARD EXPENSES")</f>
        <v xml:space="preserve">          6397 - BOARD EXPENSES</v>
      </c>
      <c r="C44" s="11"/>
      <c r="D44" s="7">
        <v>2489.2800000000002</v>
      </c>
      <c r="E44" s="2"/>
      <c r="F44" s="6">
        <f t="shared" si="16"/>
        <v>0</v>
      </c>
      <c r="G44" s="2"/>
      <c r="H44" s="7">
        <v>2619.87</v>
      </c>
      <c r="I44" s="2"/>
      <c r="J44" s="6">
        <f t="shared" si="17"/>
        <v>0</v>
      </c>
      <c r="K44" s="2"/>
      <c r="L44" s="7">
        <f t="shared" si="18"/>
        <v>-130.58999999999969</v>
      </c>
      <c r="M44" s="2"/>
      <c r="N44" s="6">
        <f t="shared" si="19"/>
        <v>-4.9845984724432774E-2</v>
      </c>
      <c r="O44" s="11"/>
      <c r="P44" s="7">
        <v>4914.68</v>
      </c>
      <c r="Q44" s="2"/>
      <c r="R44" s="6">
        <f t="shared" si="20"/>
        <v>0</v>
      </c>
      <c r="S44" s="2"/>
      <c r="T44" s="7">
        <v>4815.87</v>
      </c>
      <c r="U44" s="2"/>
      <c r="V44" s="6">
        <f t="shared" si="21"/>
        <v>0</v>
      </c>
      <c r="W44" s="2"/>
      <c r="X44" s="7">
        <f t="shared" si="22"/>
        <v>98.8100000000004</v>
      </c>
      <c r="Y44" s="2"/>
      <c r="Z44" s="6">
        <f t="shared" si="23"/>
        <v>2.0517580416414979E-2</v>
      </c>
    </row>
    <row r="45" spans="1:26" s="27" customFormat="1" outlineLevel="1" collapsed="1" x14ac:dyDescent="0.25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8599.93</v>
      </c>
      <c r="E45" s="1"/>
      <c r="F45" s="5">
        <f t="shared" si="16"/>
        <v>0</v>
      </c>
      <c r="G45" s="1"/>
      <c r="H45" s="1">
        <f>SUM(OSRRefH22_5x_0)</f>
        <v>10293.85</v>
      </c>
      <c r="I45" s="1"/>
      <c r="J45" s="5">
        <f t="shared" si="17"/>
        <v>0</v>
      </c>
      <c r="K45" s="1"/>
      <c r="L45" s="1">
        <f t="shared" si="18"/>
        <v>-1693.92</v>
      </c>
      <c r="M45" s="1"/>
      <c r="N45" s="5">
        <f t="shared" si="19"/>
        <v>-0.16455650704061162</v>
      </c>
      <c r="O45" s="14"/>
      <c r="P45" s="1">
        <f>SUM(OSRRefP22_5x_0)</f>
        <v>17199.86</v>
      </c>
      <c r="Q45" s="1"/>
      <c r="R45" s="5">
        <f t="shared" si="20"/>
        <v>0</v>
      </c>
      <c r="S45" s="1"/>
      <c r="T45" s="1">
        <f>SUM(OSRRefT22_5x_0)</f>
        <v>20587.7</v>
      </c>
      <c r="U45" s="1"/>
      <c r="V45" s="5">
        <f t="shared" si="21"/>
        <v>0</v>
      </c>
      <c r="W45" s="1"/>
      <c r="X45" s="1">
        <f t="shared" si="22"/>
        <v>-3387.84</v>
      </c>
      <c r="Y45" s="1"/>
      <c r="Z45" s="5">
        <f t="shared" si="23"/>
        <v>-0.16455650704061162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8599.93</v>
      </c>
      <c r="E46" s="2"/>
      <c r="F46" s="6">
        <f t="shared" si="16"/>
        <v>0</v>
      </c>
      <c r="G46" s="2"/>
      <c r="H46" s="7">
        <v>9971.81</v>
      </c>
      <c r="I46" s="2"/>
      <c r="J46" s="6">
        <f t="shared" si="17"/>
        <v>0</v>
      </c>
      <c r="K46" s="2"/>
      <c r="L46" s="7">
        <f t="shared" si="18"/>
        <v>-1371.8799999999992</v>
      </c>
      <c r="M46" s="2"/>
      <c r="N46" s="6">
        <f t="shared" si="19"/>
        <v>-0.13757582625421055</v>
      </c>
      <c r="O46" s="11"/>
      <c r="P46" s="7">
        <v>17199.86</v>
      </c>
      <c r="Q46" s="2"/>
      <c r="R46" s="6">
        <f t="shared" si="20"/>
        <v>0</v>
      </c>
      <c r="S46" s="2"/>
      <c r="T46" s="7">
        <v>19943.62</v>
      </c>
      <c r="U46" s="2"/>
      <c r="V46" s="6">
        <f t="shared" si="21"/>
        <v>0</v>
      </c>
      <c r="W46" s="2"/>
      <c r="X46" s="7">
        <f t="shared" si="22"/>
        <v>-2743.7599999999984</v>
      </c>
      <c r="Y46" s="2"/>
      <c r="Z46" s="6">
        <f t="shared" si="23"/>
        <v>-0.13757582625421055</v>
      </c>
    </row>
    <row r="47" spans="1:26" s="24" customFormat="1" hidden="1" outlineLevel="2" x14ac:dyDescent="0.25">
      <c r="A47" s="29"/>
      <c r="B47" s="11" t="str">
        <f>CONCATENATE("          ", "6324", " - ", "FURNITURE + FIXT DEPRECIATION")</f>
        <v xml:space="preserve">          6324 - FURNITURE + FIXT DEPRECIATION</v>
      </c>
      <c r="C47" s="11"/>
      <c r="D47" s="7"/>
      <c r="E47" s="2"/>
      <c r="F47" s="6">
        <f t="shared" si="16"/>
        <v>0</v>
      </c>
      <c r="G47" s="2"/>
      <c r="H47" s="7">
        <v>322.04000000000002</v>
      </c>
      <c r="I47" s="2"/>
      <c r="J47" s="6">
        <f t="shared" si="17"/>
        <v>0</v>
      </c>
      <c r="K47" s="2"/>
      <c r="L47" s="7">
        <f t="shared" si="18"/>
        <v>-322.04000000000002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644.08000000000004</v>
      </c>
      <c r="U47" s="2"/>
      <c r="V47" s="6">
        <f t="shared" si="21"/>
        <v>0</v>
      </c>
      <c r="W47" s="2"/>
      <c r="X47" s="7">
        <f t="shared" si="22"/>
        <v>-644.08000000000004</v>
      </c>
      <c r="Y47" s="2"/>
      <c r="Z47" s="6">
        <f t="shared" si="23"/>
        <v>-1</v>
      </c>
    </row>
    <row r="48" spans="1:26" s="27" customFormat="1" outlineLevel="1" collapsed="1" x14ac:dyDescent="0.25">
      <c r="A48" s="28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110000.75</v>
      </c>
      <c r="E48" s="1"/>
      <c r="F48" s="5">
        <f t="shared" ref="F48:F64" si="24">IF(D$12=0,0,D48/D$12)</f>
        <v>0</v>
      </c>
      <c r="G48" s="1"/>
      <c r="H48" s="1">
        <f>SUM(OSRRefH22_6x_0)</f>
        <v>0</v>
      </c>
      <c r="I48" s="1"/>
      <c r="J48" s="5">
        <f t="shared" ref="J48:J64" si="25">IF(H$12=0,0,H48/H$12)</f>
        <v>0</v>
      </c>
      <c r="K48" s="1"/>
      <c r="L48" s="1">
        <f t="shared" ref="L48:L64" si="26">+D48-H48</f>
        <v>110000.75</v>
      </c>
      <c r="M48" s="1"/>
      <c r="N48" s="5">
        <f t="shared" ref="N48:N64" si="27">IF(H48=0,0,L48/H48)</f>
        <v>0</v>
      </c>
      <c r="O48" s="14"/>
      <c r="P48" s="1">
        <f>SUM(OSRRefP22_6x_0)</f>
        <v>111668.6</v>
      </c>
      <c r="Q48" s="1"/>
      <c r="R48" s="5">
        <f t="shared" ref="R48:R64" si="28">IF(P$12=0,0,P48/P$12)</f>
        <v>0</v>
      </c>
      <c r="S48" s="1"/>
      <c r="T48" s="1">
        <f>SUM(OSRRefT22_6x_0)</f>
        <v>26000</v>
      </c>
      <c r="U48" s="1"/>
      <c r="V48" s="5">
        <f t="shared" ref="V48:V64" si="29">IF(T$12=0,0,T48/T$12)</f>
        <v>0</v>
      </c>
      <c r="W48" s="1"/>
      <c r="X48" s="1">
        <f t="shared" ref="X48:X64" si="30">+P48-T48</f>
        <v>85668.6</v>
      </c>
      <c r="Y48" s="1"/>
      <c r="Z48" s="5">
        <f t="shared" ref="Z48:Z64" si="31">IF(T48=0,0,X48/T48)</f>
        <v>3.294946153846154</v>
      </c>
    </row>
    <row r="49" spans="1:26" s="24" customFormat="1" hidden="1" outlineLevel="2" x14ac:dyDescent="0.25">
      <c r="A49" s="29"/>
      <c r="B49" s="11" t="str">
        <f>CONCATENATE("          ", "6399", " - ", "DONATION-ON CAMPUS")</f>
        <v xml:space="preserve">          6399 - DONATION-ON CAMPUS</v>
      </c>
      <c r="C49" s="11"/>
      <c r="D49" s="7">
        <v>110000.75</v>
      </c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110000.75</v>
      </c>
      <c r="M49" s="2"/>
      <c r="N49" s="6">
        <f t="shared" si="27"/>
        <v>0</v>
      </c>
      <c r="O49" s="11"/>
      <c r="P49" s="7">
        <v>111668.6</v>
      </c>
      <c r="Q49" s="2"/>
      <c r="R49" s="6">
        <f t="shared" si="28"/>
        <v>0</v>
      </c>
      <c r="S49" s="2"/>
      <c r="T49" s="7">
        <v>26000</v>
      </c>
      <c r="U49" s="2"/>
      <c r="V49" s="6">
        <f t="shared" si="29"/>
        <v>0</v>
      </c>
      <c r="W49" s="2"/>
      <c r="X49" s="7">
        <f t="shared" si="30"/>
        <v>85668.6</v>
      </c>
      <c r="Y49" s="2"/>
      <c r="Z49" s="6">
        <f t="shared" si="31"/>
        <v>3.294946153846154</v>
      </c>
    </row>
    <row r="50" spans="1:26" s="27" customFormat="1" outlineLevel="1" collapsed="1" x14ac:dyDescent="0.25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5979.54</v>
      </c>
      <c r="E50" s="1"/>
      <c r="F50" s="5">
        <f t="shared" si="24"/>
        <v>0</v>
      </c>
      <c r="G50" s="1"/>
      <c r="H50" s="1">
        <f>SUM(OSRRefH22_7x_0)</f>
        <v>1690.29</v>
      </c>
      <c r="I50" s="1"/>
      <c r="J50" s="5">
        <f t="shared" si="25"/>
        <v>0</v>
      </c>
      <c r="K50" s="1"/>
      <c r="L50" s="1">
        <f t="shared" si="26"/>
        <v>4289.25</v>
      </c>
      <c r="M50" s="1"/>
      <c r="N50" s="5">
        <f t="shared" si="27"/>
        <v>2.5375823083612872</v>
      </c>
      <c r="O50" s="14"/>
      <c r="P50" s="1">
        <f>SUM(OSRRefP22_7x_0)</f>
        <v>11127.12</v>
      </c>
      <c r="Q50" s="1"/>
      <c r="R50" s="5">
        <f t="shared" si="28"/>
        <v>0</v>
      </c>
      <c r="S50" s="1"/>
      <c r="T50" s="1">
        <f>SUM(OSRRefT22_7x_0)</f>
        <v>8670.4</v>
      </c>
      <c r="U50" s="1"/>
      <c r="V50" s="5">
        <f t="shared" si="29"/>
        <v>0</v>
      </c>
      <c r="W50" s="1"/>
      <c r="X50" s="1">
        <f t="shared" si="30"/>
        <v>2456.7200000000012</v>
      </c>
      <c r="Y50" s="1"/>
      <c r="Z50" s="5">
        <f t="shared" si="31"/>
        <v>0.2833456357261489</v>
      </c>
    </row>
    <row r="51" spans="1:26" s="24" customFormat="1" hidden="1" outlineLevel="2" x14ac:dyDescent="0.25">
      <c r="A51" s="29"/>
      <c r="B51" s="11" t="str">
        <f>CONCATENATE("          ", "6277", " - ", "EMPLOYEE APPRECIATION")</f>
        <v xml:space="preserve">          6277 - EMPLOYEE APPRECIATION</v>
      </c>
      <c r="C51" s="11"/>
      <c r="D51" s="7">
        <v>5979.54</v>
      </c>
      <c r="E51" s="2"/>
      <c r="F51" s="6">
        <f t="shared" si="24"/>
        <v>0</v>
      </c>
      <c r="G51" s="2"/>
      <c r="H51" s="7">
        <v>1690.29</v>
      </c>
      <c r="I51" s="2"/>
      <c r="J51" s="6">
        <f t="shared" si="25"/>
        <v>0</v>
      </c>
      <c r="K51" s="2"/>
      <c r="L51" s="7">
        <f t="shared" si="26"/>
        <v>4289.25</v>
      </c>
      <c r="M51" s="2"/>
      <c r="N51" s="6">
        <f t="shared" si="27"/>
        <v>2.5375823083612872</v>
      </c>
      <c r="O51" s="11"/>
      <c r="P51" s="7">
        <v>11127.12</v>
      </c>
      <c r="Q51" s="2"/>
      <c r="R51" s="6">
        <f t="shared" si="28"/>
        <v>0</v>
      </c>
      <c r="S51" s="2"/>
      <c r="T51" s="7">
        <v>8670.4</v>
      </c>
      <c r="U51" s="2"/>
      <c r="V51" s="6">
        <f t="shared" si="29"/>
        <v>0</v>
      </c>
      <c r="W51" s="2"/>
      <c r="X51" s="7">
        <f t="shared" si="30"/>
        <v>2456.7200000000012</v>
      </c>
      <c r="Y51" s="2"/>
      <c r="Z51" s="6">
        <f t="shared" si="31"/>
        <v>0.2833456357261489</v>
      </c>
    </row>
    <row r="52" spans="1:26" s="27" customFormat="1" outlineLevel="1" collapsed="1" x14ac:dyDescent="0.25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300.24</v>
      </c>
      <c r="E52" s="1"/>
      <c r="F52" s="5">
        <f t="shared" si="24"/>
        <v>0</v>
      </c>
      <c r="G52" s="1"/>
      <c r="H52" s="1">
        <f>SUM(OSRRefH22_8x_0)</f>
        <v>300.24</v>
      </c>
      <c r="I52" s="1"/>
      <c r="J52" s="5">
        <f t="shared" si="25"/>
        <v>0</v>
      </c>
      <c r="K52" s="1"/>
      <c r="L52" s="1">
        <f t="shared" si="26"/>
        <v>0</v>
      </c>
      <c r="M52" s="1"/>
      <c r="N52" s="5">
        <f t="shared" si="27"/>
        <v>0</v>
      </c>
      <c r="O52" s="14"/>
      <c r="P52" s="1">
        <f>SUM(OSRRefP22_8x_0)</f>
        <v>600.48</v>
      </c>
      <c r="Q52" s="1"/>
      <c r="R52" s="5">
        <f t="shared" si="28"/>
        <v>0</v>
      </c>
      <c r="S52" s="1"/>
      <c r="T52" s="1">
        <f>SUM(OSRRefT22_8x_0)</f>
        <v>600.48</v>
      </c>
      <c r="U52" s="1"/>
      <c r="V52" s="5">
        <f t="shared" si="29"/>
        <v>0</v>
      </c>
      <c r="W52" s="1"/>
      <c r="X52" s="1">
        <f t="shared" si="30"/>
        <v>0</v>
      </c>
      <c r="Y52" s="1"/>
      <c r="Z52" s="5">
        <f t="shared" si="31"/>
        <v>0</v>
      </c>
    </row>
    <row r="53" spans="1:26" s="24" customFormat="1" hidden="1" outlineLevel="2" x14ac:dyDescent="0.25">
      <c r="A53" s="29"/>
      <c r="B53" s="11" t="str">
        <f>CONCATENATE("          ", "6351", " - ", "EQUIPMENT RENTAL")</f>
        <v xml:space="preserve">          6351 - EQUIPMENT RENTAL</v>
      </c>
      <c r="C53" s="11"/>
      <c r="D53" s="7">
        <v>300.24</v>
      </c>
      <c r="E53" s="2"/>
      <c r="F53" s="6">
        <f t="shared" si="24"/>
        <v>0</v>
      </c>
      <c r="G53" s="2"/>
      <c r="H53" s="7">
        <v>300.24</v>
      </c>
      <c r="I53" s="2"/>
      <c r="J53" s="6">
        <f t="shared" si="25"/>
        <v>0</v>
      </c>
      <c r="K53" s="2"/>
      <c r="L53" s="7">
        <f t="shared" si="26"/>
        <v>0</v>
      </c>
      <c r="M53" s="2"/>
      <c r="N53" s="6">
        <f t="shared" si="27"/>
        <v>0</v>
      </c>
      <c r="O53" s="11"/>
      <c r="P53" s="7">
        <v>600.48</v>
      </c>
      <c r="Q53" s="2"/>
      <c r="R53" s="6">
        <f t="shared" si="28"/>
        <v>0</v>
      </c>
      <c r="S53" s="2"/>
      <c r="T53" s="7">
        <v>600.48</v>
      </c>
      <c r="U53" s="2"/>
      <c r="V53" s="6">
        <f t="shared" si="29"/>
        <v>0</v>
      </c>
      <c r="W53" s="2"/>
      <c r="X53" s="7">
        <f t="shared" si="30"/>
        <v>0</v>
      </c>
      <c r="Y53" s="2"/>
      <c r="Z53" s="6">
        <f t="shared" si="31"/>
        <v>0</v>
      </c>
    </row>
    <row r="54" spans="1:26" s="27" customFormat="1" outlineLevel="1" collapsed="1" x14ac:dyDescent="0.25">
      <c r="A54" s="28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SUM(OSRRefD22_9x_0)</f>
        <v>238.85</v>
      </c>
      <c r="E54" s="1"/>
      <c r="F54" s="5">
        <f t="shared" si="24"/>
        <v>0</v>
      </c>
      <c r="G54" s="1"/>
      <c r="H54" s="1">
        <f>SUM(OSRRefH22_9x_0)</f>
        <v>158.76</v>
      </c>
      <c r="I54" s="1"/>
      <c r="J54" s="5">
        <f t="shared" si="25"/>
        <v>0</v>
      </c>
      <c r="K54" s="1"/>
      <c r="L54" s="1">
        <f t="shared" si="26"/>
        <v>80.09</v>
      </c>
      <c r="M54" s="1"/>
      <c r="N54" s="5">
        <f t="shared" si="27"/>
        <v>0.50447215923406408</v>
      </c>
      <c r="O54" s="14"/>
      <c r="P54" s="1">
        <f>SUM(OSRRefP22_9x_0)</f>
        <v>347.5</v>
      </c>
      <c r="Q54" s="1"/>
      <c r="R54" s="5">
        <f t="shared" si="28"/>
        <v>0</v>
      </c>
      <c r="S54" s="1"/>
      <c r="T54" s="1">
        <f>SUM(OSRRefT22_9x_0)</f>
        <v>305.72000000000003</v>
      </c>
      <c r="U54" s="1"/>
      <c r="V54" s="5">
        <f t="shared" si="29"/>
        <v>0</v>
      </c>
      <c r="W54" s="1"/>
      <c r="X54" s="1">
        <f t="shared" si="30"/>
        <v>41.779999999999973</v>
      </c>
      <c r="Y54" s="1"/>
      <c r="Z54" s="5">
        <f t="shared" si="31"/>
        <v>0.13666099699071035</v>
      </c>
    </row>
    <row r="55" spans="1:26" s="24" customFormat="1" hidden="1" outlineLevel="2" x14ac:dyDescent="0.25">
      <c r="A55" s="29"/>
      <c r="B55" s="11" t="str">
        <f>CONCATENATE("          ", "6307", " - ", "POSTAGE")</f>
        <v xml:space="preserve">          6307 - POSTAGE</v>
      </c>
      <c r="C55" s="11"/>
      <c r="D55" s="7">
        <v>238.85</v>
      </c>
      <c r="E55" s="2"/>
      <c r="F55" s="6">
        <f t="shared" si="24"/>
        <v>0</v>
      </c>
      <c r="G55" s="2"/>
      <c r="H55" s="7">
        <v>158.76</v>
      </c>
      <c r="I55" s="2"/>
      <c r="J55" s="6">
        <f t="shared" si="25"/>
        <v>0</v>
      </c>
      <c r="K55" s="2"/>
      <c r="L55" s="7">
        <f t="shared" si="26"/>
        <v>80.09</v>
      </c>
      <c r="M55" s="2"/>
      <c r="N55" s="6">
        <f t="shared" si="27"/>
        <v>0.50447215923406408</v>
      </c>
      <c r="O55" s="11"/>
      <c r="P55" s="7">
        <v>347.5</v>
      </c>
      <c r="Q55" s="2"/>
      <c r="R55" s="6">
        <f t="shared" si="28"/>
        <v>0</v>
      </c>
      <c r="S55" s="2"/>
      <c r="T55" s="7">
        <v>305.72000000000003</v>
      </c>
      <c r="U55" s="2"/>
      <c r="V55" s="6">
        <f t="shared" si="29"/>
        <v>0</v>
      </c>
      <c r="W55" s="2"/>
      <c r="X55" s="7">
        <f t="shared" si="30"/>
        <v>41.779999999999973</v>
      </c>
      <c r="Y55" s="2"/>
      <c r="Z55" s="6">
        <f t="shared" si="31"/>
        <v>0.13666099699071035</v>
      </c>
    </row>
    <row r="56" spans="1:26" s="27" customFormat="1" outlineLevel="1" collapsed="1" x14ac:dyDescent="0.25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SUM(OSRRefD22_10x_0)</f>
        <v>2250</v>
      </c>
      <c r="E56" s="1"/>
      <c r="F56" s="5">
        <f t="shared" si="24"/>
        <v>0</v>
      </c>
      <c r="G56" s="1"/>
      <c r="H56" s="1">
        <f>SUM(OSRRefH22_10x_0)</f>
        <v>0</v>
      </c>
      <c r="I56" s="1"/>
      <c r="J56" s="5">
        <f t="shared" si="25"/>
        <v>0</v>
      </c>
      <c r="K56" s="1"/>
      <c r="L56" s="1">
        <f t="shared" si="26"/>
        <v>2250</v>
      </c>
      <c r="M56" s="1"/>
      <c r="N56" s="5">
        <f t="shared" si="27"/>
        <v>0</v>
      </c>
      <c r="O56" s="14"/>
      <c r="P56" s="1">
        <f>SUM(OSRRefP22_10x_0)</f>
        <v>2280.62</v>
      </c>
      <c r="Q56" s="1"/>
      <c r="R56" s="5">
        <f t="shared" si="28"/>
        <v>0</v>
      </c>
      <c r="S56" s="1"/>
      <c r="T56" s="1">
        <f>SUM(OSRRefT22_10x_0)</f>
        <v>7378.1</v>
      </c>
      <c r="U56" s="1"/>
      <c r="V56" s="5">
        <f t="shared" si="29"/>
        <v>0</v>
      </c>
      <c r="W56" s="1"/>
      <c r="X56" s="1">
        <f t="shared" si="30"/>
        <v>-5097.4800000000005</v>
      </c>
      <c r="Y56" s="1"/>
      <c r="Z56" s="5">
        <f t="shared" si="31"/>
        <v>-0.69089331941827847</v>
      </c>
    </row>
    <row r="57" spans="1:26" s="24" customFormat="1" hidden="1" outlineLevel="2" x14ac:dyDescent="0.25">
      <c r="A57" s="29"/>
      <c r="B57" s="11" t="str">
        <f>CONCATENATE("          ", "6279", " - ", "GENERAL EXPENSE")</f>
        <v xml:space="preserve">          6279 - GENERAL EXPENSE</v>
      </c>
      <c r="C57" s="11"/>
      <c r="D57" s="7">
        <v>2250</v>
      </c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2250</v>
      </c>
      <c r="M57" s="2"/>
      <c r="N57" s="6">
        <f t="shared" si="27"/>
        <v>0</v>
      </c>
      <c r="O57" s="11"/>
      <c r="P57" s="7">
        <v>2280.62</v>
      </c>
      <c r="Q57" s="2"/>
      <c r="R57" s="6">
        <f t="shared" si="28"/>
        <v>0</v>
      </c>
      <c r="S57" s="2"/>
      <c r="T57" s="7">
        <v>7378.1</v>
      </c>
      <c r="U57" s="2"/>
      <c r="V57" s="6">
        <f t="shared" si="29"/>
        <v>0</v>
      </c>
      <c r="W57" s="2"/>
      <c r="X57" s="7">
        <f t="shared" si="30"/>
        <v>-5097.4800000000005</v>
      </c>
      <c r="Y57" s="2"/>
      <c r="Z57" s="6">
        <f t="shared" si="31"/>
        <v>-0.69089331941827847</v>
      </c>
    </row>
    <row r="58" spans="1:26" s="27" customFormat="1" outlineLevel="1" collapsed="1" x14ac:dyDescent="0.25">
      <c r="A58" s="28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370.89</v>
      </c>
      <c r="I58" s="1"/>
      <c r="J58" s="5">
        <f t="shared" si="25"/>
        <v>0</v>
      </c>
      <c r="K58" s="1"/>
      <c r="L58" s="1">
        <f t="shared" si="26"/>
        <v>22.78000000000003</v>
      </c>
      <c r="M58" s="1"/>
      <c r="N58" s="5">
        <f t="shared" si="27"/>
        <v>6.1419827981342261E-2</v>
      </c>
      <c r="O58" s="14"/>
      <c r="P58" s="1">
        <f>SUM(OSRRefP22_11x_0)</f>
        <v>787.34</v>
      </c>
      <c r="Q58" s="1"/>
      <c r="R58" s="5">
        <f t="shared" si="28"/>
        <v>0</v>
      </c>
      <c r="S58" s="1"/>
      <c r="T58" s="1">
        <f>SUM(OSRRefT22_11x_0)</f>
        <v>741.78</v>
      </c>
      <c r="U58" s="1"/>
      <c r="V58" s="5">
        <f t="shared" si="29"/>
        <v>0</v>
      </c>
      <c r="W58" s="1"/>
      <c r="X58" s="1">
        <f t="shared" si="30"/>
        <v>45.560000000000059</v>
      </c>
      <c r="Y58" s="1"/>
      <c r="Z58" s="5">
        <f t="shared" si="31"/>
        <v>6.1419827981342261E-2</v>
      </c>
    </row>
    <row r="59" spans="1:26" s="24" customFormat="1" hidden="1" outlineLevel="2" x14ac:dyDescent="0.25">
      <c r="A59" s="29"/>
      <c r="B59" s="11" t="str">
        <f>CONCATENATE("          ", "6314", " - ", "LIABILITY INSURANCE")</f>
        <v xml:space="preserve">          6314 - LIABILITY INSURANCE</v>
      </c>
      <c r="C59" s="11"/>
      <c r="D59" s="7">
        <v>393.67</v>
      </c>
      <c r="E59" s="2"/>
      <c r="F59" s="6">
        <f t="shared" si="24"/>
        <v>0</v>
      </c>
      <c r="G59" s="2"/>
      <c r="H59" s="7">
        <v>370.89</v>
      </c>
      <c r="I59" s="2"/>
      <c r="J59" s="6">
        <f t="shared" si="25"/>
        <v>0</v>
      </c>
      <c r="K59" s="2"/>
      <c r="L59" s="7">
        <f t="shared" si="26"/>
        <v>22.78000000000003</v>
      </c>
      <c r="M59" s="2"/>
      <c r="N59" s="6">
        <f t="shared" si="27"/>
        <v>6.1419827981342261E-2</v>
      </c>
      <c r="O59" s="11"/>
      <c r="P59" s="7">
        <v>787.34</v>
      </c>
      <c r="Q59" s="2"/>
      <c r="R59" s="6">
        <f t="shared" si="28"/>
        <v>0</v>
      </c>
      <c r="S59" s="2"/>
      <c r="T59" s="7">
        <v>741.78</v>
      </c>
      <c r="U59" s="2"/>
      <c r="V59" s="6">
        <f t="shared" si="29"/>
        <v>0</v>
      </c>
      <c r="W59" s="2"/>
      <c r="X59" s="7">
        <f t="shared" si="30"/>
        <v>45.560000000000059</v>
      </c>
      <c r="Y59" s="2"/>
      <c r="Z59" s="6">
        <f t="shared" si="31"/>
        <v>6.1419827981342261E-2</v>
      </c>
    </row>
    <row r="60" spans="1:26" s="27" customFormat="1" outlineLevel="1" collapsed="1" x14ac:dyDescent="0.25">
      <c r="A60" s="28"/>
      <c r="B60" s="14" t="str">
        <f>CONCATENATE("     ","Professional Services                             ")</f>
        <v xml:space="preserve">     Professional Services                             </v>
      </c>
      <c r="C60" s="14"/>
      <c r="D60" s="1">
        <f>SUM(OSRRefD22_12x_0)</f>
        <v>19839</v>
      </c>
      <c r="E60" s="1"/>
      <c r="F60" s="5">
        <f t="shared" si="24"/>
        <v>0</v>
      </c>
      <c r="G60" s="1"/>
      <c r="H60" s="1">
        <f>SUM(OSRRefH22_12x_0)</f>
        <v>0</v>
      </c>
      <c r="I60" s="1"/>
      <c r="J60" s="5">
        <f t="shared" si="25"/>
        <v>0</v>
      </c>
      <c r="K60" s="1"/>
      <c r="L60" s="1">
        <f t="shared" si="26"/>
        <v>19839</v>
      </c>
      <c r="M60" s="1"/>
      <c r="N60" s="5">
        <f t="shared" si="27"/>
        <v>0</v>
      </c>
      <c r="O60" s="14"/>
      <c r="P60" s="1">
        <f>SUM(OSRRefP22_12x_0)</f>
        <v>25590.239999999998</v>
      </c>
      <c r="Q60" s="1"/>
      <c r="R60" s="5">
        <f t="shared" si="28"/>
        <v>0</v>
      </c>
      <c r="S60" s="1"/>
      <c r="T60" s="1">
        <f>SUM(OSRRefT22_12x_0)</f>
        <v>16738</v>
      </c>
      <c r="U60" s="1"/>
      <c r="V60" s="5">
        <f t="shared" si="29"/>
        <v>0</v>
      </c>
      <c r="W60" s="1"/>
      <c r="X60" s="1">
        <f t="shared" si="30"/>
        <v>8852.239999999998</v>
      </c>
      <c r="Y60" s="1"/>
      <c r="Z60" s="5">
        <f t="shared" si="31"/>
        <v>0.5288708328354641</v>
      </c>
    </row>
    <row r="61" spans="1:26" s="24" customFormat="1" hidden="1" outlineLevel="2" x14ac:dyDescent="0.25">
      <c r="A61" s="29"/>
      <c r="B61" s="11" t="str">
        <f>CONCATENATE("          ", "6331", " - ", "INDIRECT COSTS-AUXILIARY ORGAN")</f>
        <v xml:space="preserve">          6331 - INDIRECT COSTS-AUXILIARY ORGAN</v>
      </c>
      <c r="C61" s="11"/>
      <c r="D61" s="7">
        <v>11487</v>
      </c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11487</v>
      </c>
      <c r="M61" s="2"/>
      <c r="N61" s="6">
        <f t="shared" si="27"/>
        <v>0</v>
      </c>
      <c r="O61" s="11"/>
      <c r="P61" s="7">
        <v>11487</v>
      </c>
      <c r="Q61" s="2"/>
      <c r="R61" s="6">
        <f t="shared" si="28"/>
        <v>0</v>
      </c>
      <c r="S61" s="2"/>
      <c r="T61" s="7">
        <v>11425.25</v>
      </c>
      <c r="U61" s="2"/>
      <c r="V61" s="6">
        <f t="shared" si="29"/>
        <v>0</v>
      </c>
      <c r="W61" s="2"/>
      <c r="X61" s="7">
        <f t="shared" si="30"/>
        <v>61.75</v>
      </c>
      <c r="Y61" s="2"/>
      <c r="Z61" s="6">
        <f t="shared" si="31"/>
        <v>5.4046957396993505E-3</v>
      </c>
    </row>
    <row r="62" spans="1:26" s="24" customFormat="1" hidden="1" outlineLevel="2" x14ac:dyDescent="0.25">
      <c r="A62" s="29"/>
      <c r="B62" s="11" t="str">
        <f>CONCATENATE("          ", "6332", " - ", "CONSULTANT FEES")</f>
        <v xml:space="preserve">          6332 - CONSULTANT FEES</v>
      </c>
      <c r="C62" s="11"/>
      <c r="D62" s="7"/>
      <c r="E62" s="2"/>
      <c r="F62" s="6">
        <f t="shared" si="24"/>
        <v>0</v>
      </c>
      <c r="G62" s="2"/>
      <c r="H62" s="7"/>
      <c r="I62" s="2"/>
      <c r="J62" s="6">
        <f t="shared" si="25"/>
        <v>0</v>
      </c>
      <c r="K62" s="2"/>
      <c r="L62" s="7">
        <f t="shared" si="26"/>
        <v>0</v>
      </c>
      <c r="M62" s="2"/>
      <c r="N62" s="6">
        <f t="shared" si="27"/>
        <v>0</v>
      </c>
      <c r="O62" s="11"/>
      <c r="P62" s="7">
        <v>82.5</v>
      </c>
      <c r="Q62" s="2"/>
      <c r="R62" s="6">
        <f t="shared" si="28"/>
        <v>0</v>
      </c>
      <c r="S62" s="2"/>
      <c r="T62" s="7"/>
      <c r="U62" s="2"/>
      <c r="V62" s="6">
        <f t="shared" si="29"/>
        <v>0</v>
      </c>
      <c r="W62" s="2"/>
      <c r="X62" s="7">
        <f t="shared" si="30"/>
        <v>82.5</v>
      </c>
      <c r="Y62" s="2"/>
      <c r="Z62" s="6">
        <f t="shared" si="31"/>
        <v>0</v>
      </c>
    </row>
    <row r="63" spans="1:26" s="24" customFormat="1" hidden="1" outlineLevel="2" x14ac:dyDescent="0.25">
      <c r="A63" s="29"/>
      <c r="B63" s="11" t="str">
        <f>CONCATENATE("          ", "6334", " - ", "LEGAL COUNCIL EXPENSE")</f>
        <v xml:space="preserve">          6334 - LEGAL COUNCIL EXPENSE</v>
      </c>
      <c r="C63" s="11"/>
      <c r="D63" s="7">
        <v>6615</v>
      </c>
      <c r="E63" s="2"/>
      <c r="F63" s="6">
        <f t="shared" si="24"/>
        <v>0</v>
      </c>
      <c r="G63" s="2"/>
      <c r="H63" s="7"/>
      <c r="I63" s="2"/>
      <c r="J63" s="6">
        <f t="shared" si="25"/>
        <v>0</v>
      </c>
      <c r="K63" s="2"/>
      <c r="L63" s="7">
        <f t="shared" si="26"/>
        <v>6615</v>
      </c>
      <c r="M63" s="2"/>
      <c r="N63" s="6">
        <f t="shared" si="27"/>
        <v>0</v>
      </c>
      <c r="O63" s="11"/>
      <c r="P63" s="7">
        <v>6630</v>
      </c>
      <c r="Q63" s="2"/>
      <c r="R63" s="6">
        <f t="shared" si="28"/>
        <v>0</v>
      </c>
      <c r="S63" s="2"/>
      <c r="T63" s="7"/>
      <c r="U63" s="2"/>
      <c r="V63" s="6">
        <f t="shared" si="29"/>
        <v>0</v>
      </c>
      <c r="W63" s="2"/>
      <c r="X63" s="7">
        <f t="shared" si="30"/>
        <v>6630</v>
      </c>
      <c r="Y63" s="2"/>
      <c r="Z63" s="6">
        <f t="shared" si="31"/>
        <v>0</v>
      </c>
    </row>
    <row r="64" spans="1:26" s="24" customFormat="1" hidden="1" outlineLevel="2" x14ac:dyDescent="0.25">
      <c r="A64" s="29"/>
      <c r="B64" s="11" t="str">
        <f>CONCATENATE("          ", "6336", " - ", "PROFESSIONAL SERVICES")</f>
        <v xml:space="preserve">          6336 - PROFESSIONAL SERVICES</v>
      </c>
      <c r="C64" s="11"/>
      <c r="D64" s="7">
        <v>1737</v>
      </c>
      <c r="E64" s="2"/>
      <c r="F64" s="6">
        <f t="shared" si="24"/>
        <v>0</v>
      </c>
      <c r="G64" s="2"/>
      <c r="H64" s="7"/>
      <c r="I64" s="2"/>
      <c r="J64" s="6">
        <f t="shared" si="25"/>
        <v>0</v>
      </c>
      <c r="K64" s="2"/>
      <c r="L64" s="7">
        <f t="shared" si="26"/>
        <v>1737</v>
      </c>
      <c r="M64" s="2"/>
      <c r="N64" s="6">
        <f t="shared" si="27"/>
        <v>0</v>
      </c>
      <c r="O64" s="11"/>
      <c r="P64" s="7">
        <v>7390.74</v>
      </c>
      <c r="Q64" s="2"/>
      <c r="R64" s="6">
        <f t="shared" si="28"/>
        <v>0</v>
      </c>
      <c r="S64" s="2"/>
      <c r="T64" s="7">
        <v>5312.75</v>
      </c>
      <c r="U64" s="2"/>
      <c r="V64" s="6">
        <f t="shared" si="29"/>
        <v>0</v>
      </c>
      <c r="W64" s="2"/>
      <c r="X64" s="7">
        <f t="shared" si="30"/>
        <v>2077.9899999999998</v>
      </c>
      <c r="Y64" s="2"/>
      <c r="Z64" s="6">
        <f t="shared" si="31"/>
        <v>0.39113265258105495</v>
      </c>
    </row>
    <row r="65" spans="1:26" s="27" customFormat="1" outlineLevel="1" collapsed="1" x14ac:dyDescent="0.25">
      <c r="A65" s="28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SUM(OSRRefD22_13x_0)</f>
        <v>23169.769999999997</v>
      </c>
      <c r="E65" s="1"/>
      <c r="F65" s="5">
        <f t="shared" ref="F65:F68" si="32">IF(D$12=0,0,D65/D$12)</f>
        <v>0</v>
      </c>
      <c r="G65" s="1"/>
      <c r="H65" s="1">
        <f>SUM(OSRRefH22_13x_0)</f>
        <v>20099.849999999999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3069.9199999999983</v>
      </c>
      <c r="M65" s="1"/>
      <c r="N65" s="5">
        <f t="shared" ref="N65:N68" si="35">IF(H65=0,0,L65/H65)</f>
        <v>0.15273347811053309</v>
      </c>
      <c r="O65" s="14"/>
      <c r="P65" s="1">
        <f>SUM(OSRRefP22_13x_0)</f>
        <v>49958.42</v>
      </c>
      <c r="Q65" s="1"/>
      <c r="R65" s="5">
        <f t="shared" ref="R65:R68" si="36">IF(P$12=0,0,P65/P$12)</f>
        <v>0</v>
      </c>
      <c r="S65" s="1"/>
      <c r="T65" s="1">
        <f>SUM(OSRRefT22_13x_0)</f>
        <v>42000.39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7958.0299999999988</v>
      </c>
      <c r="Y65" s="1"/>
      <c r="Z65" s="5">
        <f t="shared" ref="Z65:Z68" si="39">IF(T65=0,0,X65/T65)</f>
        <v>0.18947514534984078</v>
      </c>
    </row>
    <row r="66" spans="1:26" s="24" customFormat="1" hidden="1" outlineLevel="2" x14ac:dyDescent="0.25">
      <c r="A66" s="29"/>
      <c r="B66" s="11" t="str">
        <f>CONCATENATE("          ", "6371", " - ", "COMPUTER SOFTWARE MAINTENANCE")</f>
        <v xml:space="preserve">          6371 - COMPUTER SOFTWARE MAINTENANCE</v>
      </c>
      <c r="C66" s="11"/>
      <c r="D66" s="7">
        <v>9621.5499999999993</v>
      </c>
      <c r="E66" s="2"/>
      <c r="F66" s="6">
        <f t="shared" si="32"/>
        <v>0</v>
      </c>
      <c r="G66" s="2"/>
      <c r="H66" s="7">
        <v>10389.4</v>
      </c>
      <c r="I66" s="2"/>
      <c r="J66" s="6">
        <f t="shared" si="33"/>
        <v>0</v>
      </c>
      <c r="K66" s="2"/>
      <c r="L66" s="7">
        <f t="shared" si="34"/>
        <v>-767.85000000000036</v>
      </c>
      <c r="M66" s="2"/>
      <c r="N66" s="6">
        <f t="shared" si="35"/>
        <v>-7.3907059117947177E-2</v>
      </c>
      <c r="O66" s="11"/>
      <c r="P66" s="7">
        <v>20377.46</v>
      </c>
      <c r="Q66" s="2"/>
      <c r="R66" s="6">
        <f t="shared" si="36"/>
        <v>0</v>
      </c>
      <c r="S66" s="2"/>
      <c r="T66" s="7">
        <v>21777.88</v>
      </c>
      <c r="U66" s="2"/>
      <c r="V66" s="6">
        <f t="shared" si="37"/>
        <v>0</v>
      </c>
      <c r="W66" s="2"/>
      <c r="X66" s="7">
        <f t="shared" si="38"/>
        <v>-1400.4200000000019</v>
      </c>
      <c r="Y66" s="2"/>
      <c r="Z66" s="6">
        <f t="shared" si="39"/>
        <v>-6.430469816162096E-2</v>
      </c>
    </row>
    <row r="67" spans="1:26" s="24" customFormat="1" hidden="1" outlineLevel="2" x14ac:dyDescent="0.25">
      <c r="A67" s="29"/>
      <c r="B67" s="11" t="str">
        <f>CONCATENATE("          ", "6373", " - ", "MAINTENANCE CONTRACTS")</f>
        <v xml:space="preserve">          6373 - MAINTENANCE CONTRACTS</v>
      </c>
      <c r="C67" s="11"/>
      <c r="D67" s="7">
        <v>13548.22</v>
      </c>
      <c r="E67" s="2"/>
      <c r="F67" s="6">
        <f t="shared" si="32"/>
        <v>0</v>
      </c>
      <c r="G67" s="2"/>
      <c r="H67" s="7">
        <v>9681.34</v>
      </c>
      <c r="I67" s="2"/>
      <c r="J67" s="6">
        <f t="shared" si="33"/>
        <v>0</v>
      </c>
      <c r="K67" s="2"/>
      <c r="L67" s="7">
        <f t="shared" si="34"/>
        <v>3866.8799999999992</v>
      </c>
      <c r="M67" s="2"/>
      <c r="N67" s="6">
        <f t="shared" si="35"/>
        <v>0.39941578335230443</v>
      </c>
      <c r="O67" s="11"/>
      <c r="P67" s="7">
        <v>29461.53</v>
      </c>
      <c r="Q67" s="2"/>
      <c r="R67" s="6">
        <f t="shared" si="36"/>
        <v>0</v>
      </c>
      <c r="S67" s="2"/>
      <c r="T67" s="7">
        <v>19553.43</v>
      </c>
      <c r="U67" s="2"/>
      <c r="V67" s="6">
        <f t="shared" si="37"/>
        <v>0</v>
      </c>
      <c r="W67" s="2"/>
      <c r="X67" s="7">
        <f t="shared" si="38"/>
        <v>9908.0999999999985</v>
      </c>
      <c r="Y67" s="2"/>
      <c r="Z67" s="6">
        <f t="shared" si="39"/>
        <v>0.50671928147644674</v>
      </c>
    </row>
    <row r="68" spans="1:26" s="24" customFormat="1" hidden="1" outlineLevel="2" x14ac:dyDescent="0.25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7"/>
      <c r="E68" s="2"/>
      <c r="F68" s="6">
        <f t="shared" si="32"/>
        <v>0</v>
      </c>
      <c r="G68" s="2"/>
      <c r="H68" s="7">
        <v>29.11</v>
      </c>
      <c r="I68" s="2"/>
      <c r="J68" s="6">
        <f t="shared" si="33"/>
        <v>0</v>
      </c>
      <c r="K68" s="2"/>
      <c r="L68" s="7">
        <f t="shared" si="34"/>
        <v>-29.11</v>
      </c>
      <c r="M68" s="2"/>
      <c r="N68" s="6">
        <f t="shared" si="35"/>
        <v>-1</v>
      </c>
      <c r="O68" s="11"/>
      <c r="P68" s="7">
        <v>119.43</v>
      </c>
      <c r="Q68" s="2"/>
      <c r="R68" s="6">
        <f t="shared" si="36"/>
        <v>0</v>
      </c>
      <c r="S68" s="2"/>
      <c r="T68" s="7">
        <v>669.08</v>
      </c>
      <c r="U68" s="2"/>
      <c r="V68" s="6">
        <f t="shared" si="37"/>
        <v>0</v>
      </c>
      <c r="W68" s="2"/>
      <c r="X68" s="7">
        <f t="shared" si="38"/>
        <v>-549.65000000000009</v>
      </c>
      <c r="Y68" s="2"/>
      <c r="Z68" s="6">
        <f t="shared" si="39"/>
        <v>-0.82150116577987697</v>
      </c>
    </row>
    <row r="69" spans="1:26" s="27" customFormat="1" outlineLevel="1" collapsed="1" x14ac:dyDescent="0.25">
      <c r="A69" s="28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SUM(OSRRefD22_14x_0)</f>
        <v>1847.2</v>
      </c>
      <c r="E69" s="1"/>
      <c r="F69" s="5">
        <f t="shared" ref="F69:F71" si="40">IF(D$12=0,0,D69/D$12)</f>
        <v>0</v>
      </c>
      <c r="G69" s="1"/>
      <c r="H69" s="1">
        <f>SUM(OSRRefH22_14x_0)</f>
        <v>805.75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1041.45</v>
      </c>
      <c r="M69" s="1"/>
      <c r="N69" s="5">
        <f t="shared" ref="N69:N71" si="43">IF(H69=0,0,L69/H69)</f>
        <v>1.2925224945702762</v>
      </c>
      <c r="O69" s="14"/>
      <c r="P69" s="1">
        <f>SUM(OSRRefP22_14x_0)</f>
        <v>2869.7400000000002</v>
      </c>
      <c r="Q69" s="1"/>
      <c r="R69" s="5">
        <f t="shared" ref="R69:R71" si="44">IF(P$12=0,0,P69/P$12)</f>
        <v>0</v>
      </c>
      <c r="S69" s="1"/>
      <c r="T69" s="1">
        <f>SUM(OSRRefT22_14x_0)</f>
        <v>1383.2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1486.5400000000002</v>
      </c>
      <c r="Y69" s="1"/>
      <c r="Z69" s="5">
        <f t="shared" ref="Z69:Z71" si="47">IF(T69=0,0,X69/T69)</f>
        <v>1.0747108155002894</v>
      </c>
    </row>
    <row r="70" spans="1:26" s="24" customFormat="1" hidden="1" outlineLevel="2" x14ac:dyDescent="0.25">
      <c r="A70" s="29"/>
      <c r="B70" s="11" t="str">
        <f>CONCATENATE("          ", "6281", " - ", "STORAGE FEE")</f>
        <v xml:space="preserve">          6281 - STORAGE FEE</v>
      </c>
      <c r="C70" s="11"/>
      <c r="D70" s="7">
        <v>1842.78</v>
      </c>
      <c r="E70" s="2"/>
      <c r="F70" s="6">
        <f t="shared" si="40"/>
        <v>0</v>
      </c>
      <c r="G70" s="2"/>
      <c r="H70" s="7">
        <v>791.59</v>
      </c>
      <c r="I70" s="2"/>
      <c r="J70" s="6">
        <f t="shared" si="41"/>
        <v>0</v>
      </c>
      <c r="K70" s="2"/>
      <c r="L70" s="7">
        <f t="shared" si="42"/>
        <v>1051.19</v>
      </c>
      <c r="M70" s="2"/>
      <c r="N70" s="6">
        <f t="shared" si="43"/>
        <v>1.327947548604707</v>
      </c>
      <c r="O70" s="11"/>
      <c r="P70" s="7">
        <v>2856.48</v>
      </c>
      <c r="Q70" s="2"/>
      <c r="R70" s="6">
        <f t="shared" si="44"/>
        <v>0</v>
      </c>
      <c r="S70" s="2"/>
      <c r="T70" s="7">
        <v>1358.42</v>
      </c>
      <c r="U70" s="2"/>
      <c r="V70" s="6">
        <f t="shared" si="45"/>
        <v>0</v>
      </c>
      <c r="W70" s="2"/>
      <c r="X70" s="7">
        <f t="shared" si="46"/>
        <v>1498.06</v>
      </c>
      <c r="Y70" s="2"/>
      <c r="Z70" s="6">
        <f t="shared" si="47"/>
        <v>1.1027958952312245</v>
      </c>
    </row>
    <row r="71" spans="1:26" s="24" customFormat="1" hidden="1" outlineLevel="2" x14ac:dyDescent="0.25">
      <c r="A71" s="29"/>
      <c r="B71" s="11" t="str">
        <f>CONCATENATE("          ", "6286", " - ", "LAUNDRY EXPENSE")</f>
        <v xml:space="preserve">          6286 - LAUNDRY EXPENSE</v>
      </c>
      <c r="C71" s="11"/>
      <c r="D71" s="7">
        <v>4.42</v>
      </c>
      <c r="E71" s="2"/>
      <c r="F71" s="6">
        <f t="shared" si="40"/>
        <v>0</v>
      </c>
      <c r="G71" s="2"/>
      <c r="H71" s="7">
        <v>14.16</v>
      </c>
      <c r="I71" s="2"/>
      <c r="J71" s="6">
        <f t="shared" si="41"/>
        <v>0</v>
      </c>
      <c r="K71" s="2"/>
      <c r="L71" s="7">
        <f t="shared" si="42"/>
        <v>-9.74</v>
      </c>
      <c r="M71" s="2"/>
      <c r="N71" s="6">
        <f t="shared" si="43"/>
        <v>-0.68785310734463279</v>
      </c>
      <c r="O71" s="11"/>
      <c r="P71" s="7">
        <v>13.26</v>
      </c>
      <c r="Q71" s="2"/>
      <c r="R71" s="6">
        <f t="shared" si="44"/>
        <v>0</v>
      </c>
      <c r="S71" s="2"/>
      <c r="T71" s="7">
        <v>24.78</v>
      </c>
      <c r="U71" s="2"/>
      <c r="V71" s="6">
        <f t="shared" si="45"/>
        <v>0</v>
      </c>
      <c r="W71" s="2"/>
      <c r="X71" s="7">
        <f t="shared" si="46"/>
        <v>-11.520000000000001</v>
      </c>
      <c r="Y71" s="2"/>
      <c r="Z71" s="6">
        <f t="shared" si="47"/>
        <v>-0.46489104116222763</v>
      </c>
    </row>
    <row r="72" spans="1:26" s="27" customFormat="1" outlineLevel="1" collapsed="1" x14ac:dyDescent="0.25">
      <c r="A72" s="28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SUM(OSRRefD22_15x_0)</f>
        <v>587</v>
      </c>
      <c r="E72" s="1"/>
      <c r="F72" s="5">
        <f t="shared" ref="F72:F78" si="48">IF(D$12=0,0,D72/D$12)</f>
        <v>0</v>
      </c>
      <c r="G72" s="1"/>
      <c r="H72" s="1">
        <f>SUM(OSRRefH22_15x_0)</f>
        <v>1439</v>
      </c>
      <c r="I72" s="1"/>
      <c r="J72" s="5">
        <f t="shared" ref="J72:J78" si="49">IF(H$12=0,0,H72/H$12)</f>
        <v>0</v>
      </c>
      <c r="K72" s="1"/>
      <c r="L72" s="1">
        <f t="shared" ref="L72:L78" si="50">+D72-H72</f>
        <v>-852</v>
      </c>
      <c r="M72" s="1"/>
      <c r="N72" s="5">
        <f t="shared" ref="N72:N78" si="51">IF(H72=0,0,L72/H72)</f>
        <v>-0.59207783182765805</v>
      </c>
      <c r="O72" s="14"/>
      <c r="P72" s="1">
        <f>SUM(OSRRefP22_15x_0)</f>
        <v>1587</v>
      </c>
      <c r="Q72" s="1"/>
      <c r="R72" s="5">
        <f t="shared" ref="R72:R78" si="52">IF(P$12=0,0,P72/P$12)</f>
        <v>0</v>
      </c>
      <c r="S72" s="1"/>
      <c r="T72" s="1">
        <f>SUM(OSRRefT22_15x_0)</f>
        <v>1439</v>
      </c>
      <c r="U72" s="1"/>
      <c r="V72" s="5">
        <f t="shared" ref="V72:V78" si="53">IF(T$12=0,0,T72/T$12)</f>
        <v>0</v>
      </c>
      <c r="W72" s="1"/>
      <c r="X72" s="1">
        <f t="shared" ref="X72:X78" si="54">+P72-T72</f>
        <v>148</v>
      </c>
      <c r="Y72" s="1"/>
      <c r="Z72" s="5">
        <f t="shared" ref="Z72:Z78" si="55">IF(T72=0,0,X72/T72)</f>
        <v>0.10284920083391244</v>
      </c>
    </row>
    <row r="73" spans="1:26" s="24" customFormat="1" hidden="1" outlineLevel="2" x14ac:dyDescent="0.25">
      <c r="A73" s="29"/>
      <c r="B73" s="11" t="str">
        <f>CONCATENATE("          ", "6258", " - ", "MEMBERSHIP DUES")</f>
        <v xml:space="preserve">          6258 - MEMBERSHIP DUES</v>
      </c>
      <c r="C73" s="11"/>
      <c r="D73" s="7">
        <v>587</v>
      </c>
      <c r="E73" s="2"/>
      <c r="F73" s="6">
        <f t="shared" si="48"/>
        <v>0</v>
      </c>
      <c r="G73" s="2"/>
      <c r="H73" s="7">
        <v>1439</v>
      </c>
      <c r="I73" s="2"/>
      <c r="J73" s="6">
        <f t="shared" si="49"/>
        <v>0</v>
      </c>
      <c r="K73" s="2"/>
      <c r="L73" s="7">
        <f t="shared" si="50"/>
        <v>-852</v>
      </c>
      <c r="M73" s="2"/>
      <c r="N73" s="6">
        <f t="shared" si="51"/>
        <v>-0.59207783182765805</v>
      </c>
      <c r="O73" s="11"/>
      <c r="P73" s="7">
        <v>1587</v>
      </c>
      <c r="Q73" s="2"/>
      <c r="R73" s="6">
        <f t="shared" si="52"/>
        <v>0</v>
      </c>
      <c r="S73" s="2"/>
      <c r="T73" s="7">
        <v>1439</v>
      </c>
      <c r="U73" s="2"/>
      <c r="V73" s="6">
        <f t="shared" si="53"/>
        <v>0</v>
      </c>
      <c r="W73" s="2"/>
      <c r="X73" s="7">
        <f t="shared" si="54"/>
        <v>148</v>
      </c>
      <c r="Y73" s="2"/>
      <c r="Z73" s="6">
        <f t="shared" si="55"/>
        <v>0.10284920083391244</v>
      </c>
    </row>
    <row r="74" spans="1:26" s="27" customFormat="1" outlineLevel="1" collapsed="1" x14ac:dyDescent="0.25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SUM(OSRRefD22_16x_0)</f>
        <v>10131.74</v>
      </c>
      <c r="E74" s="1"/>
      <c r="F74" s="5">
        <f t="shared" si="48"/>
        <v>0</v>
      </c>
      <c r="G74" s="1"/>
      <c r="H74" s="1">
        <f>SUM(OSRRefH22_16x_0)</f>
        <v>8255.7199999999993</v>
      </c>
      <c r="I74" s="1"/>
      <c r="J74" s="5">
        <f t="shared" si="49"/>
        <v>0</v>
      </c>
      <c r="K74" s="1"/>
      <c r="L74" s="1">
        <f t="shared" si="50"/>
        <v>1876.0200000000004</v>
      </c>
      <c r="M74" s="1"/>
      <c r="N74" s="5">
        <f t="shared" si="51"/>
        <v>0.22723881139379734</v>
      </c>
      <c r="O74" s="14"/>
      <c r="P74" s="1">
        <f>SUM(OSRRefP22_16x_0)</f>
        <v>19922.339999999997</v>
      </c>
      <c r="Q74" s="1"/>
      <c r="R74" s="5">
        <f t="shared" si="52"/>
        <v>0</v>
      </c>
      <c r="S74" s="1"/>
      <c r="T74" s="1">
        <f>SUM(OSRRefT22_16x_0)</f>
        <v>9663.82</v>
      </c>
      <c r="U74" s="1"/>
      <c r="V74" s="5">
        <f t="shared" si="53"/>
        <v>0</v>
      </c>
      <c r="W74" s="1"/>
      <c r="X74" s="1">
        <f t="shared" si="54"/>
        <v>10258.519999999997</v>
      </c>
      <c r="Y74" s="1"/>
      <c r="Z74" s="5">
        <f t="shared" si="55"/>
        <v>1.0615388117742257</v>
      </c>
    </row>
    <row r="75" spans="1:26" s="24" customFormat="1" hidden="1" outlineLevel="2" x14ac:dyDescent="0.25">
      <c r="A75" s="29"/>
      <c r="B75" s="11" t="str">
        <f>CONCATENATE("          ", "6234", " - ", "EXPENDABLE SUPPLIES &amp; EQUIPMEN")</f>
        <v xml:space="preserve">          6234 - EXPENDABLE SUPPLIES &amp; EQUIPMEN</v>
      </c>
      <c r="C75" s="11"/>
      <c r="D75" s="7">
        <v>785.75</v>
      </c>
      <c r="E75" s="2"/>
      <c r="F75" s="6">
        <f t="shared" si="48"/>
        <v>0</v>
      </c>
      <c r="G75" s="2"/>
      <c r="H75" s="7">
        <v>1011.47</v>
      </c>
      <c r="I75" s="2"/>
      <c r="J75" s="6">
        <f t="shared" si="49"/>
        <v>0</v>
      </c>
      <c r="K75" s="2"/>
      <c r="L75" s="7">
        <f t="shared" si="50"/>
        <v>-225.72000000000003</v>
      </c>
      <c r="M75" s="2"/>
      <c r="N75" s="6">
        <f t="shared" si="51"/>
        <v>-0.22316035077659249</v>
      </c>
      <c r="O75" s="11"/>
      <c r="P75" s="7">
        <v>559.94000000000005</v>
      </c>
      <c r="Q75" s="2"/>
      <c r="R75" s="6">
        <f t="shared" si="52"/>
        <v>0</v>
      </c>
      <c r="S75" s="2"/>
      <c r="T75" s="7">
        <v>2257.3000000000002</v>
      </c>
      <c r="U75" s="2"/>
      <c r="V75" s="6">
        <f t="shared" si="53"/>
        <v>0</v>
      </c>
      <c r="W75" s="2"/>
      <c r="X75" s="7">
        <f t="shared" si="54"/>
        <v>-1697.3600000000001</v>
      </c>
      <c r="Y75" s="2"/>
      <c r="Z75" s="6">
        <f t="shared" si="55"/>
        <v>-0.75194258627563904</v>
      </c>
    </row>
    <row r="76" spans="1:26" s="24" customFormat="1" hidden="1" outlineLevel="2" x14ac:dyDescent="0.25">
      <c r="A76" s="29"/>
      <c r="B76" s="11" t="str">
        <f>CONCATENATE("          ", "6241", " - ", "OFFICE EXPENSE")</f>
        <v xml:space="preserve">          6241 - OFFICE EXPENSE</v>
      </c>
      <c r="C76" s="11"/>
      <c r="D76" s="7">
        <v>6890.98</v>
      </c>
      <c r="E76" s="2"/>
      <c r="F76" s="6">
        <f t="shared" si="48"/>
        <v>0</v>
      </c>
      <c r="G76" s="2"/>
      <c r="H76" s="7">
        <v>5580.19</v>
      </c>
      <c r="I76" s="2"/>
      <c r="J76" s="6">
        <f t="shared" si="49"/>
        <v>0</v>
      </c>
      <c r="K76" s="2"/>
      <c r="L76" s="7">
        <f t="shared" si="50"/>
        <v>1310.79</v>
      </c>
      <c r="M76" s="2"/>
      <c r="N76" s="6">
        <f t="shared" si="51"/>
        <v>0.23490060374288332</v>
      </c>
      <c r="O76" s="11"/>
      <c r="P76" s="7">
        <v>15824.36</v>
      </c>
      <c r="Q76" s="2"/>
      <c r="R76" s="6">
        <f t="shared" si="52"/>
        <v>0</v>
      </c>
      <c r="S76" s="2"/>
      <c r="T76" s="7">
        <v>5585.2</v>
      </c>
      <c r="U76" s="2"/>
      <c r="V76" s="6">
        <f t="shared" si="53"/>
        <v>0</v>
      </c>
      <c r="W76" s="2"/>
      <c r="X76" s="7">
        <f t="shared" si="54"/>
        <v>10239.16</v>
      </c>
      <c r="Y76" s="2"/>
      <c r="Z76" s="6">
        <f t="shared" si="55"/>
        <v>1.8332664900093103</v>
      </c>
    </row>
    <row r="77" spans="1:26" s="24" customFormat="1" hidden="1" outlineLevel="2" x14ac:dyDescent="0.25">
      <c r="A77" s="29"/>
      <c r="B77" s="11" t="str">
        <f>CONCATENATE("          ", "6244", " - ", "SAFETY SUPPLY EXPENSE")</f>
        <v xml:space="preserve">          6244 - SAFETY SUPPLY EXPENSE</v>
      </c>
      <c r="C77" s="11"/>
      <c r="D77" s="7">
        <v>750</v>
      </c>
      <c r="E77" s="2"/>
      <c r="F77" s="6">
        <f t="shared" si="48"/>
        <v>0</v>
      </c>
      <c r="G77" s="2"/>
      <c r="H77" s="7">
        <v>1279.98</v>
      </c>
      <c r="I77" s="2"/>
      <c r="J77" s="6">
        <f t="shared" si="49"/>
        <v>0</v>
      </c>
      <c r="K77" s="2"/>
      <c r="L77" s="7">
        <f t="shared" si="50"/>
        <v>-529.98</v>
      </c>
      <c r="M77" s="2"/>
      <c r="N77" s="6">
        <f t="shared" si="51"/>
        <v>-0.41405334458350912</v>
      </c>
      <c r="O77" s="11"/>
      <c r="P77" s="7">
        <v>877.92</v>
      </c>
      <c r="Q77" s="2"/>
      <c r="R77" s="6">
        <f t="shared" si="52"/>
        <v>0</v>
      </c>
      <c r="S77" s="2"/>
      <c r="T77" s="7">
        <v>1404.98</v>
      </c>
      <c r="U77" s="2"/>
      <c r="V77" s="6">
        <f t="shared" si="53"/>
        <v>0</v>
      </c>
      <c r="W77" s="2"/>
      <c r="X77" s="7">
        <f t="shared" si="54"/>
        <v>-527.06000000000006</v>
      </c>
      <c r="Y77" s="2"/>
      <c r="Z77" s="6">
        <f t="shared" si="55"/>
        <v>-0.37513701262651428</v>
      </c>
    </row>
    <row r="78" spans="1:26" s="24" customFormat="1" hidden="1" outlineLevel="2" x14ac:dyDescent="0.25">
      <c r="A78" s="29"/>
      <c r="B78" s="11" t="str">
        <f>CONCATENATE("          ", "6245", " - ", "PRINTING")</f>
        <v xml:space="preserve">          6245 - PRINTING</v>
      </c>
      <c r="C78" s="11"/>
      <c r="D78" s="7">
        <v>1705.01</v>
      </c>
      <c r="E78" s="2"/>
      <c r="F78" s="6">
        <f t="shared" si="48"/>
        <v>0</v>
      </c>
      <c r="G78" s="2"/>
      <c r="H78" s="7">
        <v>384.08</v>
      </c>
      <c r="I78" s="2"/>
      <c r="J78" s="6">
        <f t="shared" si="49"/>
        <v>0</v>
      </c>
      <c r="K78" s="2"/>
      <c r="L78" s="7">
        <f t="shared" si="50"/>
        <v>1320.93</v>
      </c>
      <c r="M78" s="2"/>
      <c r="N78" s="6">
        <f t="shared" si="51"/>
        <v>3.439205373880442</v>
      </c>
      <c r="O78" s="11"/>
      <c r="P78" s="7">
        <v>2660.12</v>
      </c>
      <c r="Q78" s="2"/>
      <c r="R78" s="6">
        <f t="shared" si="52"/>
        <v>0</v>
      </c>
      <c r="S78" s="2"/>
      <c r="T78" s="7">
        <v>416.34</v>
      </c>
      <c r="U78" s="2"/>
      <c r="V78" s="6">
        <f t="shared" si="53"/>
        <v>0</v>
      </c>
      <c r="W78" s="2"/>
      <c r="X78" s="7">
        <f t="shared" si="54"/>
        <v>2243.7799999999997</v>
      </c>
      <c r="Y78" s="2"/>
      <c r="Z78" s="6">
        <f t="shared" si="55"/>
        <v>5.3892972090118647</v>
      </c>
    </row>
    <row r="79" spans="1:26" s="27" customFormat="1" outlineLevel="1" collapsed="1" x14ac:dyDescent="0.25">
      <c r="A79" s="28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SUM(OSRRefD22_17x_0)</f>
        <v>2128.12</v>
      </c>
      <c r="E79" s="1"/>
      <c r="F79" s="5">
        <f t="shared" ref="F79:F81" si="56">IF(D$12=0,0,D79/D$12)</f>
        <v>0</v>
      </c>
      <c r="G79" s="1"/>
      <c r="H79" s="1">
        <f>SUM(OSRRefH22_17x_0)</f>
        <v>2226.79</v>
      </c>
      <c r="I79" s="1"/>
      <c r="J79" s="5">
        <f t="shared" ref="J79:J81" si="57">IF(H$12=0,0,H79/H$12)</f>
        <v>0</v>
      </c>
      <c r="K79" s="1"/>
      <c r="L79" s="1">
        <f t="shared" ref="L79:L81" si="58">+D79-H79</f>
        <v>-98.670000000000073</v>
      </c>
      <c r="M79" s="1"/>
      <c r="N79" s="5">
        <f t="shared" ref="N79:N81" si="59">IF(H79=0,0,L79/H79)</f>
        <v>-4.4310419931830158E-2</v>
      </c>
      <c r="O79" s="14"/>
      <c r="P79" s="1">
        <f>SUM(OSRRefP22_17x_0)</f>
        <v>7043.04</v>
      </c>
      <c r="Q79" s="1"/>
      <c r="R79" s="5">
        <f t="shared" ref="R79:R81" si="60">IF(P$12=0,0,P79/P$12)</f>
        <v>0</v>
      </c>
      <c r="S79" s="1"/>
      <c r="T79" s="1">
        <f>SUM(OSRRefT22_17x_0)</f>
        <v>3368.36</v>
      </c>
      <c r="U79" s="1"/>
      <c r="V79" s="5">
        <f t="shared" ref="V79:V81" si="61">IF(T$12=0,0,T79/T$12)</f>
        <v>0</v>
      </c>
      <c r="W79" s="1"/>
      <c r="X79" s="1">
        <f t="shared" ref="X79:X81" si="62">+P79-T79</f>
        <v>3674.68</v>
      </c>
      <c r="Y79" s="1"/>
      <c r="Z79" s="5">
        <f t="shared" ref="Z79:Z81" si="63">IF(T79=0,0,X79/T79)</f>
        <v>1.090940398294719</v>
      </c>
    </row>
    <row r="80" spans="1:26" s="24" customFormat="1" hidden="1" outlineLevel="2" x14ac:dyDescent="0.25">
      <c r="A80" s="29"/>
      <c r="B80" s="11" t="str">
        <f>CONCATENATE("          ", "6303", " - ", "DATA PHONE LINES")</f>
        <v xml:space="preserve">          6303 - DATA PHONE LINES</v>
      </c>
      <c r="C80" s="11"/>
      <c r="D80" s="7">
        <v>195.54</v>
      </c>
      <c r="E80" s="2"/>
      <c r="F80" s="6">
        <f t="shared" si="56"/>
        <v>0</v>
      </c>
      <c r="G80" s="2"/>
      <c r="H80" s="7">
        <v>173.93</v>
      </c>
      <c r="I80" s="2"/>
      <c r="J80" s="6">
        <f t="shared" si="57"/>
        <v>0</v>
      </c>
      <c r="K80" s="2"/>
      <c r="L80" s="7">
        <f t="shared" si="58"/>
        <v>21.609999999999985</v>
      </c>
      <c r="M80" s="2"/>
      <c r="N80" s="6">
        <f t="shared" si="59"/>
        <v>0.12424538607485761</v>
      </c>
      <c r="O80" s="11"/>
      <c r="P80" s="7">
        <v>391.07</v>
      </c>
      <c r="Q80" s="2"/>
      <c r="R80" s="6">
        <f t="shared" si="60"/>
        <v>0</v>
      </c>
      <c r="S80" s="2"/>
      <c r="T80" s="7">
        <v>347.86</v>
      </c>
      <c r="U80" s="2"/>
      <c r="V80" s="6">
        <f t="shared" si="61"/>
        <v>0</v>
      </c>
      <c r="W80" s="2"/>
      <c r="X80" s="7">
        <f t="shared" si="62"/>
        <v>43.20999999999998</v>
      </c>
      <c r="Y80" s="2"/>
      <c r="Z80" s="6">
        <f t="shared" si="63"/>
        <v>0.12421663887770935</v>
      </c>
    </row>
    <row r="81" spans="1:26" s="24" customFormat="1" hidden="1" outlineLevel="2" x14ac:dyDescent="0.25">
      <c r="A81" s="29"/>
      <c r="B81" s="11" t="str">
        <f>CONCATENATE("          ", "6309", " - ", "TELEPHONE")</f>
        <v xml:space="preserve">          6309 - TELEPHONE</v>
      </c>
      <c r="C81" s="11"/>
      <c r="D81" s="7">
        <v>1932.58</v>
      </c>
      <c r="E81" s="2"/>
      <c r="F81" s="6">
        <f t="shared" si="56"/>
        <v>0</v>
      </c>
      <c r="G81" s="2"/>
      <c r="H81" s="7">
        <v>2052.86</v>
      </c>
      <c r="I81" s="2"/>
      <c r="J81" s="6">
        <f t="shared" si="57"/>
        <v>0</v>
      </c>
      <c r="K81" s="2"/>
      <c r="L81" s="7">
        <f t="shared" si="58"/>
        <v>-120.2800000000002</v>
      </c>
      <c r="M81" s="2"/>
      <c r="N81" s="6">
        <f t="shared" si="59"/>
        <v>-5.8591428543592936E-2</v>
      </c>
      <c r="O81" s="11"/>
      <c r="P81" s="7">
        <v>6651.97</v>
      </c>
      <c r="Q81" s="2"/>
      <c r="R81" s="6">
        <f t="shared" si="60"/>
        <v>0</v>
      </c>
      <c r="S81" s="2"/>
      <c r="T81" s="7">
        <v>3020.5</v>
      </c>
      <c r="U81" s="2"/>
      <c r="V81" s="6">
        <f t="shared" si="61"/>
        <v>0</v>
      </c>
      <c r="W81" s="2"/>
      <c r="X81" s="7">
        <f t="shared" si="62"/>
        <v>3631.4700000000003</v>
      </c>
      <c r="Y81" s="2"/>
      <c r="Z81" s="6">
        <f t="shared" si="63"/>
        <v>1.2022744578712135</v>
      </c>
    </row>
    <row r="82" spans="1:26" s="27" customFormat="1" outlineLevel="1" collapsed="1" x14ac:dyDescent="0.25">
      <c r="A82" s="28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SUM(OSRRefD22_18x_0)</f>
        <v>4252.3599999999997</v>
      </c>
      <c r="E82" s="1"/>
      <c r="F82" s="5">
        <f t="shared" ref="F82:F86" si="64">IF(D$12=0,0,D82/D$12)</f>
        <v>0</v>
      </c>
      <c r="G82" s="1"/>
      <c r="H82" s="1">
        <f>SUM(OSRRefH22_18x_0)</f>
        <v>6292.56</v>
      </c>
      <c r="I82" s="1"/>
      <c r="J82" s="5">
        <f t="shared" ref="J82:J86" si="65">IF(H$12=0,0,H82/H$12)</f>
        <v>0</v>
      </c>
      <c r="K82" s="1"/>
      <c r="L82" s="1">
        <f t="shared" ref="L82:L86" si="66">+D82-H82</f>
        <v>-2040.2000000000007</v>
      </c>
      <c r="M82" s="1"/>
      <c r="N82" s="5">
        <f t="shared" ref="N82:N86" si="67">IF(H82=0,0,L82/H82)</f>
        <v>-0.32422416313869085</v>
      </c>
      <c r="O82" s="14"/>
      <c r="P82" s="1">
        <f>SUM(OSRRefP22_18x_0)</f>
        <v>4998.9799999999996</v>
      </c>
      <c r="Q82" s="1"/>
      <c r="R82" s="5">
        <f t="shared" ref="R82:R86" si="68">IF(P$12=0,0,P82/P$12)</f>
        <v>0</v>
      </c>
      <c r="S82" s="1"/>
      <c r="T82" s="1">
        <f>SUM(OSRRefT22_18x_0)</f>
        <v>15394.289999999999</v>
      </c>
      <c r="U82" s="1"/>
      <c r="V82" s="5">
        <f t="shared" ref="V82:V86" si="69">IF(T$12=0,0,T82/T$12)</f>
        <v>0</v>
      </c>
      <c r="W82" s="1"/>
      <c r="X82" s="1">
        <f t="shared" ref="X82:X86" si="70">+P82-T82</f>
        <v>-10395.31</v>
      </c>
      <c r="Y82" s="1"/>
      <c r="Z82" s="5">
        <f t="shared" ref="Z82:Z86" si="71">IF(T82=0,0,X82/T82)</f>
        <v>-0.67527050614221251</v>
      </c>
    </row>
    <row r="83" spans="1:26" s="24" customFormat="1" hidden="1" outlineLevel="2" x14ac:dyDescent="0.25">
      <c r="A83" s="29"/>
      <c r="B83" s="11" t="str">
        <f>CONCATENATE("          ", "6376", " - ", "TRAINING")</f>
        <v xml:space="preserve">          6376 - TRAINING</v>
      </c>
      <c r="C83" s="11"/>
      <c r="D83" s="7">
        <v>4252.3599999999997</v>
      </c>
      <c r="E83" s="2"/>
      <c r="F83" s="6">
        <f t="shared" si="64"/>
        <v>0</v>
      </c>
      <c r="G83" s="2"/>
      <c r="H83" s="7">
        <v>6292.56</v>
      </c>
      <c r="I83" s="2"/>
      <c r="J83" s="6">
        <f t="shared" si="65"/>
        <v>0</v>
      </c>
      <c r="K83" s="2"/>
      <c r="L83" s="7">
        <f t="shared" si="66"/>
        <v>-2040.2000000000007</v>
      </c>
      <c r="M83" s="2"/>
      <c r="N83" s="6">
        <f t="shared" si="67"/>
        <v>-0.32422416313869085</v>
      </c>
      <c r="O83" s="11"/>
      <c r="P83" s="7">
        <v>4998.9799999999996</v>
      </c>
      <c r="Q83" s="2"/>
      <c r="R83" s="6">
        <f t="shared" si="68"/>
        <v>0</v>
      </c>
      <c r="S83" s="2"/>
      <c r="T83" s="7">
        <v>15394.289999999999</v>
      </c>
      <c r="U83" s="2"/>
      <c r="V83" s="6">
        <f t="shared" si="69"/>
        <v>0</v>
      </c>
      <c r="W83" s="2"/>
      <c r="X83" s="7">
        <f t="shared" si="70"/>
        <v>-10395.31</v>
      </c>
      <c r="Y83" s="2"/>
      <c r="Z83" s="6">
        <f t="shared" si="71"/>
        <v>-0.67527050614221251</v>
      </c>
    </row>
    <row r="84" spans="1:26" s="27" customFormat="1" outlineLevel="1" collapsed="1" x14ac:dyDescent="0.25">
      <c r="A84" s="28"/>
      <c r="B84" s="14" t="str">
        <f>CONCATENATE("     ","Travel                                            ")</f>
        <v xml:space="preserve">     Travel                                            </v>
      </c>
      <c r="C84" s="14"/>
      <c r="D84" s="1">
        <f>SUM(OSRRefD22_19x_0)</f>
        <v>3744.42</v>
      </c>
      <c r="E84" s="1"/>
      <c r="F84" s="5">
        <f t="shared" si="64"/>
        <v>0</v>
      </c>
      <c r="G84" s="1"/>
      <c r="H84" s="1">
        <f>SUM(OSRRefH22_19x_0)</f>
        <v>2198.79</v>
      </c>
      <c r="I84" s="1"/>
      <c r="J84" s="5">
        <f t="shared" si="65"/>
        <v>0</v>
      </c>
      <c r="K84" s="1"/>
      <c r="L84" s="1">
        <f t="shared" si="66"/>
        <v>1545.63</v>
      </c>
      <c r="M84" s="1"/>
      <c r="N84" s="5">
        <f t="shared" si="67"/>
        <v>0.70294571105016856</v>
      </c>
      <c r="O84" s="14"/>
      <c r="P84" s="1">
        <f>SUM(OSRRefP22_19x_0)</f>
        <v>4313.42</v>
      </c>
      <c r="Q84" s="1"/>
      <c r="R84" s="5">
        <f t="shared" si="68"/>
        <v>0</v>
      </c>
      <c r="S84" s="1"/>
      <c r="T84" s="1">
        <f>SUM(OSRRefT22_19x_0)</f>
        <v>3422.26</v>
      </c>
      <c r="U84" s="1"/>
      <c r="V84" s="5">
        <f t="shared" si="69"/>
        <v>0</v>
      </c>
      <c r="W84" s="1"/>
      <c r="X84" s="1">
        <f t="shared" si="70"/>
        <v>891.15999999999985</v>
      </c>
      <c r="Y84" s="1"/>
      <c r="Z84" s="5">
        <f t="shared" si="71"/>
        <v>0.26040102154716466</v>
      </c>
    </row>
    <row r="85" spans="1:26" s="24" customFormat="1" hidden="1" outlineLevel="2" x14ac:dyDescent="0.25">
      <c r="A85" s="29"/>
      <c r="B85" s="11" t="str">
        <f>CONCATENATE("          ", "6292", " - ", "TRAVEL/CONFERENCE")</f>
        <v xml:space="preserve">          6292 - TRAVEL/CONFERENCE</v>
      </c>
      <c r="C85" s="11"/>
      <c r="D85" s="7">
        <v>3720.52</v>
      </c>
      <c r="E85" s="2"/>
      <c r="F85" s="6">
        <f t="shared" si="64"/>
        <v>0</v>
      </c>
      <c r="G85" s="2"/>
      <c r="H85" s="7">
        <v>2198.79</v>
      </c>
      <c r="I85" s="2"/>
      <c r="J85" s="6">
        <f t="shared" si="65"/>
        <v>0</v>
      </c>
      <c r="K85" s="2"/>
      <c r="L85" s="7">
        <f t="shared" si="66"/>
        <v>1521.73</v>
      </c>
      <c r="M85" s="2"/>
      <c r="N85" s="6">
        <f t="shared" si="67"/>
        <v>0.69207609639847367</v>
      </c>
      <c r="O85" s="11"/>
      <c r="P85" s="7">
        <v>4289.5200000000004</v>
      </c>
      <c r="Q85" s="2"/>
      <c r="R85" s="6">
        <f t="shared" si="68"/>
        <v>0</v>
      </c>
      <c r="S85" s="2"/>
      <c r="T85" s="7">
        <v>3398.5</v>
      </c>
      <c r="U85" s="2"/>
      <c r="V85" s="6">
        <f t="shared" si="69"/>
        <v>0</v>
      </c>
      <c r="W85" s="2"/>
      <c r="X85" s="7">
        <f t="shared" si="70"/>
        <v>891.02000000000044</v>
      </c>
      <c r="Y85" s="2"/>
      <c r="Z85" s="6">
        <f t="shared" si="71"/>
        <v>0.26218037369427699</v>
      </c>
    </row>
    <row r="86" spans="1:26" s="24" customFormat="1" hidden="1" outlineLevel="2" x14ac:dyDescent="0.25">
      <c r="A86" s="29"/>
      <c r="B86" s="11" t="str">
        <f>CONCATENATE("          ", "6294", " - ", "TRAVEL OPERATIONAL")</f>
        <v xml:space="preserve">          6294 - TRAVEL OPERATIONAL</v>
      </c>
      <c r="C86" s="11"/>
      <c r="D86" s="7">
        <v>23.9</v>
      </c>
      <c r="E86" s="2"/>
      <c r="F86" s="6">
        <f t="shared" si="64"/>
        <v>0</v>
      </c>
      <c r="G86" s="2"/>
      <c r="H86" s="7"/>
      <c r="I86" s="2"/>
      <c r="J86" s="6">
        <f t="shared" si="65"/>
        <v>0</v>
      </c>
      <c r="K86" s="2"/>
      <c r="L86" s="7">
        <f t="shared" si="66"/>
        <v>23.9</v>
      </c>
      <c r="M86" s="2"/>
      <c r="N86" s="6">
        <f t="shared" si="67"/>
        <v>0</v>
      </c>
      <c r="O86" s="11"/>
      <c r="P86" s="7">
        <v>23.9</v>
      </c>
      <c r="Q86" s="2"/>
      <c r="R86" s="6">
        <f t="shared" si="68"/>
        <v>0</v>
      </c>
      <c r="S86" s="2"/>
      <c r="T86" s="7">
        <v>23.76</v>
      </c>
      <c r="U86" s="2"/>
      <c r="V86" s="6">
        <f t="shared" si="69"/>
        <v>0</v>
      </c>
      <c r="W86" s="2"/>
      <c r="X86" s="7">
        <f t="shared" si="70"/>
        <v>0.13999999999999702</v>
      </c>
      <c r="Y86" s="2"/>
      <c r="Z86" s="6">
        <f t="shared" si="71"/>
        <v>5.8922558922557666E-3</v>
      </c>
    </row>
    <row r="87" spans="1:26" s="62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5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6" t="s">
        <v>3</v>
      </c>
      <c r="C90" s="26"/>
      <c r="D90" s="20">
        <f>+D16-D18+D88</f>
        <v>-400497.58999999985</v>
      </c>
      <c r="E90" s="13"/>
      <c r="F90" s="19">
        <f>IF(D$12=0,0,D90/D$12)</f>
        <v>0</v>
      </c>
      <c r="G90" s="13"/>
      <c r="H90" s="20">
        <f>+H16-H18+H88</f>
        <v>-270679.10999999993</v>
      </c>
      <c r="I90" s="13"/>
      <c r="J90" s="19">
        <f>IF(H$12=0,0,H90/H$12)</f>
        <v>0</v>
      </c>
      <c r="K90" s="15"/>
      <c r="L90" s="20">
        <f>+D90-H90</f>
        <v>-129818.47999999992</v>
      </c>
      <c r="M90" s="15"/>
      <c r="N90" s="19">
        <f>IF(H90=0,0,L90/H90)</f>
        <v>0.47960287737018181</v>
      </c>
      <c r="O90" s="25"/>
      <c r="P90" s="20">
        <f>+P16-P18+P88</f>
        <v>-713828.85999999975</v>
      </c>
      <c r="Q90" s="13"/>
      <c r="R90" s="19">
        <f>IF(P$12=0,0,P90/P$12)</f>
        <v>0</v>
      </c>
      <c r="S90" s="13"/>
      <c r="T90" s="20">
        <f>+T16-T18+T88</f>
        <v>-612446.29</v>
      </c>
      <c r="U90" s="13"/>
      <c r="V90" s="19">
        <f>IF(T$12=0,0,T90/T$12)</f>
        <v>0</v>
      </c>
      <c r="W90" s="15"/>
      <c r="X90" s="20">
        <f>+P90-T90</f>
        <v>-101382.56999999972</v>
      </c>
      <c r="Y90" s="15"/>
      <c r="Z90" s="19">
        <f>IF(T90=0,0,X90/T90)</f>
        <v>0.16553707917799568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1"/>
      <c r="B92" s="10" t="s">
        <v>13</v>
      </c>
      <c r="C92" s="10"/>
      <c r="D92" s="4"/>
      <c r="E92" s="4"/>
      <c r="F92" s="12">
        <f>IF(D$12=0,0,D92/D$12)</f>
        <v>0</v>
      </c>
      <c r="G92" s="4"/>
      <c r="H92" s="4"/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/>
      <c r="Q92" s="4"/>
      <c r="R92" s="12">
        <f>IF(P$12=0,0,P92/P$12)</f>
        <v>0</v>
      </c>
      <c r="S92" s="4"/>
      <c r="T92" s="4"/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6" t="s">
        <v>4</v>
      </c>
      <c r="C94" s="26"/>
      <c r="D94" s="31">
        <f>+D90-D92</f>
        <v>-400497.58999999985</v>
      </c>
      <c r="E94" s="13"/>
      <c r="F94" s="36">
        <f>IF(D$12=0,0,D94/D$12)</f>
        <v>0</v>
      </c>
      <c r="G94" s="13"/>
      <c r="H94" s="31">
        <f>+H90-H92</f>
        <v>-270679.10999999993</v>
      </c>
      <c r="I94" s="13"/>
      <c r="J94" s="36">
        <f>IF(H$12=0,0,H94/H$12)</f>
        <v>0</v>
      </c>
      <c r="K94" s="15"/>
      <c r="L94" s="31">
        <f>D94-H94</f>
        <v>-129818.47999999992</v>
      </c>
      <c r="M94" s="15"/>
      <c r="N94" s="36">
        <f>IF(H94=0,0,L94/H94)</f>
        <v>0.47960287737018181</v>
      </c>
      <c r="O94" s="25"/>
      <c r="P94" s="31">
        <f>+P90-P92</f>
        <v>-713828.85999999975</v>
      </c>
      <c r="Q94" s="13"/>
      <c r="R94" s="36">
        <f>IF(P$12=0,0,P94/P$12)</f>
        <v>0</v>
      </c>
      <c r="S94" s="13"/>
      <c r="T94" s="31">
        <f>+T90-T92</f>
        <v>-612446.29</v>
      </c>
      <c r="U94" s="13"/>
      <c r="V94" s="36">
        <f>IF(T$12=0,0,T94/T$12)</f>
        <v>0</v>
      </c>
      <c r="W94" s="15"/>
      <c r="X94" s="31">
        <f>P94-T94</f>
        <v>-101382.56999999972</v>
      </c>
      <c r="Y94" s="15"/>
      <c r="Z94" s="36">
        <f>IF(T94=0,0,X94/T94)</f>
        <v>0.16553707917799568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6" t="s">
        <v>5</v>
      </c>
      <c r="C97" s="26"/>
      <c r="D97" s="32">
        <f>SUM(D94:D96)</f>
        <v>-400497.58999999985</v>
      </c>
      <c r="E97" s="13"/>
      <c r="F97" s="30">
        <f>IF(D$12=0,0,D97/D$12)</f>
        <v>0</v>
      </c>
      <c r="G97" s="13"/>
      <c r="H97" s="32">
        <f>SUM(H94:H96)</f>
        <v>-270679.10999999993</v>
      </c>
      <c r="I97" s="13"/>
      <c r="J97" s="30">
        <f>IF(H$12=0,0,H97/H$12)</f>
        <v>0</v>
      </c>
      <c r="K97" s="15"/>
      <c r="L97" s="32">
        <f>+D97-H97</f>
        <v>-129818.47999999992</v>
      </c>
      <c r="M97" s="15"/>
      <c r="N97" s="30">
        <f>IF(H97=0,0,L97/H97)</f>
        <v>0.47960287737018181</v>
      </c>
      <c r="O97" s="25"/>
      <c r="P97" s="32">
        <f>SUM(P94:P96)</f>
        <v>-713828.85999999975</v>
      </c>
      <c r="Q97" s="13"/>
      <c r="R97" s="30">
        <f>IF(P$12=0,0,P97/P$12)</f>
        <v>0</v>
      </c>
      <c r="S97" s="13"/>
      <c r="T97" s="32">
        <f>SUM(T94:T96)</f>
        <v>-612446.29</v>
      </c>
      <c r="U97" s="13"/>
      <c r="V97" s="30">
        <f>IF(T$12=0,0,T97/T$12)</f>
        <v>0</v>
      </c>
      <c r="W97" s="15"/>
      <c r="X97" s="32">
        <f>+P97-T97</f>
        <v>-101382.56999999972</v>
      </c>
      <c r="Y97" s="15"/>
      <c r="Z97" s="30">
        <f>IF(T97=0,0,X97/T97)</f>
        <v>0.16553707917799568</v>
      </c>
    </row>
    <row r="98" spans="1:26" ht="15.75" thickTop="1" x14ac:dyDescent="0.25">
      <c r="A98" s="9"/>
      <c r="C98" s="9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6" x14ac:dyDescent="0.25">
      <c r="A99" s="9"/>
      <c r="B99" s="57">
        <v>43732.709070486111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60" t="s">
        <v>313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6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","200", " - ", "Corporate Expense")</f>
        <v>Department 200 - Corporate Expense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45545.19</v>
      </c>
      <c r="E18" s="22"/>
      <c r="F18" s="33">
        <f t="shared" ref="F18:F26" si="0">IF(D$12=0,0,D18/D$12)</f>
        <v>0</v>
      </c>
      <c r="G18" s="22"/>
      <c r="H18" s="22">
        <f>SUM(OSRRefH22x_0)</f>
        <v>40558.89</v>
      </c>
      <c r="I18" s="22"/>
      <c r="J18" s="33">
        <f t="shared" ref="J18:J26" si="1">IF(H$12=0,0,H18/H$12)</f>
        <v>0</v>
      </c>
      <c r="K18" s="4"/>
      <c r="L18" s="22">
        <f t="shared" ref="L18:L26" si="2">+D18-H18</f>
        <v>4986.3000000000029</v>
      </c>
      <c r="M18" s="4"/>
      <c r="N18" s="33">
        <f t="shared" ref="N18:N26" si="3">IF(H18=0,0,L18/H18)</f>
        <v>0.12293975500808832</v>
      </c>
      <c r="O18" s="10"/>
      <c r="P18" s="22">
        <f>SUM(OSRRefP22x_0)</f>
        <v>77667.860000000015</v>
      </c>
      <c r="Q18" s="22"/>
      <c r="R18" s="33">
        <f t="shared" ref="R18:R26" si="4">IF(P$12=0,0,P18/P$12)</f>
        <v>0</v>
      </c>
      <c r="S18" s="22"/>
      <c r="T18" s="22">
        <f>SUM(OSRRefT22x_0)</f>
        <v>87591.23</v>
      </c>
      <c r="U18" s="22"/>
      <c r="V18" s="33">
        <f t="shared" ref="V18:V26" si="5">IF(T$12=0,0,T18/T$12)</f>
        <v>0</v>
      </c>
      <c r="W18" s="4"/>
      <c r="X18" s="22">
        <f t="shared" ref="X18:X26" si="6">+P18-T18</f>
        <v>-9923.3699999999808</v>
      </c>
      <c r="Y18" s="4"/>
      <c r="Z18" s="33">
        <f t="shared" ref="Z18:Z26" si="7">IF(T18=0,0,X18/T18)</f>
        <v>-0.11329182156706763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28957.26</v>
      </c>
      <c r="E19" s="1"/>
      <c r="F19" s="5">
        <f t="shared" si="0"/>
        <v>0</v>
      </c>
      <c r="G19" s="1"/>
      <c r="H19" s="1">
        <f>SUM(OSRRefH22_0x_0)</f>
        <v>35728.339999999997</v>
      </c>
      <c r="I19" s="1"/>
      <c r="J19" s="5">
        <f t="shared" si="1"/>
        <v>0</v>
      </c>
      <c r="K19" s="1"/>
      <c r="L19" s="1">
        <f t="shared" si="2"/>
        <v>-6771.0799999999981</v>
      </c>
      <c r="M19" s="1"/>
      <c r="N19" s="5">
        <f t="shared" si="3"/>
        <v>-0.18951566179676971</v>
      </c>
      <c r="O19" s="14"/>
      <c r="P19" s="1">
        <f>SUM(OSRRefP22_0x_0)</f>
        <v>57828.140000000007</v>
      </c>
      <c r="Q19" s="1"/>
      <c r="R19" s="5">
        <f t="shared" si="4"/>
        <v>0</v>
      </c>
      <c r="S19" s="1"/>
      <c r="T19" s="1">
        <f>SUM(OSRRefT22_0x_0)</f>
        <v>68325.69</v>
      </c>
      <c r="U19" s="1"/>
      <c r="V19" s="5">
        <f t="shared" si="5"/>
        <v>0</v>
      </c>
      <c r="W19" s="1"/>
      <c r="X19" s="1">
        <f t="shared" si="6"/>
        <v>-10497.549999999996</v>
      </c>
      <c r="Y19" s="1"/>
      <c r="Z19" s="5">
        <f t="shared" si="7"/>
        <v>-0.15363986810817418</v>
      </c>
    </row>
    <row r="20" spans="1:26" s="24" customFormat="1" hidden="1" outlineLevel="2" x14ac:dyDescent="0.25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7">
        <v>28957.26</v>
      </c>
      <c r="E20" s="2"/>
      <c r="F20" s="6">
        <f t="shared" si="0"/>
        <v>0</v>
      </c>
      <c r="G20" s="2"/>
      <c r="H20" s="7">
        <v>35728.339999999997</v>
      </c>
      <c r="I20" s="2"/>
      <c r="J20" s="6">
        <f t="shared" si="1"/>
        <v>0</v>
      </c>
      <c r="K20" s="2"/>
      <c r="L20" s="7">
        <f t="shared" si="2"/>
        <v>-6771.0799999999981</v>
      </c>
      <c r="M20" s="2"/>
      <c r="N20" s="6">
        <f t="shared" si="3"/>
        <v>-0.18951566179676971</v>
      </c>
      <c r="O20" s="11"/>
      <c r="P20" s="7">
        <v>57828.140000000007</v>
      </c>
      <c r="Q20" s="2"/>
      <c r="R20" s="6">
        <f t="shared" si="4"/>
        <v>0</v>
      </c>
      <c r="S20" s="2"/>
      <c r="T20" s="7">
        <v>68325.69</v>
      </c>
      <c r="U20" s="2"/>
      <c r="V20" s="6">
        <f t="shared" si="5"/>
        <v>0</v>
      </c>
      <c r="W20" s="2"/>
      <c r="X20" s="7">
        <f t="shared" si="6"/>
        <v>-10497.549999999996</v>
      </c>
      <c r="Y20" s="2"/>
      <c r="Z20" s="6">
        <f t="shared" si="7"/>
        <v>-0.15363986810817418</v>
      </c>
    </row>
    <row r="21" spans="1:26" s="27" customFormat="1" outlineLevel="1" collapsed="1" x14ac:dyDescent="0.25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2611.65</v>
      </c>
      <c r="E21" s="1"/>
      <c r="F21" s="5">
        <f t="shared" si="0"/>
        <v>0</v>
      </c>
      <c r="G21" s="1"/>
      <c r="H21" s="1">
        <f>SUM(OSRRefH22_1x_0)</f>
        <v>2210.6799999999998</v>
      </c>
      <c r="I21" s="1"/>
      <c r="J21" s="5">
        <f t="shared" si="1"/>
        <v>0</v>
      </c>
      <c r="K21" s="1"/>
      <c r="L21" s="1">
        <f t="shared" si="2"/>
        <v>400.97000000000025</v>
      </c>
      <c r="M21" s="1"/>
      <c r="N21" s="5">
        <f t="shared" si="3"/>
        <v>0.1813785803463189</v>
      </c>
      <c r="O21" s="14"/>
      <c r="P21" s="1">
        <f>SUM(OSRRefP22_1x_0)</f>
        <v>3438.04</v>
      </c>
      <c r="Q21" s="1"/>
      <c r="R21" s="5">
        <f t="shared" si="4"/>
        <v>0</v>
      </c>
      <c r="S21" s="1"/>
      <c r="T21" s="1">
        <f>SUM(OSRRefT22_1x_0)</f>
        <v>3024.42</v>
      </c>
      <c r="U21" s="1"/>
      <c r="V21" s="5">
        <f t="shared" si="5"/>
        <v>0</v>
      </c>
      <c r="W21" s="1"/>
      <c r="X21" s="1">
        <f t="shared" si="6"/>
        <v>413.61999999999989</v>
      </c>
      <c r="Y21" s="1"/>
      <c r="Z21" s="5">
        <f t="shared" si="7"/>
        <v>0.13676010606992411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7">
        <v>2611.65</v>
      </c>
      <c r="E22" s="2"/>
      <c r="F22" s="6">
        <f t="shared" si="0"/>
        <v>0</v>
      </c>
      <c r="G22" s="2"/>
      <c r="H22" s="7">
        <v>2210.6799999999998</v>
      </c>
      <c r="I22" s="2"/>
      <c r="J22" s="6">
        <f t="shared" si="1"/>
        <v>0</v>
      </c>
      <c r="K22" s="2"/>
      <c r="L22" s="7">
        <f t="shared" si="2"/>
        <v>400.97000000000025</v>
      </c>
      <c r="M22" s="2"/>
      <c r="N22" s="6">
        <f t="shared" si="3"/>
        <v>0.1813785803463189</v>
      </c>
      <c r="O22" s="11"/>
      <c r="P22" s="7">
        <v>3438.04</v>
      </c>
      <c r="Q22" s="2"/>
      <c r="R22" s="6">
        <f t="shared" si="4"/>
        <v>0</v>
      </c>
      <c r="S22" s="2"/>
      <c r="T22" s="7">
        <v>3024.42</v>
      </c>
      <c r="U22" s="2"/>
      <c r="V22" s="6">
        <f t="shared" si="5"/>
        <v>0</v>
      </c>
      <c r="W22" s="2"/>
      <c r="X22" s="7">
        <f t="shared" si="6"/>
        <v>413.61999999999989</v>
      </c>
      <c r="Y22" s="2"/>
      <c r="Z22" s="6">
        <f t="shared" si="7"/>
        <v>0.13676010606992411</v>
      </c>
    </row>
    <row r="23" spans="1:26" s="27" customFormat="1" outlineLevel="1" collapsed="1" x14ac:dyDescent="0.25">
      <c r="A23" s="28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2489.2800000000002</v>
      </c>
      <c r="E23" s="1"/>
      <c r="F23" s="5">
        <f t="shared" si="0"/>
        <v>0</v>
      </c>
      <c r="G23" s="1"/>
      <c r="H23" s="1">
        <f>SUM(OSRRefH22_2x_0)</f>
        <v>2619.87</v>
      </c>
      <c r="I23" s="1"/>
      <c r="J23" s="5">
        <f t="shared" si="1"/>
        <v>0</v>
      </c>
      <c r="K23" s="1"/>
      <c r="L23" s="1">
        <f t="shared" si="2"/>
        <v>-130.58999999999969</v>
      </c>
      <c r="M23" s="1"/>
      <c r="N23" s="5">
        <f t="shared" si="3"/>
        <v>-4.9845984724432774E-2</v>
      </c>
      <c r="O23" s="14"/>
      <c r="P23" s="1">
        <f>SUM(OSRRefP22_2x_0)</f>
        <v>4914.68</v>
      </c>
      <c r="Q23" s="1"/>
      <c r="R23" s="5">
        <f t="shared" si="4"/>
        <v>0</v>
      </c>
      <c r="S23" s="1"/>
      <c r="T23" s="1">
        <f>SUM(OSRRefT22_2x_0)</f>
        <v>4815.87</v>
      </c>
      <c r="U23" s="1"/>
      <c r="V23" s="5">
        <f t="shared" si="5"/>
        <v>0</v>
      </c>
      <c r="W23" s="1"/>
      <c r="X23" s="1">
        <f t="shared" si="6"/>
        <v>98.8100000000004</v>
      </c>
      <c r="Y23" s="1"/>
      <c r="Z23" s="5">
        <f t="shared" si="7"/>
        <v>2.0517580416414979E-2</v>
      </c>
    </row>
    <row r="24" spans="1:26" s="24" customFormat="1" hidden="1" outlineLevel="2" x14ac:dyDescent="0.25">
      <c r="A24" s="29"/>
      <c r="B24" s="11" t="str">
        <f>CONCATENATE("          ", "6397", " - ", "BOARD EXPENSES")</f>
        <v xml:space="preserve">          6397 - BOARD EXPENSES</v>
      </c>
      <c r="C24" s="11"/>
      <c r="D24" s="7">
        <v>2489.2800000000002</v>
      </c>
      <c r="E24" s="2"/>
      <c r="F24" s="6">
        <f t="shared" si="0"/>
        <v>0</v>
      </c>
      <c r="G24" s="2"/>
      <c r="H24" s="7">
        <v>2619.87</v>
      </c>
      <c r="I24" s="2"/>
      <c r="J24" s="6">
        <f t="shared" si="1"/>
        <v>0</v>
      </c>
      <c r="K24" s="2"/>
      <c r="L24" s="7">
        <f t="shared" si="2"/>
        <v>-130.58999999999969</v>
      </c>
      <c r="M24" s="2"/>
      <c r="N24" s="6">
        <f t="shared" si="3"/>
        <v>-4.9845984724432774E-2</v>
      </c>
      <c r="O24" s="11"/>
      <c r="P24" s="7">
        <v>4914.68</v>
      </c>
      <c r="Q24" s="2"/>
      <c r="R24" s="6">
        <f t="shared" si="4"/>
        <v>0</v>
      </c>
      <c r="S24" s="2"/>
      <c r="T24" s="7">
        <v>4815.87</v>
      </c>
      <c r="U24" s="2"/>
      <c r="V24" s="6">
        <f t="shared" si="5"/>
        <v>0</v>
      </c>
      <c r="W24" s="2"/>
      <c r="X24" s="7">
        <f t="shared" si="6"/>
        <v>98.8100000000004</v>
      </c>
      <c r="Y24" s="2"/>
      <c r="Z24" s="6">
        <f t="shared" si="7"/>
        <v>2.0517580416414979E-2</v>
      </c>
    </row>
    <row r="25" spans="1:26" s="27" customFormat="1" outlineLevel="1" collapsed="1" x14ac:dyDescent="0.25">
      <c r="A25" s="28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11487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11487</v>
      </c>
      <c r="M25" s="1"/>
      <c r="N25" s="5">
        <f t="shared" si="3"/>
        <v>0</v>
      </c>
      <c r="O25" s="14"/>
      <c r="P25" s="1">
        <f>SUM(OSRRefP22_3x_0)</f>
        <v>11487</v>
      </c>
      <c r="Q25" s="1"/>
      <c r="R25" s="5">
        <f t="shared" si="4"/>
        <v>0</v>
      </c>
      <c r="S25" s="1"/>
      <c r="T25" s="1">
        <f>SUM(OSRRefT22_3x_0)</f>
        <v>11425.25</v>
      </c>
      <c r="U25" s="1"/>
      <c r="V25" s="5">
        <f t="shared" si="5"/>
        <v>0</v>
      </c>
      <c r="W25" s="1"/>
      <c r="X25" s="1">
        <f t="shared" si="6"/>
        <v>61.75</v>
      </c>
      <c r="Y25" s="1"/>
      <c r="Z25" s="5">
        <f t="shared" si="7"/>
        <v>5.4046957396993505E-3</v>
      </c>
    </row>
    <row r="26" spans="1:26" s="24" customFormat="1" hidden="1" outlineLevel="2" x14ac:dyDescent="0.25">
      <c r="A26" s="29"/>
      <c r="B26" s="11" t="str">
        <f>CONCATENATE("          ", "6331", " - ", "INDIRECT COSTS-AUXILIARY ORGAN")</f>
        <v xml:space="preserve">          6331 - INDIRECT COSTS-AUXILIARY ORGAN</v>
      </c>
      <c r="C26" s="11"/>
      <c r="D26" s="7">
        <v>11487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11487</v>
      </c>
      <c r="M26" s="2"/>
      <c r="N26" s="6">
        <f t="shared" si="3"/>
        <v>0</v>
      </c>
      <c r="O26" s="11"/>
      <c r="P26" s="7">
        <v>11487</v>
      </c>
      <c r="Q26" s="2"/>
      <c r="R26" s="6">
        <f t="shared" si="4"/>
        <v>0</v>
      </c>
      <c r="S26" s="2"/>
      <c r="T26" s="7">
        <v>11425.25</v>
      </c>
      <c r="U26" s="2"/>
      <c r="V26" s="6">
        <f t="shared" si="5"/>
        <v>0</v>
      </c>
      <c r="W26" s="2"/>
      <c r="X26" s="7">
        <f t="shared" si="6"/>
        <v>61.75</v>
      </c>
      <c r="Y26" s="2"/>
      <c r="Z26" s="6">
        <f t="shared" si="7"/>
        <v>5.4046957396993505E-3</v>
      </c>
    </row>
    <row r="27" spans="1:26" s="62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3</v>
      </c>
      <c r="C30" s="26"/>
      <c r="D30" s="20">
        <f>+D16-D18+D28</f>
        <v>-45545.19</v>
      </c>
      <c r="E30" s="13"/>
      <c r="F30" s="19">
        <f>IF(D$12=0,0,D30/D$12)</f>
        <v>0</v>
      </c>
      <c r="G30" s="13"/>
      <c r="H30" s="20">
        <f>+H16-H18+H28</f>
        <v>-40558.89</v>
      </c>
      <c r="I30" s="13"/>
      <c r="J30" s="19">
        <f>IF(H$12=0,0,H30/H$12)</f>
        <v>0</v>
      </c>
      <c r="K30" s="15"/>
      <c r="L30" s="20">
        <f>+D30-H30</f>
        <v>-4986.3000000000029</v>
      </c>
      <c r="M30" s="15"/>
      <c r="N30" s="19">
        <f>IF(H30=0,0,L30/H30)</f>
        <v>0.12293975500808832</v>
      </c>
      <c r="O30" s="25"/>
      <c r="P30" s="20">
        <f>+P16-P18+P28</f>
        <v>-77667.860000000015</v>
      </c>
      <c r="Q30" s="13"/>
      <c r="R30" s="19">
        <f>IF(P$12=0,0,P30/P$12)</f>
        <v>0</v>
      </c>
      <c r="S30" s="13"/>
      <c r="T30" s="20">
        <f>+T16-T18+T28</f>
        <v>-87591.23</v>
      </c>
      <c r="U30" s="13"/>
      <c r="V30" s="19">
        <f>IF(T$12=0,0,T30/T$12)</f>
        <v>0</v>
      </c>
      <c r="W30" s="15"/>
      <c r="X30" s="20">
        <f>+P30-T30</f>
        <v>9923.3699999999808</v>
      </c>
      <c r="Y30" s="15"/>
      <c r="Z30" s="19">
        <f>IF(T30=0,0,X30/T30)</f>
        <v>-0.11329182156706763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6" t="s">
        <v>4</v>
      </c>
      <c r="C34" s="26"/>
      <c r="D34" s="31">
        <f>+D30-D32</f>
        <v>-45545.19</v>
      </c>
      <c r="E34" s="13"/>
      <c r="F34" s="36">
        <f>IF(D$12=0,0,D34/D$12)</f>
        <v>0</v>
      </c>
      <c r="G34" s="13"/>
      <c r="H34" s="31">
        <f>+H30-H32</f>
        <v>-40558.89</v>
      </c>
      <c r="I34" s="13"/>
      <c r="J34" s="36">
        <f>IF(H$12=0,0,H34/H$12)</f>
        <v>0</v>
      </c>
      <c r="K34" s="15"/>
      <c r="L34" s="31">
        <f>D34-H34</f>
        <v>-4986.3000000000029</v>
      </c>
      <c r="M34" s="15"/>
      <c r="N34" s="36">
        <f>IF(H34=0,0,L34/H34)</f>
        <v>0.12293975500808832</v>
      </c>
      <c r="O34" s="25"/>
      <c r="P34" s="31">
        <f>+P30-P32</f>
        <v>-77667.860000000015</v>
      </c>
      <c r="Q34" s="13"/>
      <c r="R34" s="36">
        <f>IF(P$12=0,0,P34/P$12)</f>
        <v>0</v>
      </c>
      <c r="S34" s="13"/>
      <c r="T34" s="31">
        <f>+T30-T32</f>
        <v>-87591.23</v>
      </c>
      <c r="U34" s="13"/>
      <c r="V34" s="36">
        <f>IF(T$12=0,0,T34/T$12)</f>
        <v>0</v>
      </c>
      <c r="W34" s="15"/>
      <c r="X34" s="31">
        <f>P34-T34</f>
        <v>9923.3699999999808</v>
      </c>
      <c r="Y34" s="15"/>
      <c r="Z34" s="36">
        <f>IF(T34=0,0,X34/T34)</f>
        <v>-0.11329182156706763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6" t="s">
        <v>5</v>
      </c>
      <c r="C37" s="26"/>
      <c r="D37" s="32">
        <f>SUM(D34:D36)</f>
        <v>-45545.19</v>
      </c>
      <c r="E37" s="13"/>
      <c r="F37" s="30">
        <f>IF(D$12=0,0,D37/D$12)</f>
        <v>0</v>
      </c>
      <c r="G37" s="13"/>
      <c r="H37" s="32">
        <f>SUM(H34:H36)</f>
        <v>-40558.89</v>
      </c>
      <c r="I37" s="13"/>
      <c r="J37" s="30">
        <f>IF(H$12=0,0,H37/H$12)</f>
        <v>0</v>
      </c>
      <c r="K37" s="15"/>
      <c r="L37" s="32">
        <f>+D37-H37</f>
        <v>-4986.3000000000029</v>
      </c>
      <c r="M37" s="15"/>
      <c r="N37" s="30">
        <f>IF(H37=0,0,L37/H37)</f>
        <v>0.12293975500808832</v>
      </c>
      <c r="O37" s="25"/>
      <c r="P37" s="32">
        <f>SUM(P34:P36)</f>
        <v>-77667.860000000015</v>
      </c>
      <c r="Q37" s="13"/>
      <c r="R37" s="30">
        <f>IF(P$12=0,0,P37/P$12)</f>
        <v>0</v>
      </c>
      <c r="S37" s="13"/>
      <c r="T37" s="32">
        <f>SUM(T34:T36)</f>
        <v>-87591.23</v>
      </c>
      <c r="U37" s="13"/>
      <c r="V37" s="30">
        <f>IF(T$12=0,0,T37/T$12)</f>
        <v>0</v>
      </c>
      <c r="W37" s="15"/>
      <c r="X37" s="32">
        <f>+P37-T37</f>
        <v>9923.3699999999808</v>
      </c>
      <c r="Y37" s="15"/>
      <c r="Z37" s="30">
        <f>IF(T37=0,0,X37/T37)</f>
        <v>-0.11329182156706763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7">
        <v>43732.709421793981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0" t="s">
        <v>313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56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","201", " - ", "General Manager")</f>
        <v>Department 201 - General Manager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167481.93000000002</v>
      </c>
      <c r="E18" s="22"/>
      <c r="F18" s="33">
        <f t="shared" ref="F18:F28" si="0">IF(D$12=0,0,D18/D$12)</f>
        <v>0</v>
      </c>
      <c r="G18" s="22"/>
      <c r="H18" s="22">
        <f>SUM(OSRRefH22x_0)</f>
        <v>62722.01999999999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104759.91000000003</v>
      </c>
      <c r="M18" s="4"/>
      <c r="N18" s="33">
        <f t="shared" ref="N18:N28" si="3">IF(H18=0,0,L18/H18)</f>
        <v>1.670225384960498</v>
      </c>
      <c r="O18" s="10"/>
      <c r="P18" s="22">
        <f>SUM(OSRRefP22x_0)</f>
        <v>244873.1</v>
      </c>
      <c r="Q18" s="22"/>
      <c r="R18" s="33">
        <f t="shared" ref="R18:R28" si="4">IF(P$12=0,0,P18/P$12)</f>
        <v>0</v>
      </c>
      <c r="S18" s="22"/>
      <c r="T18" s="22">
        <f>SUM(OSRRefT22x_0)</f>
        <v>172433.67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72439.429999999993</v>
      </c>
      <c r="Y18" s="4"/>
      <c r="Z18" s="33">
        <f t="shared" ref="Z18:Z28" si="7">IF(T18=0,0,X18/T18)</f>
        <v>0.42010026232115799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15423.95</v>
      </c>
      <c r="E19" s="1"/>
      <c r="F19" s="5">
        <f t="shared" si="0"/>
        <v>0</v>
      </c>
      <c r="G19" s="1"/>
      <c r="H19" s="1">
        <f>SUM(OSRRefH22_0x_0)</f>
        <v>17056.899999999998</v>
      </c>
      <c r="I19" s="1"/>
      <c r="J19" s="5">
        <f t="shared" si="1"/>
        <v>0</v>
      </c>
      <c r="K19" s="1"/>
      <c r="L19" s="1">
        <f t="shared" si="2"/>
        <v>-1632.9499999999971</v>
      </c>
      <c r="M19" s="1"/>
      <c r="N19" s="5">
        <f t="shared" si="3"/>
        <v>-9.5735450169725872E-2</v>
      </c>
      <c r="O19" s="14"/>
      <c r="P19" s="1">
        <f>SUM(OSRRefP22_0x_0)</f>
        <v>37306.01</v>
      </c>
      <c r="Q19" s="1"/>
      <c r="R19" s="5">
        <f t="shared" si="4"/>
        <v>0</v>
      </c>
      <c r="S19" s="1"/>
      <c r="T19" s="1">
        <f>SUM(OSRRefT22_0x_0)</f>
        <v>35698.80000000001</v>
      </c>
      <c r="U19" s="1"/>
      <c r="V19" s="5">
        <f t="shared" si="5"/>
        <v>0</v>
      </c>
      <c r="W19" s="1"/>
      <c r="X19" s="1">
        <f t="shared" si="6"/>
        <v>1607.2099999999919</v>
      </c>
      <c r="Y19" s="1"/>
      <c r="Z19" s="5">
        <f t="shared" si="7"/>
        <v>4.5021401279594593E-2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2553.13</v>
      </c>
      <c r="E20" s="2"/>
      <c r="F20" s="6">
        <f t="shared" si="0"/>
        <v>0</v>
      </c>
      <c r="G20" s="2"/>
      <c r="H20" s="7">
        <v>2290.94</v>
      </c>
      <c r="I20" s="2"/>
      <c r="J20" s="6">
        <f t="shared" si="1"/>
        <v>0</v>
      </c>
      <c r="K20" s="2"/>
      <c r="L20" s="7">
        <f t="shared" si="2"/>
        <v>262.19000000000005</v>
      </c>
      <c r="M20" s="2"/>
      <c r="N20" s="6">
        <f t="shared" si="3"/>
        <v>0.11444647175395255</v>
      </c>
      <c r="O20" s="11"/>
      <c r="P20" s="7">
        <v>5416.2</v>
      </c>
      <c r="Q20" s="2"/>
      <c r="R20" s="6">
        <f t="shared" si="4"/>
        <v>0</v>
      </c>
      <c r="S20" s="2"/>
      <c r="T20" s="7">
        <v>4581.88</v>
      </c>
      <c r="U20" s="2"/>
      <c r="V20" s="6">
        <f t="shared" si="5"/>
        <v>0</v>
      </c>
      <c r="W20" s="2"/>
      <c r="X20" s="7">
        <f t="shared" si="6"/>
        <v>834.31999999999971</v>
      </c>
      <c r="Y20" s="2"/>
      <c r="Z20" s="6">
        <f t="shared" si="7"/>
        <v>0.18209119400769982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113.63</v>
      </c>
      <c r="E21" s="2"/>
      <c r="F21" s="6">
        <f t="shared" si="0"/>
        <v>0</v>
      </c>
      <c r="G21" s="2"/>
      <c r="H21" s="7">
        <v>92.84</v>
      </c>
      <c r="I21" s="2"/>
      <c r="J21" s="6">
        <f t="shared" si="1"/>
        <v>0</v>
      </c>
      <c r="K21" s="2"/>
      <c r="L21" s="7">
        <f t="shared" si="2"/>
        <v>20.789999999999992</v>
      </c>
      <c r="M21" s="2"/>
      <c r="N21" s="6">
        <f t="shared" si="3"/>
        <v>0.22393364928909942</v>
      </c>
      <c r="O21" s="11"/>
      <c r="P21" s="7">
        <v>226.51</v>
      </c>
      <c r="Q21" s="2"/>
      <c r="R21" s="6">
        <f t="shared" si="4"/>
        <v>0</v>
      </c>
      <c r="S21" s="2"/>
      <c r="T21" s="7">
        <v>230.75</v>
      </c>
      <c r="U21" s="2"/>
      <c r="V21" s="6">
        <f t="shared" si="5"/>
        <v>0</v>
      </c>
      <c r="W21" s="2"/>
      <c r="X21" s="7">
        <f t="shared" si="6"/>
        <v>-4.2400000000000091</v>
      </c>
      <c r="Y21" s="2"/>
      <c r="Z21" s="6">
        <f t="shared" si="7"/>
        <v>-1.8374864572047709E-2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4870.25</v>
      </c>
      <c r="E22" s="2"/>
      <c r="F22" s="6">
        <f t="shared" si="0"/>
        <v>0</v>
      </c>
      <c r="G22" s="2"/>
      <c r="H22" s="7">
        <v>4962</v>
      </c>
      <c r="I22" s="2"/>
      <c r="J22" s="6">
        <f t="shared" si="1"/>
        <v>0</v>
      </c>
      <c r="K22" s="2"/>
      <c r="L22" s="7">
        <f t="shared" si="2"/>
        <v>-91.75</v>
      </c>
      <c r="M22" s="2"/>
      <c r="N22" s="6">
        <f t="shared" si="3"/>
        <v>-1.8490528012898026E-2</v>
      </c>
      <c r="O22" s="11"/>
      <c r="P22" s="7">
        <v>9740.5</v>
      </c>
      <c r="Q22" s="2"/>
      <c r="R22" s="6">
        <f t="shared" si="4"/>
        <v>0</v>
      </c>
      <c r="S22" s="2"/>
      <c r="T22" s="7">
        <v>6873.57</v>
      </c>
      <c r="U22" s="2"/>
      <c r="V22" s="6">
        <f t="shared" si="5"/>
        <v>0</v>
      </c>
      <c r="W22" s="2"/>
      <c r="X22" s="7">
        <f t="shared" si="6"/>
        <v>2866.9300000000003</v>
      </c>
      <c r="Y22" s="2"/>
      <c r="Z22" s="6">
        <f t="shared" si="7"/>
        <v>0.41709475570918758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86.89</v>
      </c>
      <c r="E23" s="2"/>
      <c r="F23" s="6">
        <f t="shared" si="0"/>
        <v>0</v>
      </c>
      <c r="G23" s="2"/>
      <c r="H23" s="7">
        <v>77.86</v>
      </c>
      <c r="I23" s="2"/>
      <c r="J23" s="6">
        <f t="shared" si="1"/>
        <v>0</v>
      </c>
      <c r="K23" s="2"/>
      <c r="L23" s="7">
        <f t="shared" si="2"/>
        <v>9.0300000000000011</v>
      </c>
      <c r="M23" s="2"/>
      <c r="N23" s="6">
        <f t="shared" si="3"/>
        <v>0.11597739532494222</v>
      </c>
      <c r="O23" s="11"/>
      <c r="P23" s="7">
        <v>173.21</v>
      </c>
      <c r="Q23" s="2"/>
      <c r="R23" s="6">
        <f t="shared" si="4"/>
        <v>0</v>
      </c>
      <c r="S23" s="2"/>
      <c r="T23" s="7">
        <v>193.53</v>
      </c>
      <c r="U23" s="2"/>
      <c r="V23" s="6">
        <f t="shared" si="5"/>
        <v>0</v>
      </c>
      <c r="W23" s="2"/>
      <c r="X23" s="7">
        <f t="shared" si="6"/>
        <v>-20.319999999999993</v>
      </c>
      <c r="Y23" s="2"/>
      <c r="Z23" s="6">
        <f t="shared" si="7"/>
        <v>-0.10499664134759465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3181.98</v>
      </c>
      <c r="E24" s="2"/>
      <c r="F24" s="6">
        <f t="shared" si="0"/>
        <v>0</v>
      </c>
      <c r="G24" s="2"/>
      <c r="H24" s="7">
        <v>2800.43</v>
      </c>
      <c r="I24" s="2"/>
      <c r="J24" s="6">
        <f t="shared" si="1"/>
        <v>0</v>
      </c>
      <c r="K24" s="2"/>
      <c r="L24" s="7">
        <f t="shared" si="2"/>
        <v>381.55000000000018</v>
      </c>
      <c r="M24" s="2"/>
      <c r="N24" s="6">
        <f t="shared" si="3"/>
        <v>0.13624693350664013</v>
      </c>
      <c r="O24" s="11"/>
      <c r="P24" s="7">
        <v>6363.96</v>
      </c>
      <c r="Q24" s="2"/>
      <c r="R24" s="6">
        <f t="shared" si="4"/>
        <v>0</v>
      </c>
      <c r="S24" s="2"/>
      <c r="T24" s="7">
        <v>6960.28</v>
      </c>
      <c r="U24" s="2"/>
      <c r="V24" s="6">
        <f t="shared" si="5"/>
        <v>0</v>
      </c>
      <c r="W24" s="2"/>
      <c r="X24" s="7">
        <f t="shared" si="6"/>
        <v>-596.31999999999971</v>
      </c>
      <c r="Y24" s="2"/>
      <c r="Z24" s="6">
        <f t="shared" si="7"/>
        <v>-8.5674714235634164E-2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2451.4</v>
      </c>
      <c r="I25" s="2"/>
      <c r="J25" s="6">
        <f t="shared" si="1"/>
        <v>0</v>
      </c>
      <c r="K25" s="2"/>
      <c r="L25" s="7">
        <f t="shared" si="2"/>
        <v>-2451.4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2451.4</v>
      </c>
      <c r="U25" s="2"/>
      <c r="V25" s="6">
        <f t="shared" si="5"/>
        <v>0</v>
      </c>
      <c r="W25" s="2"/>
      <c r="X25" s="7">
        <f t="shared" si="6"/>
        <v>-2451.4</v>
      </c>
      <c r="Y25" s="2"/>
      <c r="Z25" s="6">
        <f t="shared" si="7"/>
        <v>-1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2781.54</v>
      </c>
      <c r="E26" s="2"/>
      <c r="F26" s="6">
        <f t="shared" si="0"/>
        <v>0</v>
      </c>
      <c r="G26" s="2"/>
      <c r="H26" s="7">
        <v>2657.86</v>
      </c>
      <c r="I26" s="2"/>
      <c r="J26" s="6">
        <f t="shared" si="1"/>
        <v>0</v>
      </c>
      <c r="K26" s="2"/>
      <c r="L26" s="7">
        <f t="shared" si="2"/>
        <v>123.67999999999984</v>
      </c>
      <c r="M26" s="2"/>
      <c r="N26" s="6">
        <f t="shared" si="3"/>
        <v>4.6533677469844097E-2</v>
      </c>
      <c r="O26" s="11"/>
      <c r="P26" s="7">
        <v>6990.5</v>
      </c>
      <c r="Q26" s="2"/>
      <c r="R26" s="6">
        <f t="shared" si="4"/>
        <v>0</v>
      </c>
      <c r="S26" s="2"/>
      <c r="T26" s="7">
        <v>6697.29</v>
      </c>
      <c r="U26" s="2"/>
      <c r="V26" s="6">
        <f t="shared" si="5"/>
        <v>0</v>
      </c>
      <c r="W26" s="2"/>
      <c r="X26" s="7">
        <f t="shared" si="6"/>
        <v>293.21000000000004</v>
      </c>
      <c r="Y26" s="2"/>
      <c r="Z26" s="6">
        <f t="shared" si="7"/>
        <v>4.3780394756685173E-2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1435.96</v>
      </c>
      <c r="E27" s="2"/>
      <c r="F27" s="6">
        <f t="shared" si="0"/>
        <v>0</v>
      </c>
      <c r="G27" s="2"/>
      <c r="H27" s="7">
        <v>1372.84</v>
      </c>
      <c r="I27" s="2"/>
      <c r="J27" s="6">
        <f t="shared" si="1"/>
        <v>0</v>
      </c>
      <c r="K27" s="2"/>
      <c r="L27" s="7">
        <f t="shared" si="2"/>
        <v>63.120000000000118</v>
      </c>
      <c r="M27" s="2"/>
      <c r="N27" s="6">
        <f t="shared" si="3"/>
        <v>4.5977681302992429E-2</v>
      </c>
      <c r="O27" s="11"/>
      <c r="P27" s="7">
        <v>7555.19</v>
      </c>
      <c r="Q27" s="2"/>
      <c r="R27" s="6">
        <f t="shared" si="4"/>
        <v>0</v>
      </c>
      <c r="S27" s="2"/>
      <c r="T27" s="7">
        <v>6914.09</v>
      </c>
      <c r="U27" s="2"/>
      <c r="V27" s="6">
        <f t="shared" si="5"/>
        <v>0</v>
      </c>
      <c r="W27" s="2"/>
      <c r="X27" s="7">
        <f t="shared" si="6"/>
        <v>641.09999999999945</v>
      </c>
      <c r="Y27" s="2"/>
      <c r="Z27" s="6">
        <f t="shared" si="7"/>
        <v>9.2723698997264931E-2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400.57</v>
      </c>
      <c r="E28" s="2"/>
      <c r="F28" s="6">
        <f t="shared" si="0"/>
        <v>0</v>
      </c>
      <c r="G28" s="2"/>
      <c r="H28" s="7">
        <v>350.73</v>
      </c>
      <c r="I28" s="2"/>
      <c r="J28" s="6">
        <f t="shared" si="1"/>
        <v>0</v>
      </c>
      <c r="K28" s="2"/>
      <c r="L28" s="7">
        <f t="shared" si="2"/>
        <v>49.839999999999975</v>
      </c>
      <c r="M28" s="2"/>
      <c r="N28" s="6">
        <f t="shared" si="3"/>
        <v>0.14210361246542916</v>
      </c>
      <c r="O28" s="11"/>
      <c r="P28" s="7">
        <v>839.94</v>
      </c>
      <c r="Q28" s="2"/>
      <c r="R28" s="6">
        <f t="shared" si="4"/>
        <v>0</v>
      </c>
      <c r="S28" s="2"/>
      <c r="T28" s="7">
        <v>796.01</v>
      </c>
      <c r="U28" s="2"/>
      <c r="V28" s="6">
        <f t="shared" si="5"/>
        <v>0</v>
      </c>
      <c r="W28" s="2"/>
      <c r="X28" s="7">
        <f t="shared" si="6"/>
        <v>43.930000000000064</v>
      </c>
      <c r="Y28" s="2"/>
      <c r="Z28" s="6">
        <f t="shared" si="7"/>
        <v>5.5187748897626995E-2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28149.78</v>
      </c>
      <c r="E29" s="1"/>
      <c r="F29" s="5">
        <f t="shared" ref="F29:F32" si="8">IF(D$12=0,0,D29/D$12)</f>
        <v>0</v>
      </c>
      <c r="G29" s="1"/>
      <c r="H29" s="1">
        <f>SUM(OSRRefH22_1x_0)</f>
        <v>24454.2</v>
      </c>
      <c r="I29" s="1"/>
      <c r="J29" s="5">
        <f t="shared" ref="J29:J32" si="9">IF(H$12=0,0,H29/H$12)</f>
        <v>0</v>
      </c>
      <c r="K29" s="1"/>
      <c r="L29" s="1">
        <f t="shared" ref="L29:L32" si="10">+D29-H29</f>
        <v>3695.5799999999981</v>
      </c>
      <c r="M29" s="1"/>
      <c r="N29" s="5">
        <f t="shared" ref="N29:N32" si="11">IF(H29=0,0,L29/H29)</f>
        <v>0.15112250656328965</v>
      </c>
      <c r="O29" s="14"/>
      <c r="P29" s="1">
        <f>SUM(OSRRefP22_1x_0)</f>
        <v>63987.08</v>
      </c>
      <c r="Q29" s="1"/>
      <c r="R29" s="5">
        <f t="shared" ref="R29:R32" si="12">IF(P$12=0,0,P29/P$12)</f>
        <v>0</v>
      </c>
      <c r="S29" s="1"/>
      <c r="T29" s="1">
        <f>SUM(OSRRefT22_1x_0)</f>
        <v>58176.270000000004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5810.8099999999977</v>
      </c>
      <c r="Y29" s="1"/>
      <c r="Z29" s="5">
        <f t="shared" ref="Z29:Z32" si="15">IF(T29=0,0,X29/T29)</f>
        <v>9.9882821638444627E-2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21694.44</v>
      </c>
      <c r="E30" s="2"/>
      <c r="F30" s="6">
        <f t="shared" si="8"/>
        <v>0</v>
      </c>
      <c r="G30" s="2"/>
      <c r="H30" s="7">
        <v>19700.34</v>
      </c>
      <c r="I30" s="2"/>
      <c r="J30" s="6">
        <f t="shared" si="9"/>
        <v>0</v>
      </c>
      <c r="K30" s="2"/>
      <c r="L30" s="7">
        <f t="shared" si="10"/>
        <v>1994.0999999999985</v>
      </c>
      <c r="M30" s="2"/>
      <c r="N30" s="6">
        <f t="shared" si="11"/>
        <v>0.10122160328197374</v>
      </c>
      <c r="O30" s="11"/>
      <c r="P30" s="7">
        <v>50053.36</v>
      </c>
      <c r="Q30" s="2"/>
      <c r="R30" s="6">
        <f t="shared" si="12"/>
        <v>0</v>
      </c>
      <c r="S30" s="2"/>
      <c r="T30" s="7">
        <v>47480.55</v>
      </c>
      <c r="U30" s="2"/>
      <c r="V30" s="6">
        <f t="shared" si="13"/>
        <v>0</v>
      </c>
      <c r="W30" s="2"/>
      <c r="X30" s="7">
        <f t="shared" si="14"/>
        <v>2572.8099999999977</v>
      </c>
      <c r="Y30" s="2"/>
      <c r="Z30" s="6">
        <f t="shared" si="15"/>
        <v>5.4186609043071265E-2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4406.84</v>
      </c>
      <c r="E31" s="2"/>
      <c r="F31" s="6">
        <f t="shared" si="8"/>
        <v>0</v>
      </c>
      <c r="G31" s="2"/>
      <c r="H31" s="7">
        <v>4753.8599999999997</v>
      </c>
      <c r="I31" s="2"/>
      <c r="J31" s="6">
        <f t="shared" si="9"/>
        <v>0</v>
      </c>
      <c r="K31" s="2"/>
      <c r="L31" s="7">
        <f t="shared" si="10"/>
        <v>-347.01999999999953</v>
      </c>
      <c r="M31" s="2"/>
      <c r="N31" s="6">
        <f t="shared" si="11"/>
        <v>-7.2997522013689836E-2</v>
      </c>
      <c r="O31" s="11"/>
      <c r="P31" s="7">
        <v>9548.02</v>
      </c>
      <c r="Q31" s="2"/>
      <c r="R31" s="6">
        <f t="shared" si="12"/>
        <v>0</v>
      </c>
      <c r="S31" s="2"/>
      <c r="T31" s="7">
        <v>10695.72</v>
      </c>
      <c r="U31" s="2"/>
      <c r="V31" s="6">
        <f t="shared" si="13"/>
        <v>0</v>
      </c>
      <c r="W31" s="2"/>
      <c r="X31" s="7">
        <f t="shared" si="14"/>
        <v>-1147.6999999999989</v>
      </c>
      <c r="Y31" s="2"/>
      <c r="Z31" s="6">
        <f t="shared" si="15"/>
        <v>-0.1073046040846244</v>
      </c>
    </row>
    <row r="32" spans="1:26" s="24" customFormat="1" hidden="1" outlineLevel="2" x14ac:dyDescent="0.25">
      <c r="A32" s="29"/>
      <c r="B32" s="11" t="str">
        <f>CONCATENATE("          ", "6007", " - ", "STUDENT HOURLY")</f>
        <v xml:space="preserve">          6007 - STUDENT HOURLY</v>
      </c>
      <c r="C32" s="11"/>
      <c r="D32" s="7">
        <v>2048.5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2048.5</v>
      </c>
      <c r="M32" s="2"/>
      <c r="N32" s="6">
        <f t="shared" si="11"/>
        <v>0</v>
      </c>
      <c r="O32" s="11"/>
      <c r="P32" s="7">
        <v>4385.7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4385.7</v>
      </c>
      <c r="Y32" s="2"/>
      <c r="Z32" s="6">
        <f t="shared" si="15"/>
        <v>0</v>
      </c>
    </row>
    <row r="33" spans="1:26" s="27" customFormat="1" outlineLevel="1" collapsed="1" x14ac:dyDescent="0.25">
      <c r="A33" s="28"/>
      <c r="B33" s="14" t="str">
        <f>CONCATENATE("     ","Advertising/Promo                                 ")</f>
        <v xml:space="preserve">     Advertising/Promo                                 </v>
      </c>
      <c r="C33" s="14"/>
      <c r="D33" s="1">
        <f>SUM(OSRRefD22_2x_0)</f>
        <v>5452.99</v>
      </c>
      <c r="E33" s="1"/>
      <c r="F33" s="5">
        <f t="shared" ref="F33:F49" si="16">IF(D$12=0,0,D33/D$12)</f>
        <v>0</v>
      </c>
      <c r="G33" s="1"/>
      <c r="H33" s="1">
        <f>SUM(OSRRefH22_2x_0)</f>
        <v>14208.3</v>
      </c>
      <c r="I33" s="1"/>
      <c r="J33" s="5">
        <f t="shared" ref="J33:J49" si="17">IF(H$12=0,0,H33/H$12)</f>
        <v>0</v>
      </c>
      <c r="K33" s="1"/>
      <c r="L33" s="1">
        <f t="shared" ref="L33:L49" si="18">+D33-H33</f>
        <v>-8755.31</v>
      </c>
      <c r="M33" s="1"/>
      <c r="N33" s="5">
        <f t="shared" ref="N33:N49" si="19">IF(H33=0,0,L33/H33)</f>
        <v>-0.61621094712245661</v>
      </c>
      <c r="O33" s="14"/>
      <c r="P33" s="1">
        <f>SUM(OSRRefP22_2x_0)</f>
        <v>11176.91</v>
      </c>
      <c r="Q33" s="1"/>
      <c r="R33" s="5">
        <f t="shared" ref="R33:R49" si="20">IF(P$12=0,0,P33/P$12)</f>
        <v>0</v>
      </c>
      <c r="S33" s="1"/>
      <c r="T33" s="1">
        <f>SUM(OSRRefT22_2x_0)</f>
        <v>29547.329999999998</v>
      </c>
      <c r="U33" s="1"/>
      <c r="V33" s="5">
        <f t="shared" ref="V33:V49" si="21">IF(T$12=0,0,T33/T$12)</f>
        <v>0</v>
      </c>
      <c r="W33" s="1"/>
      <c r="X33" s="1">
        <f t="shared" ref="X33:X49" si="22">+P33-T33</f>
        <v>-18370.419999999998</v>
      </c>
      <c r="Y33" s="1"/>
      <c r="Z33" s="5">
        <f t="shared" ref="Z33:Z49" si="23">IF(T33=0,0,X33/T33)</f>
        <v>-0.62172859612019082</v>
      </c>
    </row>
    <row r="34" spans="1:26" s="24" customFormat="1" hidden="1" outlineLevel="2" x14ac:dyDescent="0.25">
      <c r="A34" s="29"/>
      <c r="B34" s="11" t="str">
        <f>CONCATENATE("          ", "6362", " - ", "ADVERTISING EXPENSE")</f>
        <v xml:space="preserve">          6362 - ADVERTISING EXPENSE</v>
      </c>
      <c r="C34" s="11"/>
      <c r="D34" s="7">
        <v>5452.99</v>
      </c>
      <c r="E34" s="2"/>
      <c r="F34" s="6">
        <f t="shared" si="16"/>
        <v>0</v>
      </c>
      <c r="G34" s="2"/>
      <c r="H34" s="7">
        <v>14208.3</v>
      </c>
      <c r="I34" s="2"/>
      <c r="J34" s="6">
        <f t="shared" si="17"/>
        <v>0</v>
      </c>
      <c r="K34" s="2"/>
      <c r="L34" s="7">
        <f t="shared" si="18"/>
        <v>-8755.31</v>
      </c>
      <c r="M34" s="2"/>
      <c r="N34" s="6">
        <f t="shared" si="19"/>
        <v>-0.61621094712245661</v>
      </c>
      <c r="O34" s="11"/>
      <c r="P34" s="7">
        <v>11176.91</v>
      </c>
      <c r="Q34" s="2"/>
      <c r="R34" s="6">
        <f t="shared" si="20"/>
        <v>0</v>
      </c>
      <c r="S34" s="2"/>
      <c r="T34" s="7">
        <v>29547.329999999998</v>
      </c>
      <c r="U34" s="2"/>
      <c r="V34" s="6">
        <f t="shared" si="21"/>
        <v>0</v>
      </c>
      <c r="W34" s="2"/>
      <c r="X34" s="7">
        <f t="shared" si="22"/>
        <v>-18370.419999999998</v>
      </c>
      <c r="Y34" s="2"/>
      <c r="Z34" s="6">
        <f t="shared" si="23"/>
        <v>-0.62172859612019082</v>
      </c>
    </row>
    <row r="35" spans="1:26" s="27" customFormat="1" outlineLevel="1" collapsed="1" x14ac:dyDescent="0.25">
      <c r="A35" s="28"/>
      <c r="B35" s="14" t="str">
        <f>CONCATENATE("     ","Depreciation                                      ")</f>
        <v xml:space="preserve">     Depreciation                                      </v>
      </c>
      <c r="C35" s="14"/>
      <c r="D35" s="1">
        <f>SUM(OSRRefD22_3x_0)</f>
        <v>345.23</v>
      </c>
      <c r="E35" s="1"/>
      <c r="F35" s="5">
        <f t="shared" si="16"/>
        <v>0</v>
      </c>
      <c r="G35" s="1"/>
      <c r="H35" s="1">
        <f>SUM(OSRRefH22_3x_0)</f>
        <v>345.23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SUM(OSRRefP22_3x_0)</f>
        <v>690.46</v>
      </c>
      <c r="Q35" s="1"/>
      <c r="R35" s="5">
        <f t="shared" si="20"/>
        <v>0</v>
      </c>
      <c r="S35" s="1"/>
      <c r="T35" s="1">
        <f>SUM(OSRRefT22_3x_0)</f>
        <v>690.46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9"/>
      <c r="B36" s="11" t="str">
        <f>CONCATENATE("          ", "6322", " - ", "EQUIPMENT DEPRECIATION EXPENSE")</f>
        <v xml:space="preserve">          6322 - EQUIPMENT DEPRECIATION EXPENSE</v>
      </c>
      <c r="C36" s="11"/>
      <c r="D36" s="7">
        <v>345.23</v>
      </c>
      <c r="E36" s="2"/>
      <c r="F36" s="6">
        <f t="shared" si="16"/>
        <v>0</v>
      </c>
      <c r="G36" s="2"/>
      <c r="H36" s="7">
        <v>345.23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690.46</v>
      </c>
      <c r="Q36" s="2"/>
      <c r="R36" s="6">
        <f t="shared" si="20"/>
        <v>0</v>
      </c>
      <c r="S36" s="2"/>
      <c r="T36" s="7">
        <v>690.46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7" customFormat="1" outlineLevel="1" collapsed="1" x14ac:dyDescent="0.25">
      <c r="A37" s="28"/>
      <c r="B37" s="14" t="str">
        <f>CONCATENATE("     ","Donations                                         ")</f>
        <v xml:space="preserve">     Donations                                         </v>
      </c>
      <c r="C37" s="14"/>
      <c r="D37" s="1">
        <f>SUM(OSRRefD22_4x_0)</f>
        <v>110000.75</v>
      </c>
      <c r="E37" s="1"/>
      <c r="F37" s="5">
        <f t="shared" si="16"/>
        <v>0</v>
      </c>
      <c r="G37" s="1"/>
      <c r="H37" s="1">
        <f>SUM(OSRRefH22_4x_0)</f>
        <v>0</v>
      </c>
      <c r="I37" s="1"/>
      <c r="J37" s="5">
        <f t="shared" si="17"/>
        <v>0</v>
      </c>
      <c r="K37" s="1"/>
      <c r="L37" s="1">
        <f t="shared" si="18"/>
        <v>110000.75</v>
      </c>
      <c r="M37" s="1"/>
      <c r="N37" s="5">
        <f t="shared" si="19"/>
        <v>0</v>
      </c>
      <c r="O37" s="14"/>
      <c r="P37" s="1">
        <f>SUM(OSRRefP22_4x_0)</f>
        <v>111668.6</v>
      </c>
      <c r="Q37" s="1"/>
      <c r="R37" s="5">
        <f t="shared" si="20"/>
        <v>0</v>
      </c>
      <c r="S37" s="1"/>
      <c r="T37" s="1">
        <f>SUM(OSRRefT22_4x_0)</f>
        <v>26000</v>
      </c>
      <c r="U37" s="1"/>
      <c r="V37" s="5">
        <f t="shared" si="21"/>
        <v>0</v>
      </c>
      <c r="W37" s="1"/>
      <c r="X37" s="1">
        <f t="shared" si="22"/>
        <v>85668.6</v>
      </c>
      <c r="Y37" s="1"/>
      <c r="Z37" s="5">
        <f t="shared" si="23"/>
        <v>3.294946153846154</v>
      </c>
    </row>
    <row r="38" spans="1:26" s="24" customFormat="1" hidden="1" outlineLevel="2" x14ac:dyDescent="0.25">
      <c r="A38" s="29"/>
      <c r="B38" s="11" t="str">
        <f>CONCATENATE("          ", "6399", " - ", "DONATION-ON CAMPUS")</f>
        <v xml:space="preserve">          6399 - DONATION-ON CAMPUS</v>
      </c>
      <c r="C38" s="11"/>
      <c r="D38" s="7">
        <v>110000.75</v>
      </c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110000.75</v>
      </c>
      <c r="M38" s="2"/>
      <c r="N38" s="6">
        <f t="shared" si="19"/>
        <v>0</v>
      </c>
      <c r="O38" s="11"/>
      <c r="P38" s="7">
        <v>111668.6</v>
      </c>
      <c r="Q38" s="2"/>
      <c r="R38" s="6">
        <f t="shared" si="20"/>
        <v>0</v>
      </c>
      <c r="S38" s="2"/>
      <c r="T38" s="7">
        <v>26000</v>
      </c>
      <c r="U38" s="2"/>
      <c r="V38" s="6">
        <f t="shared" si="21"/>
        <v>0</v>
      </c>
      <c r="W38" s="2"/>
      <c r="X38" s="7">
        <f t="shared" si="22"/>
        <v>85668.6</v>
      </c>
      <c r="Y38" s="2"/>
      <c r="Z38" s="6">
        <f t="shared" si="23"/>
        <v>3.294946153846154</v>
      </c>
    </row>
    <row r="39" spans="1:26" s="27" customFormat="1" outlineLevel="1" collapsed="1" x14ac:dyDescent="0.25">
      <c r="A39" s="28"/>
      <c r="B39" s="14" t="str">
        <f>CONCATENATE("     ","Equipment Rental                                  ")</f>
        <v xml:space="preserve">     Equipment Rental                                  </v>
      </c>
      <c r="C39" s="14"/>
      <c r="D39" s="1">
        <f>SUM(OSRRefD22_5x_0)</f>
        <v>117.72</v>
      </c>
      <c r="E39" s="1"/>
      <c r="F39" s="5">
        <f t="shared" si="16"/>
        <v>0</v>
      </c>
      <c r="G39" s="1"/>
      <c r="H39" s="1">
        <f>SUM(OSRRefH22_5x_0)</f>
        <v>117.72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SUM(OSRRefP22_5x_0)</f>
        <v>235.44</v>
      </c>
      <c r="Q39" s="1"/>
      <c r="R39" s="5">
        <f t="shared" si="20"/>
        <v>0</v>
      </c>
      <c r="S39" s="1"/>
      <c r="T39" s="1">
        <f>SUM(OSRRefT22_5x_0)</f>
        <v>235.44</v>
      </c>
      <c r="U39" s="1"/>
      <c r="V39" s="5">
        <f t="shared" si="21"/>
        <v>0</v>
      </c>
      <c r="W39" s="1"/>
      <c r="X39" s="1">
        <f t="shared" si="22"/>
        <v>0</v>
      </c>
      <c r="Y39" s="1"/>
      <c r="Z39" s="5">
        <f t="shared" si="23"/>
        <v>0</v>
      </c>
    </row>
    <row r="40" spans="1:26" s="24" customFormat="1" hidden="1" outlineLevel="2" x14ac:dyDescent="0.25">
      <c r="A40" s="29"/>
      <c r="B40" s="11" t="str">
        <f>CONCATENATE("          ", "6351", " - ", "EQUIPMENT RENTAL")</f>
        <v xml:space="preserve">          6351 - EQUIPMENT RENTAL</v>
      </c>
      <c r="C40" s="11"/>
      <c r="D40" s="7">
        <v>117.72</v>
      </c>
      <c r="E40" s="2"/>
      <c r="F40" s="6">
        <f t="shared" si="16"/>
        <v>0</v>
      </c>
      <c r="G40" s="2"/>
      <c r="H40" s="7">
        <v>117.72</v>
      </c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235.44</v>
      </c>
      <c r="Q40" s="2"/>
      <c r="R40" s="6">
        <f t="shared" si="20"/>
        <v>0</v>
      </c>
      <c r="S40" s="2"/>
      <c r="T40" s="7">
        <v>235.44</v>
      </c>
      <c r="U40" s="2"/>
      <c r="V40" s="6">
        <f t="shared" si="21"/>
        <v>0</v>
      </c>
      <c r="W40" s="2"/>
      <c r="X40" s="7">
        <f t="shared" si="22"/>
        <v>0</v>
      </c>
      <c r="Y40" s="2"/>
      <c r="Z40" s="6">
        <f t="shared" si="23"/>
        <v>0</v>
      </c>
    </row>
    <row r="41" spans="1:26" s="27" customFormat="1" outlineLevel="1" collapsed="1" x14ac:dyDescent="0.25">
      <c r="A41" s="28"/>
      <c r="B41" s="14" t="str">
        <f>CONCATENATE("     ","Freight out/Postage                               ")</f>
        <v xml:space="preserve">     Freight out/Postage                               </v>
      </c>
      <c r="C41" s="14"/>
      <c r="D41" s="1">
        <f>SUM(OSRRefD22_6x_0)</f>
        <v>0</v>
      </c>
      <c r="E41" s="1"/>
      <c r="F41" s="5">
        <f t="shared" si="16"/>
        <v>0</v>
      </c>
      <c r="G41" s="1"/>
      <c r="H41" s="1">
        <f>SUM(OSRRefH22_6x_0)</f>
        <v>0.94</v>
      </c>
      <c r="I41" s="1"/>
      <c r="J41" s="5">
        <f t="shared" si="17"/>
        <v>0</v>
      </c>
      <c r="K41" s="1"/>
      <c r="L41" s="1">
        <f t="shared" si="18"/>
        <v>-0.94</v>
      </c>
      <c r="M41" s="1"/>
      <c r="N41" s="5">
        <f t="shared" si="19"/>
        <v>-1</v>
      </c>
      <c r="O41" s="14"/>
      <c r="P41" s="1">
        <f>SUM(OSRRefP22_6x_0)</f>
        <v>0</v>
      </c>
      <c r="Q41" s="1"/>
      <c r="R41" s="5">
        <f t="shared" si="20"/>
        <v>0</v>
      </c>
      <c r="S41" s="1"/>
      <c r="T41" s="1">
        <f>SUM(OSRRefT22_6x_0)</f>
        <v>1.41</v>
      </c>
      <c r="U41" s="1"/>
      <c r="V41" s="5">
        <f t="shared" si="21"/>
        <v>0</v>
      </c>
      <c r="W41" s="1"/>
      <c r="X41" s="1">
        <f t="shared" si="22"/>
        <v>-1.41</v>
      </c>
      <c r="Y41" s="1"/>
      <c r="Z41" s="5">
        <f t="shared" si="23"/>
        <v>-1</v>
      </c>
    </row>
    <row r="42" spans="1:26" s="24" customFormat="1" hidden="1" outlineLevel="2" x14ac:dyDescent="0.25">
      <c r="A42" s="29"/>
      <c r="B42" s="11" t="str">
        <f>CONCATENATE("          ", "6307", " - ", "POSTAGE")</f>
        <v xml:space="preserve">          6307 - POSTAGE</v>
      </c>
      <c r="C42" s="11"/>
      <c r="D42" s="7"/>
      <c r="E42" s="2"/>
      <c r="F42" s="6">
        <f t="shared" si="16"/>
        <v>0</v>
      </c>
      <c r="G42" s="2"/>
      <c r="H42" s="7">
        <v>0.94</v>
      </c>
      <c r="I42" s="2"/>
      <c r="J42" s="6">
        <f t="shared" si="17"/>
        <v>0</v>
      </c>
      <c r="K42" s="2"/>
      <c r="L42" s="7">
        <f t="shared" si="18"/>
        <v>-0.94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1.41</v>
      </c>
      <c r="U42" s="2"/>
      <c r="V42" s="6">
        <f t="shared" si="21"/>
        <v>0</v>
      </c>
      <c r="W42" s="2"/>
      <c r="X42" s="7">
        <f t="shared" si="22"/>
        <v>-1.41</v>
      </c>
      <c r="Y42" s="2"/>
      <c r="Z42" s="6">
        <f t="shared" si="23"/>
        <v>-1</v>
      </c>
    </row>
    <row r="43" spans="1:26" s="27" customFormat="1" outlineLevel="1" collapsed="1" x14ac:dyDescent="0.25">
      <c r="A43" s="28"/>
      <c r="B43" s="14" t="str">
        <f>CONCATENATE("     ","General                                           ")</f>
        <v xml:space="preserve">     General                                           </v>
      </c>
      <c r="C43" s="14"/>
      <c r="D43" s="1">
        <f>SUM(OSRRefD22_7x_0)</f>
        <v>2250</v>
      </c>
      <c r="E43" s="1"/>
      <c r="F43" s="5">
        <f t="shared" si="16"/>
        <v>0</v>
      </c>
      <c r="G43" s="1"/>
      <c r="H43" s="1">
        <f>SUM(OSRRefH22_7x_0)</f>
        <v>0</v>
      </c>
      <c r="I43" s="1"/>
      <c r="J43" s="5">
        <f t="shared" si="17"/>
        <v>0</v>
      </c>
      <c r="K43" s="1"/>
      <c r="L43" s="1">
        <f t="shared" si="18"/>
        <v>2250</v>
      </c>
      <c r="M43" s="1"/>
      <c r="N43" s="5">
        <f t="shared" si="19"/>
        <v>0</v>
      </c>
      <c r="O43" s="14"/>
      <c r="P43" s="1">
        <f>SUM(OSRRefP22_7x_0)</f>
        <v>2280.62</v>
      </c>
      <c r="Q43" s="1"/>
      <c r="R43" s="5">
        <f t="shared" si="20"/>
        <v>0</v>
      </c>
      <c r="S43" s="1"/>
      <c r="T43" s="1">
        <f>SUM(OSRRefT22_7x_0)</f>
        <v>7670</v>
      </c>
      <c r="U43" s="1"/>
      <c r="V43" s="5">
        <f t="shared" si="21"/>
        <v>0</v>
      </c>
      <c r="W43" s="1"/>
      <c r="X43" s="1">
        <f t="shared" si="22"/>
        <v>-5389.38</v>
      </c>
      <c r="Y43" s="1"/>
      <c r="Z43" s="5">
        <f t="shared" si="23"/>
        <v>-0.70265710560625816</v>
      </c>
    </row>
    <row r="44" spans="1:26" s="24" customFormat="1" hidden="1" outlineLevel="2" x14ac:dyDescent="0.25">
      <c r="A44" s="29"/>
      <c r="B44" s="11" t="str">
        <f>CONCATENATE("          ", "6279", " - ", "GENERAL EXPENSE")</f>
        <v xml:space="preserve">          6279 - GENERAL EXPENSE</v>
      </c>
      <c r="C44" s="11"/>
      <c r="D44" s="7">
        <v>2250</v>
      </c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2250</v>
      </c>
      <c r="M44" s="2"/>
      <c r="N44" s="6">
        <f t="shared" si="19"/>
        <v>0</v>
      </c>
      <c r="O44" s="11"/>
      <c r="P44" s="7">
        <v>2280.62</v>
      </c>
      <c r="Q44" s="2"/>
      <c r="R44" s="6">
        <f t="shared" si="20"/>
        <v>0</v>
      </c>
      <c r="S44" s="2"/>
      <c r="T44" s="7">
        <v>7670</v>
      </c>
      <c r="U44" s="2"/>
      <c r="V44" s="6">
        <f t="shared" si="21"/>
        <v>0</v>
      </c>
      <c r="W44" s="2"/>
      <c r="X44" s="7">
        <f t="shared" si="22"/>
        <v>-5389.38</v>
      </c>
      <c r="Y44" s="2"/>
      <c r="Z44" s="6">
        <f t="shared" si="23"/>
        <v>-0.70265710560625816</v>
      </c>
    </row>
    <row r="45" spans="1:26" s="27" customFormat="1" outlineLevel="1" collapsed="1" x14ac:dyDescent="0.25">
      <c r="A45" s="28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SUM(OSRRefD22_8x_0)</f>
        <v>115.13</v>
      </c>
      <c r="E45" s="1"/>
      <c r="F45" s="5">
        <f t="shared" si="16"/>
        <v>0</v>
      </c>
      <c r="G45" s="1"/>
      <c r="H45" s="1">
        <f>SUM(OSRRefH22_8x_0)</f>
        <v>108.47</v>
      </c>
      <c r="I45" s="1"/>
      <c r="J45" s="5">
        <f t="shared" si="17"/>
        <v>0</v>
      </c>
      <c r="K45" s="1"/>
      <c r="L45" s="1">
        <f t="shared" si="18"/>
        <v>6.6599999999999966</v>
      </c>
      <c r="M45" s="1"/>
      <c r="N45" s="5">
        <f t="shared" si="19"/>
        <v>6.139946528994189E-2</v>
      </c>
      <c r="O45" s="14"/>
      <c r="P45" s="1">
        <f>SUM(OSRRefP22_8x_0)</f>
        <v>230.26</v>
      </c>
      <c r="Q45" s="1"/>
      <c r="R45" s="5">
        <f t="shared" si="20"/>
        <v>0</v>
      </c>
      <c r="S45" s="1"/>
      <c r="T45" s="1">
        <f>SUM(OSRRefT22_8x_0)</f>
        <v>216.94</v>
      </c>
      <c r="U45" s="1"/>
      <c r="V45" s="5">
        <f t="shared" si="21"/>
        <v>0</v>
      </c>
      <c r="W45" s="1"/>
      <c r="X45" s="1">
        <f t="shared" si="22"/>
        <v>13.319999999999993</v>
      </c>
      <c r="Y45" s="1"/>
      <c r="Z45" s="5">
        <f t="shared" si="23"/>
        <v>6.139946528994189E-2</v>
      </c>
    </row>
    <row r="46" spans="1:26" s="24" customFormat="1" hidden="1" outlineLevel="2" x14ac:dyDescent="0.25">
      <c r="A46" s="29"/>
      <c r="B46" s="11" t="str">
        <f>CONCATENATE("          ", "6314", " - ", "LIABILITY INSURANCE")</f>
        <v xml:space="preserve">          6314 - LIABILITY INSURANCE</v>
      </c>
      <c r="C46" s="11"/>
      <c r="D46" s="7">
        <v>115.13</v>
      </c>
      <c r="E46" s="2"/>
      <c r="F46" s="6">
        <f t="shared" si="16"/>
        <v>0</v>
      </c>
      <c r="G46" s="2"/>
      <c r="H46" s="7">
        <v>108.47</v>
      </c>
      <c r="I46" s="2"/>
      <c r="J46" s="6">
        <f t="shared" si="17"/>
        <v>0</v>
      </c>
      <c r="K46" s="2"/>
      <c r="L46" s="7">
        <f t="shared" si="18"/>
        <v>6.6599999999999966</v>
      </c>
      <c r="M46" s="2"/>
      <c r="N46" s="6">
        <f t="shared" si="19"/>
        <v>6.139946528994189E-2</v>
      </c>
      <c r="O46" s="11"/>
      <c r="P46" s="7">
        <v>230.26</v>
      </c>
      <c r="Q46" s="2"/>
      <c r="R46" s="6">
        <f t="shared" si="20"/>
        <v>0</v>
      </c>
      <c r="S46" s="2"/>
      <c r="T46" s="7">
        <v>216.94</v>
      </c>
      <c r="U46" s="2"/>
      <c r="V46" s="6">
        <f t="shared" si="21"/>
        <v>0</v>
      </c>
      <c r="W46" s="2"/>
      <c r="X46" s="7">
        <f t="shared" si="22"/>
        <v>13.319999999999993</v>
      </c>
      <c r="Y46" s="2"/>
      <c r="Z46" s="6">
        <f t="shared" si="23"/>
        <v>6.139946528994189E-2</v>
      </c>
    </row>
    <row r="47" spans="1:26" s="27" customFormat="1" outlineLevel="1" collapsed="1" x14ac:dyDescent="0.25">
      <c r="A47" s="28"/>
      <c r="B47" s="14" t="str">
        <f>CONCATENATE("     ","Professional Services                             ")</f>
        <v xml:space="preserve">     Professional Services                             </v>
      </c>
      <c r="C47" s="14"/>
      <c r="D47" s="1">
        <f>SUM(OSRRefD22_9x_0)</f>
        <v>0</v>
      </c>
      <c r="E47" s="1"/>
      <c r="F47" s="5">
        <f t="shared" si="16"/>
        <v>0</v>
      </c>
      <c r="G47" s="1"/>
      <c r="H47" s="1">
        <f>SUM(OSRRefH22_9x_0)</f>
        <v>0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4"/>
      <c r="P47" s="1">
        <f>SUM(OSRRefP22_9x_0)</f>
        <v>5015</v>
      </c>
      <c r="Q47" s="1"/>
      <c r="R47" s="5">
        <f t="shared" si="20"/>
        <v>0</v>
      </c>
      <c r="S47" s="1"/>
      <c r="T47" s="1">
        <f>SUM(OSRRefT22_9x_0)</f>
        <v>5000</v>
      </c>
      <c r="U47" s="1"/>
      <c r="V47" s="5">
        <f t="shared" si="21"/>
        <v>0</v>
      </c>
      <c r="W47" s="1"/>
      <c r="X47" s="1">
        <f t="shared" si="22"/>
        <v>15</v>
      </c>
      <c r="Y47" s="1"/>
      <c r="Z47" s="5">
        <f t="shared" si="23"/>
        <v>3.0000000000000001E-3</v>
      </c>
    </row>
    <row r="48" spans="1:26" s="24" customFormat="1" hidden="1" outlineLevel="2" x14ac:dyDescent="0.25">
      <c r="A48" s="29"/>
      <c r="B48" s="11" t="str">
        <f>CONCATENATE("          ", "6334", " - ", "LEGAL COUNCIL EXPENSE")</f>
        <v xml:space="preserve">          6334 - LEGAL COUNCIL EXPENSE</v>
      </c>
      <c r="C48" s="11"/>
      <c r="D48" s="7"/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0</v>
      </c>
      <c r="M48" s="2"/>
      <c r="N48" s="6">
        <f t="shared" si="19"/>
        <v>0</v>
      </c>
      <c r="O48" s="11"/>
      <c r="P48" s="7">
        <v>15</v>
      </c>
      <c r="Q48" s="2"/>
      <c r="R48" s="6">
        <f t="shared" si="20"/>
        <v>0</v>
      </c>
      <c r="S48" s="2"/>
      <c r="T48" s="7"/>
      <c r="U48" s="2"/>
      <c r="V48" s="6">
        <f t="shared" si="21"/>
        <v>0</v>
      </c>
      <c r="W48" s="2"/>
      <c r="X48" s="7">
        <f t="shared" si="22"/>
        <v>15</v>
      </c>
      <c r="Y48" s="2"/>
      <c r="Z48" s="6">
        <f t="shared" si="23"/>
        <v>0</v>
      </c>
    </row>
    <row r="49" spans="1:26" s="24" customFormat="1" hidden="1" outlineLevel="2" x14ac:dyDescent="0.25">
      <c r="A49" s="29"/>
      <c r="B49" s="11" t="str">
        <f>CONCATENATE("          ", "6336", " - ", "PROFESSIONAL SERVICES")</f>
        <v xml:space="preserve">          6336 - PROFESSIONAL SERVICES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>
        <v>5000</v>
      </c>
      <c r="Q49" s="2"/>
      <c r="R49" s="6">
        <f t="shared" si="20"/>
        <v>0</v>
      </c>
      <c r="S49" s="2"/>
      <c r="T49" s="7">
        <v>5000</v>
      </c>
      <c r="U49" s="2"/>
      <c r="V49" s="6">
        <f t="shared" si="21"/>
        <v>0</v>
      </c>
      <c r="W49" s="2"/>
      <c r="X49" s="7">
        <f t="shared" si="22"/>
        <v>0</v>
      </c>
      <c r="Y49" s="2"/>
      <c r="Z49" s="6">
        <f t="shared" si="23"/>
        <v>0</v>
      </c>
    </row>
    <row r="50" spans="1:26" s="27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SUM(OSRRefD22_10x_0)</f>
        <v>2690.46</v>
      </c>
      <c r="E50" s="1"/>
      <c r="F50" s="5">
        <f t="shared" ref="F50:F52" si="24">IF(D$12=0,0,D50/D$12)</f>
        <v>0</v>
      </c>
      <c r="G50" s="1"/>
      <c r="H50" s="1">
        <f>SUM(OSRRefH22_10x_0)</f>
        <v>2349.3200000000002</v>
      </c>
      <c r="I50" s="1"/>
      <c r="J50" s="5">
        <f t="shared" ref="J50:J52" si="25">IF(H$12=0,0,H50/H$12)</f>
        <v>0</v>
      </c>
      <c r="K50" s="1"/>
      <c r="L50" s="1">
        <f t="shared" ref="L50:L52" si="26">+D50-H50</f>
        <v>341.13999999999987</v>
      </c>
      <c r="M50" s="1"/>
      <c r="N50" s="5">
        <f t="shared" ref="N50:N52" si="27">IF(H50=0,0,L50/H50)</f>
        <v>0.14520797507363825</v>
      </c>
      <c r="O50" s="14"/>
      <c r="P50" s="1">
        <f>SUM(OSRRefP22_10x_0)</f>
        <v>7718.08</v>
      </c>
      <c r="Q50" s="1"/>
      <c r="R50" s="5">
        <f t="shared" ref="R50:R52" si="28">IF(P$12=0,0,P50/P$12)</f>
        <v>0</v>
      </c>
      <c r="S50" s="1"/>
      <c r="T50" s="1">
        <f>SUM(OSRRefT22_10x_0)</f>
        <v>4752.71</v>
      </c>
      <c r="U50" s="1"/>
      <c r="V50" s="5">
        <f t="shared" ref="V50:V52" si="29">IF(T$12=0,0,T50/T$12)</f>
        <v>0</v>
      </c>
      <c r="W50" s="1"/>
      <c r="X50" s="1">
        <f t="shared" ref="X50:X52" si="30">+P50-T50</f>
        <v>2965.37</v>
      </c>
      <c r="Y50" s="1"/>
      <c r="Z50" s="5">
        <f t="shared" ref="Z50:Z52" si="31">IF(T50=0,0,X50/T50)</f>
        <v>0.6239324511699641</v>
      </c>
    </row>
    <row r="51" spans="1:26" s="24" customFormat="1" hidden="1" outlineLevel="2" x14ac:dyDescent="0.25">
      <c r="A51" s="29"/>
      <c r="B51" s="11" t="str">
        <f>CONCATENATE("          ", "6373", " - ", "MAINTENANCE CONTRACTS")</f>
        <v xml:space="preserve">          6373 - MAINTENANCE CONTRACTS</v>
      </c>
      <c r="C51" s="11"/>
      <c r="D51" s="7">
        <v>2690.46</v>
      </c>
      <c r="E51" s="2"/>
      <c r="F51" s="6">
        <f t="shared" si="24"/>
        <v>0</v>
      </c>
      <c r="G51" s="2"/>
      <c r="H51" s="7">
        <v>2349.3200000000002</v>
      </c>
      <c r="I51" s="2"/>
      <c r="J51" s="6">
        <f t="shared" si="25"/>
        <v>0</v>
      </c>
      <c r="K51" s="2"/>
      <c r="L51" s="7">
        <f t="shared" si="26"/>
        <v>341.13999999999987</v>
      </c>
      <c r="M51" s="2"/>
      <c r="N51" s="6">
        <f t="shared" si="27"/>
        <v>0.14520797507363825</v>
      </c>
      <c r="O51" s="11"/>
      <c r="P51" s="7">
        <v>7630.33</v>
      </c>
      <c r="Q51" s="2"/>
      <c r="R51" s="6">
        <f t="shared" si="28"/>
        <v>0</v>
      </c>
      <c r="S51" s="2"/>
      <c r="T51" s="7">
        <v>4752.71</v>
      </c>
      <c r="U51" s="2"/>
      <c r="V51" s="6">
        <f t="shared" si="29"/>
        <v>0</v>
      </c>
      <c r="W51" s="2"/>
      <c r="X51" s="7">
        <f t="shared" si="30"/>
        <v>2877.62</v>
      </c>
      <c r="Y51" s="2"/>
      <c r="Z51" s="6">
        <f t="shared" si="31"/>
        <v>0.6054693006726688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>
        <v>87.75</v>
      </c>
      <c r="Q52" s="2"/>
      <c r="R52" s="6">
        <f t="shared" si="28"/>
        <v>0</v>
      </c>
      <c r="S52" s="2"/>
      <c r="T52" s="7"/>
      <c r="U52" s="2"/>
      <c r="V52" s="6">
        <f t="shared" si="29"/>
        <v>0</v>
      </c>
      <c r="W52" s="2"/>
      <c r="X52" s="7">
        <f t="shared" si="30"/>
        <v>87.75</v>
      </c>
      <c r="Y52" s="2"/>
      <c r="Z52" s="6">
        <f t="shared" si="31"/>
        <v>0</v>
      </c>
    </row>
    <row r="53" spans="1:26" s="27" customFormat="1" outlineLevel="1" collapsed="1" x14ac:dyDescent="0.25">
      <c r="A53" s="28"/>
      <c r="B53" s="14" t="str">
        <f>CONCATENATE("     ","Subscriptions &amp; Dues                              ")</f>
        <v xml:space="preserve">     Subscriptions &amp; Dues                              </v>
      </c>
      <c r="C53" s="14"/>
      <c r="D53" s="1">
        <f>SUM(OSRRefD22_11x_0)</f>
        <v>0</v>
      </c>
      <c r="E53" s="1"/>
      <c r="F53" s="5">
        <f t="shared" ref="F53:F58" si="32">IF(D$12=0,0,D53/D$12)</f>
        <v>0</v>
      </c>
      <c r="G53" s="1"/>
      <c r="H53" s="1">
        <f>SUM(OSRRefH22_11x_0)</f>
        <v>1230</v>
      </c>
      <c r="I53" s="1"/>
      <c r="J53" s="5">
        <f t="shared" ref="J53:J58" si="33">IF(H$12=0,0,H53/H$12)</f>
        <v>0</v>
      </c>
      <c r="K53" s="1"/>
      <c r="L53" s="1">
        <f t="shared" ref="L53:L58" si="34">+D53-H53</f>
        <v>-1230</v>
      </c>
      <c r="M53" s="1"/>
      <c r="N53" s="5">
        <f t="shared" ref="N53:N58" si="35">IF(H53=0,0,L53/H53)</f>
        <v>-1</v>
      </c>
      <c r="O53" s="14"/>
      <c r="P53" s="1">
        <f>SUM(OSRRefP22_11x_0)</f>
        <v>1000</v>
      </c>
      <c r="Q53" s="1"/>
      <c r="R53" s="5">
        <f t="shared" ref="R53:R58" si="36">IF(P$12=0,0,P53/P$12)</f>
        <v>0</v>
      </c>
      <c r="S53" s="1"/>
      <c r="T53" s="1">
        <f>SUM(OSRRefT22_11x_0)</f>
        <v>1230</v>
      </c>
      <c r="U53" s="1"/>
      <c r="V53" s="5">
        <f t="shared" ref="V53:V58" si="37">IF(T$12=0,0,T53/T$12)</f>
        <v>0</v>
      </c>
      <c r="W53" s="1"/>
      <c r="X53" s="1">
        <f t="shared" ref="X53:X58" si="38">+P53-T53</f>
        <v>-230</v>
      </c>
      <c r="Y53" s="1"/>
      <c r="Z53" s="5">
        <f t="shared" ref="Z53:Z58" si="39">IF(T53=0,0,X53/T53)</f>
        <v>-0.18699186991869918</v>
      </c>
    </row>
    <row r="54" spans="1:26" s="24" customFormat="1" hidden="1" outlineLevel="2" x14ac:dyDescent="0.25">
      <c r="A54" s="29"/>
      <c r="B54" s="11" t="str">
        <f>CONCATENATE("          ", "6258", " - ", "MEMBERSHIP DUES")</f>
        <v xml:space="preserve">          6258 - MEMBERSHIP DUES</v>
      </c>
      <c r="C54" s="11"/>
      <c r="D54" s="7"/>
      <c r="E54" s="2"/>
      <c r="F54" s="6">
        <f t="shared" si="32"/>
        <v>0</v>
      </c>
      <c r="G54" s="2"/>
      <c r="H54" s="7">
        <v>1230</v>
      </c>
      <c r="I54" s="2"/>
      <c r="J54" s="6">
        <f t="shared" si="33"/>
        <v>0</v>
      </c>
      <c r="K54" s="2"/>
      <c r="L54" s="7">
        <f t="shared" si="34"/>
        <v>-1230</v>
      </c>
      <c r="M54" s="2"/>
      <c r="N54" s="6">
        <f t="shared" si="35"/>
        <v>-1</v>
      </c>
      <c r="O54" s="11"/>
      <c r="P54" s="7">
        <v>1000</v>
      </c>
      <c r="Q54" s="2"/>
      <c r="R54" s="6">
        <f t="shared" si="36"/>
        <v>0</v>
      </c>
      <c r="S54" s="2"/>
      <c r="T54" s="7">
        <v>1230</v>
      </c>
      <c r="U54" s="2"/>
      <c r="V54" s="6">
        <f t="shared" si="37"/>
        <v>0</v>
      </c>
      <c r="W54" s="2"/>
      <c r="X54" s="7">
        <f t="shared" si="38"/>
        <v>-230</v>
      </c>
      <c r="Y54" s="2"/>
      <c r="Z54" s="6">
        <f t="shared" si="39"/>
        <v>-0.18699186991869918</v>
      </c>
    </row>
    <row r="55" spans="1:26" s="27" customFormat="1" outlineLevel="1" collapsed="1" x14ac:dyDescent="0.25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SUM(OSRRefD22_12x_0)</f>
        <v>130.55000000000001</v>
      </c>
      <c r="E55" s="1"/>
      <c r="F55" s="5">
        <f t="shared" si="32"/>
        <v>0</v>
      </c>
      <c r="G55" s="1"/>
      <c r="H55" s="1">
        <f>SUM(OSRRefH22_12x_0)</f>
        <v>370.62</v>
      </c>
      <c r="I55" s="1"/>
      <c r="J55" s="5">
        <f t="shared" si="33"/>
        <v>0</v>
      </c>
      <c r="K55" s="1"/>
      <c r="L55" s="1">
        <f t="shared" si="34"/>
        <v>-240.07</v>
      </c>
      <c r="M55" s="1"/>
      <c r="N55" s="5">
        <f t="shared" si="35"/>
        <v>-0.647752414872376</v>
      </c>
      <c r="O55" s="14"/>
      <c r="P55" s="1">
        <f>SUM(OSRRefP22_12x_0)</f>
        <v>297.75</v>
      </c>
      <c r="Q55" s="1"/>
      <c r="R55" s="5">
        <f t="shared" si="36"/>
        <v>0</v>
      </c>
      <c r="S55" s="1"/>
      <c r="T55" s="1">
        <f>SUM(OSRRefT22_12x_0)</f>
        <v>407.65000000000003</v>
      </c>
      <c r="U55" s="1"/>
      <c r="V55" s="5">
        <f t="shared" si="37"/>
        <v>0</v>
      </c>
      <c r="W55" s="1"/>
      <c r="X55" s="1">
        <f t="shared" si="38"/>
        <v>-109.90000000000003</v>
      </c>
      <c r="Y55" s="1"/>
      <c r="Z55" s="5">
        <f t="shared" si="39"/>
        <v>-0.26959401447320008</v>
      </c>
    </row>
    <row r="56" spans="1:26" s="24" customFormat="1" hidden="1" outlineLevel="2" x14ac:dyDescent="0.25">
      <c r="A56" s="29"/>
      <c r="B56" s="11" t="str">
        <f>CONCATENATE("          ", "6234", " - ", "EXPENDABLE SUPPLIES &amp; EQUIPMEN")</f>
        <v xml:space="preserve">          6234 - EXPENDABLE SUPPLIES &amp; EQUIPMEN</v>
      </c>
      <c r="C56" s="11"/>
      <c r="D56" s="7"/>
      <c r="E56" s="2"/>
      <c r="F56" s="6">
        <f t="shared" si="32"/>
        <v>0</v>
      </c>
      <c r="G56" s="2"/>
      <c r="H56" s="7">
        <v>14.35</v>
      </c>
      <c r="I56" s="2"/>
      <c r="J56" s="6">
        <f t="shared" si="33"/>
        <v>0</v>
      </c>
      <c r="K56" s="2"/>
      <c r="L56" s="7">
        <f t="shared" si="34"/>
        <v>-14.35</v>
      </c>
      <c r="M56" s="2"/>
      <c r="N56" s="6">
        <f t="shared" si="35"/>
        <v>-1</v>
      </c>
      <c r="O56" s="11"/>
      <c r="P56" s="7"/>
      <c r="Q56" s="2"/>
      <c r="R56" s="6">
        <f t="shared" si="36"/>
        <v>0</v>
      </c>
      <c r="S56" s="2"/>
      <c r="T56" s="7">
        <v>14.35</v>
      </c>
      <c r="U56" s="2"/>
      <c r="V56" s="6">
        <f t="shared" si="37"/>
        <v>0</v>
      </c>
      <c r="W56" s="2"/>
      <c r="X56" s="7">
        <f t="shared" si="38"/>
        <v>-14.35</v>
      </c>
      <c r="Y56" s="2"/>
      <c r="Z56" s="6">
        <f t="shared" si="39"/>
        <v>-1</v>
      </c>
    </row>
    <row r="57" spans="1:26" s="24" customFormat="1" hidden="1" outlineLevel="2" x14ac:dyDescent="0.25">
      <c r="A57" s="29"/>
      <c r="B57" s="11" t="str">
        <f>CONCATENATE("          ", "6241", " - ", "OFFICE EXPENSE")</f>
        <v xml:space="preserve">          6241 - OFFICE EXPENSE</v>
      </c>
      <c r="C57" s="11"/>
      <c r="D57" s="7">
        <v>130.55000000000001</v>
      </c>
      <c r="E57" s="2"/>
      <c r="F57" s="6">
        <f t="shared" si="32"/>
        <v>0</v>
      </c>
      <c r="G57" s="2"/>
      <c r="H57" s="7">
        <v>356.27</v>
      </c>
      <c r="I57" s="2"/>
      <c r="J57" s="6">
        <f t="shared" si="33"/>
        <v>0</v>
      </c>
      <c r="K57" s="2"/>
      <c r="L57" s="7">
        <f t="shared" si="34"/>
        <v>-225.71999999999997</v>
      </c>
      <c r="M57" s="2"/>
      <c r="N57" s="6">
        <f t="shared" si="35"/>
        <v>-0.63356443147051389</v>
      </c>
      <c r="O57" s="11"/>
      <c r="P57" s="7">
        <v>265.89</v>
      </c>
      <c r="Q57" s="2"/>
      <c r="R57" s="6">
        <f t="shared" si="36"/>
        <v>0</v>
      </c>
      <c r="S57" s="2"/>
      <c r="T57" s="7">
        <v>361.44</v>
      </c>
      <c r="U57" s="2"/>
      <c r="V57" s="6">
        <f t="shared" si="37"/>
        <v>0</v>
      </c>
      <c r="W57" s="2"/>
      <c r="X57" s="7">
        <f t="shared" si="38"/>
        <v>-95.550000000000011</v>
      </c>
      <c r="Y57" s="2"/>
      <c r="Z57" s="6">
        <f t="shared" si="39"/>
        <v>-0.26435922974767601</v>
      </c>
    </row>
    <row r="58" spans="1:26" s="24" customFormat="1" hidden="1" outlineLevel="2" x14ac:dyDescent="0.25">
      <c r="A58" s="29"/>
      <c r="B58" s="11" t="str">
        <f>CONCATENATE("          ", "6245", " - ", "PRINTING")</f>
        <v xml:space="preserve">          6245 - PRINTING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31.86</v>
      </c>
      <c r="Q58" s="2"/>
      <c r="R58" s="6">
        <f t="shared" si="36"/>
        <v>0</v>
      </c>
      <c r="S58" s="2"/>
      <c r="T58" s="7">
        <v>31.86</v>
      </c>
      <c r="U58" s="2"/>
      <c r="V58" s="6">
        <f t="shared" si="37"/>
        <v>0</v>
      </c>
      <c r="W58" s="2"/>
      <c r="X58" s="7">
        <f t="shared" si="38"/>
        <v>0</v>
      </c>
      <c r="Y58" s="2"/>
      <c r="Z58" s="6">
        <f t="shared" si="39"/>
        <v>0</v>
      </c>
    </row>
    <row r="59" spans="1:26" s="27" customFormat="1" outlineLevel="1" collapsed="1" x14ac:dyDescent="0.25">
      <c r="A59" s="28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SUM(OSRRefD22_13x_0)</f>
        <v>318.95</v>
      </c>
      <c r="E59" s="1"/>
      <c r="F59" s="5">
        <f t="shared" ref="F59:F65" si="40">IF(D$12=0,0,D59/D$12)</f>
        <v>0</v>
      </c>
      <c r="G59" s="1"/>
      <c r="H59" s="1">
        <f>SUM(OSRRefH22_13x_0)</f>
        <v>349.27</v>
      </c>
      <c r="I59" s="1"/>
      <c r="J59" s="5">
        <f t="shared" ref="J59:J65" si="41">IF(H$12=0,0,H59/H$12)</f>
        <v>0</v>
      </c>
      <c r="K59" s="1"/>
      <c r="L59" s="1">
        <f t="shared" ref="L59:L65" si="42">+D59-H59</f>
        <v>-30.319999999999993</v>
      </c>
      <c r="M59" s="1"/>
      <c r="N59" s="5">
        <f t="shared" ref="N59:N65" si="43">IF(H59=0,0,L59/H59)</f>
        <v>-8.6809631517164351E-2</v>
      </c>
      <c r="O59" s="14"/>
      <c r="P59" s="1">
        <f>SUM(OSRRefP22_13x_0)</f>
        <v>459.63</v>
      </c>
      <c r="Q59" s="1"/>
      <c r="R59" s="5">
        <f t="shared" ref="R59:R65" si="44">IF(P$12=0,0,P59/P$12)</f>
        <v>0</v>
      </c>
      <c r="S59" s="1"/>
      <c r="T59" s="1">
        <f>SUM(OSRRefT22_13x_0)</f>
        <v>454.82</v>
      </c>
      <c r="U59" s="1"/>
      <c r="V59" s="5">
        <f t="shared" ref="V59:V65" si="45">IF(T$12=0,0,T59/T$12)</f>
        <v>0</v>
      </c>
      <c r="W59" s="1"/>
      <c r="X59" s="1">
        <f t="shared" ref="X59:X65" si="46">+P59-T59</f>
        <v>4.8100000000000023</v>
      </c>
      <c r="Y59" s="1"/>
      <c r="Z59" s="5">
        <f t="shared" ref="Z59:Z65" si="47">IF(T59=0,0,X59/T59)</f>
        <v>1.0575612330152593E-2</v>
      </c>
    </row>
    <row r="60" spans="1:26" s="24" customFormat="1" hidden="1" outlineLevel="2" x14ac:dyDescent="0.25">
      <c r="A60" s="29"/>
      <c r="B60" s="11" t="str">
        <f>CONCATENATE("          ", "6309", " - ", "TELEPHONE")</f>
        <v xml:space="preserve">          6309 - TELEPHONE</v>
      </c>
      <c r="C60" s="11"/>
      <c r="D60" s="7">
        <v>318.95</v>
      </c>
      <c r="E60" s="2"/>
      <c r="F60" s="6">
        <f t="shared" si="40"/>
        <v>0</v>
      </c>
      <c r="G60" s="2"/>
      <c r="H60" s="7">
        <v>349.27</v>
      </c>
      <c r="I60" s="2"/>
      <c r="J60" s="6">
        <f t="shared" si="41"/>
        <v>0</v>
      </c>
      <c r="K60" s="2"/>
      <c r="L60" s="7">
        <f t="shared" si="42"/>
        <v>-30.319999999999993</v>
      </c>
      <c r="M60" s="2"/>
      <c r="N60" s="6">
        <f t="shared" si="43"/>
        <v>-8.6809631517164351E-2</v>
      </c>
      <c r="O60" s="11"/>
      <c r="P60" s="7">
        <v>459.63</v>
      </c>
      <c r="Q60" s="2"/>
      <c r="R60" s="6">
        <f t="shared" si="44"/>
        <v>0</v>
      </c>
      <c r="S60" s="2"/>
      <c r="T60" s="7">
        <v>454.82</v>
      </c>
      <c r="U60" s="2"/>
      <c r="V60" s="6">
        <f t="shared" si="45"/>
        <v>0</v>
      </c>
      <c r="W60" s="2"/>
      <c r="X60" s="7">
        <f t="shared" si="46"/>
        <v>4.8100000000000023</v>
      </c>
      <c r="Y60" s="2"/>
      <c r="Z60" s="6">
        <f t="shared" si="47"/>
        <v>1.0575612330152593E-2</v>
      </c>
    </row>
    <row r="61" spans="1:26" s="27" customFormat="1" outlineLevel="1" collapsed="1" x14ac:dyDescent="0.25">
      <c r="A61" s="28"/>
      <c r="B61" s="14" t="str">
        <f>CONCATENATE("     ","Training                                          ")</f>
        <v xml:space="preserve">     Training                                          </v>
      </c>
      <c r="C61" s="14"/>
      <c r="D61" s="1">
        <f>SUM(OSRRefD22_14x_0)</f>
        <v>0</v>
      </c>
      <c r="E61" s="1"/>
      <c r="F61" s="5">
        <f t="shared" si="40"/>
        <v>0</v>
      </c>
      <c r="G61" s="1"/>
      <c r="H61" s="1">
        <f>SUM(OSRRefH22_14x_0)</f>
        <v>1162.24</v>
      </c>
      <c r="I61" s="1"/>
      <c r="J61" s="5">
        <f t="shared" si="41"/>
        <v>0</v>
      </c>
      <c r="K61" s="1"/>
      <c r="L61" s="1">
        <f t="shared" si="42"/>
        <v>-1162.24</v>
      </c>
      <c r="M61" s="1"/>
      <c r="N61" s="5">
        <f t="shared" si="43"/>
        <v>-1</v>
      </c>
      <c r="O61" s="14"/>
      <c r="P61" s="1">
        <f>SUM(OSRRefP22_14x_0)</f>
        <v>0</v>
      </c>
      <c r="Q61" s="1"/>
      <c r="R61" s="5">
        <f t="shared" si="44"/>
        <v>0</v>
      </c>
      <c r="S61" s="1"/>
      <c r="T61" s="1">
        <f>SUM(OSRRefT22_14x_0)</f>
        <v>1162.24</v>
      </c>
      <c r="U61" s="1"/>
      <c r="V61" s="5">
        <f t="shared" si="45"/>
        <v>0</v>
      </c>
      <c r="W61" s="1"/>
      <c r="X61" s="1">
        <f t="shared" si="46"/>
        <v>-1162.24</v>
      </c>
      <c r="Y61" s="1"/>
      <c r="Z61" s="5">
        <f t="shared" si="47"/>
        <v>-1</v>
      </c>
    </row>
    <row r="62" spans="1:26" s="24" customFormat="1" hidden="1" outlineLevel="2" x14ac:dyDescent="0.25">
      <c r="A62" s="29"/>
      <c r="B62" s="11" t="str">
        <f>CONCATENATE("          ", "6376", " - ", "TRAINING")</f>
        <v xml:space="preserve">          6376 - TRAINING</v>
      </c>
      <c r="C62" s="11"/>
      <c r="D62" s="7"/>
      <c r="E62" s="2"/>
      <c r="F62" s="6">
        <f t="shared" si="40"/>
        <v>0</v>
      </c>
      <c r="G62" s="2"/>
      <c r="H62" s="7">
        <v>1162.24</v>
      </c>
      <c r="I62" s="2"/>
      <c r="J62" s="6">
        <f t="shared" si="41"/>
        <v>0</v>
      </c>
      <c r="K62" s="2"/>
      <c r="L62" s="7">
        <f t="shared" si="42"/>
        <v>-1162.24</v>
      </c>
      <c r="M62" s="2"/>
      <c r="N62" s="6">
        <f t="shared" si="43"/>
        <v>-1</v>
      </c>
      <c r="O62" s="11"/>
      <c r="P62" s="7"/>
      <c r="Q62" s="2"/>
      <c r="R62" s="6">
        <f t="shared" si="44"/>
        <v>0</v>
      </c>
      <c r="S62" s="2"/>
      <c r="T62" s="7">
        <v>1162.24</v>
      </c>
      <c r="U62" s="2"/>
      <c r="V62" s="6">
        <f t="shared" si="45"/>
        <v>0</v>
      </c>
      <c r="W62" s="2"/>
      <c r="X62" s="7">
        <f t="shared" si="46"/>
        <v>-1162.24</v>
      </c>
      <c r="Y62" s="2"/>
      <c r="Z62" s="6">
        <f t="shared" si="47"/>
        <v>-1</v>
      </c>
    </row>
    <row r="63" spans="1:26" s="27" customFormat="1" outlineLevel="1" collapsed="1" x14ac:dyDescent="0.25">
      <c r="A63" s="28"/>
      <c r="B63" s="14" t="str">
        <f>CONCATENATE("     ","Travel                                            ")</f>
        <v xml:space="preserve">     Travel                                            </v>
      </c>
      <c r="C63" s="14"/>
      <c r="D63" s="1">
        <f>SUM(OSRRefD22_15x_0)</f>
        <v>2486.42</v>
      </c>
      <c r="E63" s="1"/>
      <c r="F63" s="5">
        <f t="shared" si="40"/>
        <v>0</v>
      </c>
      <c r="G63" s="1"/>
      <c r="H63" s="1">
        <f>SUM(OSRRefH22_15x_0)</f>
        <v>968.81</v>
      </c>
      <c r="I63" s="1"/>
      <c r="J63" s="5">
        <f t="shared" si="41"/>
        <v>0</v>
      </c>
      <c r="K63" s="1"/>
      <c r="L63" s="1">
        <f t="shared" si="42"/>
        <v>1517.6100000000001</v>
      </c>
      <c r="M63" s="1"/>
      <c r="N63" s="5">
        <f t="shared" si="43"/>
        <v>1.5664681413280213</v>
      </c>
      <c r="O63" s="14"/>
      <c r="P63" s="1">
        <f>SUM(OSRRefP22_15x_0)</f>
        <v>2807.26</v>
      </c>
      <c r="Q63" s="1"/>
      <c r="R63" s="5">
        <f t="shared" si="44"/>
        <v>0</v>
      </c>
      <c r="S63" s="1"/>
      <c r="T63" s="1">
        <f>SUM(OSRRefT22_15x_0)</f>
        <v>1189.5999999999999</v>
      </c>
      <c r="U63" s="1"/>
      <c r="V63" s="5">
        <f t="shared" si="45"/>
        <v>0</v>
      </c>
      <c r="W63" s="1"/>
      <c r="X63" s="1">
        <f t="shared" si="46"/>
        <v>1617.6600000000003</v>
      </c>
      <c r="Y63" s="1"/>
      <c r="Z63" s="5">
        <f t="shared" si="47"/>
        <v>1.3598352387357098</v>
      </c>
    </row>
    <row r="64" spans="1:26" s="24" customFormat="1" hidden="1" outlineLevel="2" x14ac:dyDescent="0.25">
      <c r="A64" s="29"/>
      <c r="B64" s="11" t="str">
        <f>CONCATENATE("          ", "6292", " - ", "TRAVEL/CONFERENCE")</f>
        <v xml:space="preserve">          6292 - TRAVEL/CONFERENCE</v>
      </c>
      <c r="C64" s="11"/>
      <c r="D64" s="7">
        <v>2486.42</v>
      </c>
      <c r="E64" s="2"/>
      <c r="F64" s="6">
        <f t="shared" si="40"/>
        <v>0</v>
      </c>
      <c r="G64" s="2"/>
      <c r="H64" s="7">
        <v>968.81</v>
      </c>
      <c r="I64" s="2"/>
      <c r="J64" s="6">
        <f t="shared" si="41"/>
        <v>0</v>
      </c>
      <c r="K64" s="2"/>
      <c r="L64" s="7">
        <f t="shared" si="42"/>
        <v>1517.6100000000001</v>
      </c>
      <c r="M64" s="2"/>
      <c r="N64" s="6">
        <f t="shared" si="43"/>
        <v>1.5664681413280213</v>
      </c>
      <c r="O64" s="11"/>
      <c r="P64" s="7">
        <v>2807.26</v>
      </c>
      <c r="Q64" s="2"/>
      <c r="R64" s="6">
        <f t="shared" si="44"/>
        <v>0</v>
      </c>
      <c r="S64" s="2"/>
      <c r="T64" s="7">
        <v>1165.8399999999999</v>
      </c>
      <c r="U64" s="2"/>
      <c r="V64" s="6">
        <f t="shared" si="45"/>
        <v>0</v>
      </c>
      <c r="W64" s="2"/>
      <c r="X64" s="7">
        <f t="shared" si="46"/>
        <v>1641.4200000000003</v>
      </c>
      <c r="Y64" s="2"/>
      <c r="Z64" s="6">
        <f t="shared" si="47"/>
        <v>1.407929046867495</v>
      </c>
    </row>
    <row r="65" spans="1:26" s="24" customFormat="1" hidden="1" outlineLevel="2" x14ac:dyDescent="0.25">
      <c r="A65" s="29"/>
      <c r="B65" s="11" t="str">
        <f>CONCATENATE("          ", "6294", " - ", "TRAVEL OPERATIONAL")</f>
        <v xml:space="preserve">          6294 - TRAVEL OPERATIONAL</v>
      </c>
      <c r="C65" s="11"/>
      <c r="D65" s="7"/>
      <c r="E65" s="2"/>
      <c r="F65" s="6">
        <f t="shared" si="40"/>
        <v>0</v>
      </c>
      <c r="G65" s="2"/>
      <c r="H65" s="7"/>
      <c r="I65" s="2"/>
      <c r="J65" s="6">
        <f t="shared" si="41"/>
        <v>0</v>
      </c>
      <c r="K65" s="2"/>
      <c r="L65" s="7">
        <f t="shared" si="42"/>
        <v>0</v>
      </c>
      <c r="M65" s="2"/>
      <c r="N65" s="6">
        <f t="shared" si="43"/>
        <v>0</v>
      </c>
      <c r="O65" s="11"/>
      <c r="P65" s="7"/>
      <c r="Q65" s="2"/>
      <c r="R65" s="6">
        <f t="shared" si="44"/>
        <v>0</v>
      </c>
      <c r="S65" s="2"/>
      <c r="T65" s="7">
        <v>23.76</v>
      </c>
      <c r="U65" s="2"/>
      <c r="V65" s="6">
        <f t="shared" si="45"/>
        <v>0</v>
      </c>
      <c r="W65" s="2"/>
      <c r="X65" s="7">
        <f t="shared" si="46"/>
        <v>-23.76</v>
      </c>
      <c r="Y65" s="2"/>
      <c r="Z65" s="6">
        <f t="shared" si="47"/>
        <v>-1</v>
      </c>
    </row>
    <row r="66" spans="1:26" s="62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5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6" t="s">
        <v>3</v>
      </c>
      <c r="C69" s="26"/>
      <c r="D69" s="20">
        <f>+D16-D18+D67</f>
        <v>-167481.93000000002</v>
      </c>
      <c r="E69" s="13"/>
      <c r="F69" s="19">
        <f>IF(D$12=0,0,D69/D$12)</f>
        <v>0</v>
      </c>
      <c r="G69" s="13"/>
      <c r="H69" s="20">
        <f>+H16-H18+H67</f>
        <v>-62722.01999999999</v>
      </c>
      <c r="I69" s="13"/>
      <c r="J69" s="19">
        <f>IF(H$12=0,0,H69/H$12)</f>
        <v>0</v>
      </c>
      <c r="K69" s="15"/>
      <c r="L69" s="20">
        <f>+D69-H69</f>
        <v>-104759.91000000003</v>
      </c>
      <c r="M69" s="15"/>
      <c r="N69" s="19">
        <f>IF(H69=0,0,L69/H69)</f>
        <v>1.670225384960498</v>
      </c>
      <c r="O69" s="25"/>
      <c r="P69" s="20">
        <f>+P16-P18+P67</f>
        <v>-244873.1</v>
      </c>
      <c r="Q69" s="13"/>
      <c r="R69" s="19">
        <f>IF(P$12=0,0,P69/P$12)</f>
        <v>0</v>
      </c>
      <c r="S69" s="13"/>
      <c r="T69" s="20">
        <f>+T16-T18+T67</f>
        <v>-172433.67</v>
      </c>
      <c r="U69" s="13"/>
      <c r="V69" s="19">
        <f>IF(T$12=0,0,T69/T$12)</f>
        <v>0</v>
      </c>
      <c r="W69" s="15"/>
      <c r="X69" s="20">
        <f>+P69-T69</f>
        <v>-72439.429999999993</v>
      </c>
      <c r="Y69" s="15"/>
      <c r="Z69" s="19">
        <f>IF(T69=0,0,X69/T69)</f>
        <v>0.42010026232115799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/>
      <c r="E71" s="4"/>
      <c r="F71" s="12">
        <f>IF(D$12=0,0,D71/D$12)</f>
        <v>0</v>
      </c>
      <c r="G71" s="4"/>
      <c r="H71" s="4"/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/>
      <c r="Q71" s="4"/>
      <c r="R71" s="12">
        <f>IF(P$12=0,0,P71/P$12)</f>
        <v>0</v>
      </c>
      <c r="S71" s="4"/>
      <c r="T71" s="4"/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6" t="s">
        <v>4</v>
      </c>
      <c r="C73" s="26"/>
      <c r="D73" s="31">
        <f>+D69-D71</f>
        <v>-167481.93000000002</v>
      </c>
      <c r="E73" s="13"/>
      <c r="F73" s="36">
        <f>IF(D$12=0,0,D73/D$12)</f>
        <v>0</v>
      </c>
      <c r="G73" s="13"/>
      <c r="H73" s="31">
        <f>+H69-H71</f>
        <v>-62722.01999999999</v>
      </c>
      <c r="I73" s="13"/>
      <c r="J73" s="36">
        <f>IF(H$12=0,0,H73/H$12)</f>
        <v>0</v>
      </c>
      <c r="K73" s="15"/>
      <c r="L73" s="31">
        <f>D73-H73</f>
        <v>-104759.91000000003</v>
      </c>
      <c r="M73" s="15"/>
      <c r="N73" s="36">
        <f>IF(H73=0,0,L73/H73)</f>
        <v>1.670225384960498</v>
      </c>
      <c r="O73" s="25"/>
      <c r="P73" s="31">
        <f>+P69-P71</f>
        <v>-244873.1</v>
      </c>
      <c r="Q73" s="13"/>
      <c r="R73" s="36">
        <f>IF(P$12=0,0,P73/P$12)</f>
        <v>0</v>
      </c>
      <c r="S73" s="13"/>
      <c r="T73" s="31">
        <f>+T69-T71</f>
        <v>-172433.67</v>
      </c>
      <c r="U73" s="13"/>
      <c r="V73" s="36">
        <f>IF(T$12=0,0,T73/T$12)</f>
        <v>0</v>
      </c>
      <c r="W73" s="15"/>
      <c r="X73" s="31">
        <f>P73-T73</f>
        <v>-72439.429999999993</v>
      </c>
      <c r="Y73" s="15"/>
      <c r="Z73" s="36">
        <f>IF(T73=0,0,X73/T73)</f>
        <v>0.42010026232115799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6" t="s">
        <v>5</v>
      </c>
      <c r="C76" s="26"/>
      <c r="D76" s="32">
        <f>SUM(D73:D75)</f>
        <v>-167481.93000000002</v>
      </c>
      <c r="E76" s="13"/>
      <c r="F76" s="30">
        <f>IF(D$12=0,0,D76/D$12)</f>
        <v>0</v>
      </c>
      <c r="G76" s="13"/>
      <c r="H76" s="32">
        <f>SUM(H73:H75)</f>
        <v>-62722.01999999999</v>
      </c>
      <c r="I76" s="13"/>
      <c r="J76" s="30">
        <f>IF(H$12=0,0,H76/H$12)</f>
        <v>0</v>
      </c>
      <c r="K76" s="15"/>
      <c r="L76" s="32">
        <f>+D76-H76</f>
        <v>-104759.91000000003</v>
      </c>
      <c r="M76" s="15"/>
      <c r="N76" s="30">
        <f>IF(H76=0,0,L76/H76)</f>
        <v>1.670225384960498</v>
      </c>
      <c r="O76" s="25"/>
      <c r="P76" s="32">
        <f>SUM(P73:P75)</f>
        <v>-244873.1</v>
      </c>
      <c r="Q76" s="13"/>
      <c r="R76" s="30">
        <f>IF(P$12=0,0,P76/P$12)</f>
        <v>0</v>
      </c>
      <c r="S76" s="13"/>
      <c r="T76" s="32">
        <f>SUM(T73:T75)</f>
        <v>-172433.67</v>
      </c>
      <c r="U76" s="13"/>
      <c r="V76" s="30">
        <f>IF(T$12=0,0,T76/T$12)</f>
        <v>0</v>
      </c>
      <c r="W76" s="15"/>
      <c r="X76" s="32">
        <f>+P76-T76</f>
        <v>-72439.429999999993</v>
      </c>
      <c r="Y76" s="15"/>
      <c r="Z76" s="30">
        <f>IF(T76=0,0,X76/T76)</f>
        <v>0.42010026232115799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7">
        <v>43732.709437384263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60" t="s">
        <v>313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6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4:24" x14ac:dyDescent="0.25"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","202", " - ", "Accounting")</f>
        <v>Department 202 - Accounting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46130.020000000004</v>
      </c>
      <c r="E18" s="22"/>
      <c r="F18" s="33">
        <f t="shared" ref="F18:F27" si="0">IF(D$12=0,0,D18/D$12)</f>
        <v>0</v>
      </c>
      <c r="G18" s="22"/>
      <c r="H18" s="22">
        <f>SUM(OSRRefH22x_0)</f>
        <v>42613.739999999991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3516.2800000000134</v>
      </c>
      <c r="M18" s="4"/>
      <c r="N18" s="33">
        <f t="shared" ref="N18:N27" si="3">IF(H18=0,0,L18/H18)</f>
        <v>8.2515169989773582E-2</v>
      </c>
      <c r="O18" s="10"/>
      <c r="P18" s="22">
        <f>SUM(OSRRefP22x_0)</f>
        <v>101417.27999999998</v>
      </c>
      <c r="Q18" s="22"/>
      <c r="R18" s="33">
        <f t="shared" ref="R18:R27" si="4">IF(P$12=0,0,P18/P$12)</f>
        <v>0</v>
      </c>
      <c r="S18" s="22"/>
      <c r="T18" s="22">
        <f>SUM(OSRRefT22x_0)</f>
        <v>93389.53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8027.7499999999854</v>
      </c>
      <c r="Y18" s="4"/>
      <c r="Z18" s="33">
        <f t="shared" ref="Z18:Z27" si="7">IF(T18=0,0,X18/T18)</f>
        <v>8.5959850103110982E-2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14017.560000000001</v>
      </c>
      <c r="E19" s="1"/>
      <c r="F19" s="5">
        <f t="shared" si="0"/>
        <v>0</v>
      </c>
      <c r="G19" s="1"/>
      <c r="H19" s="1">
        <f>SUM(OSRRefH22_0x_0)</f>
        <v>14476.1</v>
      </c>
      <c r="I19" s="1"/>
      <c r="J19" s="5">
        <f t="shared" si="1"/>
        <v>0</v>
      </c>
      <c r="K19" s="1"/>
      <c r="L19" s="1">
        <f t="shared" si="2"/>
        <v>-458.53999999999905</v>
      </c>
      <c r="M19" s="1"/>
      <c r="N19" s="5">
        <f t="shared" si="3"/>
        <v>-3.1675658499181344E-2</v>
      </c>
      <c r="O19" s="14"/>
      <c r="P19" s="1">
        <f>SUM(OSRRefP22_0x_0)</f>
        <v>31848.1</v>
      </c>
      <c r="Q19" s="1"/>
      <c r="R19" s="5">
        <f t="shared" si="4"/>
        <v>0</v>
      </c>
      <c r="S19" s="1"/>
      <c r="T19" s="1">
        <f>SUM(OSRRefT22_0x_0)</f>
        <v>28680.379999999997</v>
      </c>
      <c r="U19" s="1"/>
      <c r="V19" s="5">
        <f t="shared" si="5"/>
        <v>0</v>
      </c>
      <c r="W19" s="1"/>
      <c r="X19" s="1">
        <f t="shared" si="6"/>
        <v>3167.7200000000012</v>
      </c>
      <c r="Y19" s="1"/>
      <c r="Z19" s="5">
        <f t="shared" si="7"/>
        <v>0.11044902473398195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1932.22</v>
      </c>
      <c r="E20" s="2"/>
      <c r="F20" s="6">
        <f t="shared" si="0"/>
        <v>0</v>
      </c>
      <c r="G20" s="2"/>
      <c r="H20" s="7">
        <v>2062.4899999999998</v>
      </c>
      <c r="I20" s="2"/>
      <c r="J20" s="6">
        <f t="shared" si="1"/>
        <v>0</v>
      </c>
      <c r="K20" s="2"/>
      <c r="L20" s="7">
        <f t="shared" si="2"/>
        <v>-130.26999999999975</v>
      </c>
      <c r="M20" s="2"/>
      <c r="N20" s="6">
        <f t="shared" si="3"/>
        <v>-6.3161518358876775E-2</v>
      </c>
      <c r="O20" s="11"/>
      <c r="P20" s="7">
        <v>4093.89</v>
      </c>
      <c r="Q20" s="2"/>
      <c r="R20" s="6">
        <f t="shared" si="4"/>
        <v>0</v>
      </c>
      <c r="S20" s="2"/>
      <c r="T20" s="7">
        <v>4073.28</v>
      </c>
      <c r="U20" s="2"/>
      <c r="V20" s="6">
        <f t="shared" si="5"/>
        <v>0</v>
      </c>
      <c r="W20" s="2"/>
      <c r="X20" s="7">
        <f t="shared" si="6"/>
        <v>20.609999999999673</v>
      </c>
      <c r="Y20" s="2"/>
      <c r="Z20" s="6">
        <f t="shared" si="7"/>
        <v>5.0598043836907044E-3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101.94</v>
      </c>
      <c r="E21" s="2"/>
      <c r="F21" s="6">
        <f t="shared" si="0"/>
        <v>0</v>
      </c>
      <c r="G21" s="2"/>
      <c r="H21" s="7">
        <v>83.59</v>
      </c>
      <c r="I21" s="2"/>
      <c r="J21" s="6">
        <f t="shared" si="1"/>
        <v>0</v>
      </c>
      <c r="K21" s="2"/>
      <c r="L21" s="7">
        <f t="shared" si="2"/>
        <v>18.349999999999994</v>
      </c>
      <c r="M21" s="2"/>
      <c r="N21" s="6">
        <f t="shared" si="3"/>
        <v>0.219523866491207</v>
      </c>
      <c r="O21" s="11"/>
      <c r="P21" s="7">
        <v>198.53</v>
      </c>
      <c r="Q21" s="2"/>
      <c r="R21" s="6">
        <f t="shared" si="4"/>
        <v>0</v>
      </c>
      <c r="S21" s="2"/>
      <c r="T21" s="7">
        <v>207.08</v>
      </c>
      <c r="U21" s="2"/>
      <c r="V21" s="6">
        <f t="shared" si="5"/>
        <v>0</v>
      </c>
      <c r="W21" s="2"/>
      <c r="X21" s="7">
        <f t="shared" si="6"/>
        <v>-8.5500000000000114</v>
      </c>
      <c r="Y21" s="2"/>
      <c r="Z21" s="6">
        <f t="shared" si="7"/>
        <v>-4.1288390960015506E-2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5942.02</v>
      </c>
      <c r="E22" s="2"/>
      <c r="F22" s="6">
        <f t="shared" si="0"/>
        <v>0</v>
      </c>
      <c r="G22" s="2"/>
      <c r="H22" s="7">
        <v>6952.65</v>
      </c>
      <c r="I22" s="2"/>
      <c r="J22" s="6">
        <f t="shared" si="1"/>
        <v>0</v>
      </c>
      <c r="K22" s="2"/>
      <c r="L22" s="7">
        <f t="shared" si="2"/>
        <v>-1010.6299999999992</v>
      </c>
      <c r="M22" s="2"/>
      <c r="N22" s="6">
        <f t="shared" si="3"/>
        <v>-0.14535896384831673</v>
      </c>
      <c r="O22" s="11"/>
      <c r="P22" s="7">
        <v>11884.04</v>
      </c>
      <c r="Q22" s="2"/>
      <c r="R22" s="6">
        <f t="shared" si="4"/>
        <v>0</v>
      </c>
      <c r="S22" s="2"/>
      <c r="T22" s="7">
        <v>9552.5499999999993</v>
      </c>
      <c r="U22" s="2"/>
      <c r="V22" s="6">
        <f t="shared" si="5"/>
        <v>0</v>
      </c>
      <c r="W22" s="2"/>
      <c r="X22" s="7">
        <f t="shared" si="6"/>
        <v>2331.4900000000016</v>
      </c>
      <c r="Y22" s="2"/>
      <c r="Z22" s="6">
        <f t="shared" si="7"/>
        <v>0.24406990803502748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77.95</v>
      </c>
      <c r="E23" s="2"/>
      <c r="F23" s="6">
        <f t="shared" si="0"/>
        <v>0</v>
      </c>
      <c r="G23" s="2"/>
      <c r="H23" s="7">
        <v>70.11</v>
      </c>
      <c r="I23" s="2"/>
      <c r="J23" s="6">
        <f t="shared" si="1"/>
        <v>0</v>
      </c>
      <c r="K23" s="2"/>
      <c r="L23" s="7">
        <f t="shared" si="2"/>
        <v>7.8400000000000034</v>
      </c>
      <c r="M23" s="2"/>
      <c r="N23" s="6">
        <f t="shared" si="3"/>
        <v>0.11182427613749826</v>
      </c>
      <c r="O23" s="11"/>
      <c r="P23" s="7">
        <v>151.81</v>
      </c>
      <c r="Q23" s="2"/>
      <c r="R23" s="6">
        <f t="shared" si="4"/>
        <v>0</v>
      </c>
      <c r="S23" s="2"/>
      <c r="T23" s="7">
        <v>173.68</v>
      </c>
      <c r="U23" s="2"/>
      <c r="V23" s="6">
        <f t="shared" si="5"/>
        <v>0</v>
      </c>
      <c r="W23" s="2"/>
      <c r="X23" s="7">
        <f t="shared" si="6"/>
        <v>-21.870000000000005</v>
      </c>
      <c r="Y23" s="2"/>
      <c r="Z23" s="6">
        <f t="shared" si="7"/>
        <v>-0.12592123445416861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2196.79</v>
      </c>
      <c r="E24" s="2"/>
      <c r="F24" s="6">
        <f t="shared" si="0"/>
        <v>0</v>
      </c>
      <c r="G24" s="2"/>
      <c r="H24" s="7">
        <v>1889.43</v>
      </c>
      <c r="I24" s="2"/>
      <c r="J24" s="6">
        <f t="shared" si="1"/>
        <v>0</v>
      </c>
      <c r="K24" s="2"/>
      <c r="L24" s="7">
        <f t="shared" si="2"/>
        <v>307.3599999999999</v>
      </c>
      <c r="M24" s="2"/>
      <c r="N24" s="6">
        <f t="shared" si="3"/>
        <v>0.1626733988557395</v>
      </c>
      <c r="O24" s="11"/>
      <c r="P24" s="7">
        <v>4393.58</v>
      </c>
      <c r="Q24" s="2"/>
      <c r="R24" s="6">
        <f t="shared" si="4"/>
        <v>0</v>
      </c>
      <c r="S24" s="2"/>
      <c r="T24" s="7">
        <v>4696.05</v>
      </c>
      <c r="U24" s="2"/>
      <c r="V24" s="6">
        <f t="shared" si="5"/>
        <v>0</v>
      </c>
      <c r="W24" s="2"/>
      <c r="X24" s="7">
        <f t="shared" si="6"/>
        <v>-302.47000000000025</v>
      </c>
      <c r="Y24" s="2"/>
      <c r="Z24" s="6">
        <f t="shared" si="7"/>
        <v>-6.4409450495629364E-2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1866.76</v>
      </c>
      <c r="E25" s="2"/>
      <c r="F25" s="6">
        <f t="shared" si="0"/>
        <v>0</v>
      </c>
      <c r="G25" s="2"/>
      <c r="H25" s="7">
        <v>1618.22</v>
      </c>
      <c r="I25" s="2"/>
      <c r="J25" s="6">
        <f t="shared" si="1"/>
        <v>0</v>
      </c>
      <c r="K25" s="2"/>
      <c r="L25" s="7">
        <f t="shared" si="2"/>
        <v>248.53999999999996</v>
      </c>
      <c r="M25" s="2"/>
      <c r="N25" s="6">
        <f t="shared" si="3"/>
        <v>0.15358851083289043</v>
      </c>
      <c r="O25" s="11"/>
      <c r="P25" s="7">
        <v>4607.9399999999996</v>
      </c>
      <c r="Q25" s="2"/>
      <c r="R25" s="6">
        <f t="shared" si="4"/>
        <v>0</v>
      </c>
      <c r="S25" s="2"/>
      <c r="T25" s="7">
        <v>4114.45</v>
      </c>
      <c r="U25" s="2"/>
      <c r="V25" s="6">
        <f t="shared" si="5"/>
        <v>0</v>
      </c>
      <c r="W25" s="2"/>
      <c r="X25" s="7">
        <f t="shared" si="6"/>
        <v>493.48999999999978</v>
      </c>
      <c r="Y25" s="2"/>
      <c r="Z25" s="6">
        <f t="shared" si="7"/>
        <v>0.11994069681245362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1152.2</v>
      </c>
      <c r="E26" s="2"/>
      <c r="F26" s="6">
        <f t="shared" si="0"/>
        <v>0</v>
      </c>
      <c r="G26" s="2"/>
      <c r="H26" s="7">
        <v>1049.96</v>
      </c>
      <c r="I26" s="2"/>
      <c r="J26" s="6">
        <f t="shared" si="1"/>
        <v>0</v>
      </c>
      <c r="K26" s="2"/>
      <c r="L26" s="7">
        <f t="shared" si="2"/>
        <v>102.24000000000001</v>
      </c>
      <c r="M26" s="2"/>
      <c r="N26" s="6">
        <f t="shared" si="3"/>
        <v>9.7375138100499067E-2</v>
      </c>
      <c r="O26" s="11"/>
      <c r="P26" s="7">
        <v>5087.1099999999997</v>
      </c>
      <c r="Q26" s="2"/>
      <c r="R26" s="6">
        <f t="shared" si="4"/>
        <v>0</v>
      </c>
      <c r="S26" s="2"/>
      <c r="T26" s="7">
        <v>4379.12</v>
      </c>
      <c r="U26" s="2"/>
      <c r="V26" s="6">
        <f t="shared" si="5"/>
        <v>0</v>
      </c>
      <c r="W26" s="2"/>
      <c r="X26" s="7">
        <f t="shared" si="6"/>
        <v>707.98999999999978</v>
      </c>
      <c r="Y26" s="2"/>
      <c r="Z26" s="6">
        <f t="shared" si="7"/>
        <v>0.16167403496592919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747.68</v>
      </c>
      <c r="E27" s="2"/>
      <c r="F27" s="6">
        <f t="shared" si="0"/>
        <v>0</v>
      </c>
      <c r="G27" s="2"/>
      <c r="H27" s="7">
        <v>749.65</v>
      </c>
      <c r="I27" s="2"/>
      <c r="J27" s="6">
        <f t="shared" si="1"/>
        <v>0</v>
      </c>
      <c r="K27" s="2"/>
      <c r="L27" s="7">
        <f t="shared" si="2"/>
        <v>-1.9700000000000273</v>
      </c>
      <c r="M27" s="2"/>
      <c r="N27" s="6">
        <f t="shared" si="3"/>
        <v>-2.6278930167411823E-3</v>
      </c>
      <c r="O27" s="11"/>
      <c r="P27" s="7">
        <v>1431.2</v>
      </c>
      <c r="Q27" s="2"/>
      <c r="R27" s="6">
        <f t="shared" si="4"/>
        <v>0</v>
      </c>
      <c r="S27" s="2"/>
      <c r="T27" s="7">
        <v>1484.17</v>
      </c>
      <c r="U27" s="2"/>
      <c r="V27" s="6">
        <f t="shared" si="5"/>
        <v>0</v>
      </c>
      <c r="W27" s="2"/>
      <c r="X27" s="7">
        <f t="shared" si="6"/>
        <v>-52.970000000000027</v>
      </c>
      <c r="Y27" s="2"/>
      <c r="Z27" s="6">
        <f t="shared" si="7"/>
        <v>-3.5689981605880744E-2</v>
      </c>
    </row>
    <row r="28" spans="1:26" s="27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27215.329999999998</v>
      </c>
      <c r="E28" s="1"/>
      <c r="F28" s="5">
        <f t="shared" ref="F28:F32" si="8">IF(D$12=0,0,D28/D$12)</f>
        <v>0</v>
      </c>
      <c r="G28" s="1"/>
      <c r="H28" s="1">
        <f>SUM(OSRRefH22_1x_0)</f>
        <v>24853.1</v>
      </c>
      <c r="I28" s="1"/>
      <c r="J28" s="5">
        <f t="shared" ref="J28:J32" si="9">IF(H$12=0,0,H28/H$12)</f>
        <v>0</v>
      </c>
      <c r="K28" s="1"/>
      <c r="L28" s="1">
        <f t="shared" ref="L28:L32" si="10">+D28-H28</f>
        <v>2362.2299999999996</v>
      </c>
      <c r="M28" s="1"/>
      <c r="N28" s="5">
        <f t="shared" ref="N28:N32" si="11">IF(H28=0,0,L28/H28)</f>
        <v>9.5047700286885722E-2</v>
      </c>
      <c r="O28" s="14"/>
      <c r="P28" s="1">
        <f>SUM(OSRRefP22_1x_0)</f>
        <v>60975.83</v>
      </c>
      <c r="Q28" s="1"/>
      <c r="R28" s="5">
        <f t="shared" ref="R28:R32" si="12">IF(P$12=0,0,P28/P$12)</f>
        <v>0</v>
      </c>
      <c r="S28" s="1"/>
      <c r="T28" s="1">
        <f>SUM(OSRRefT22_1x_0)</f>
        <v>56048.91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4926.9199999999983</v>
      </c>
      <c r="Y28" s="1"/>
      <c r="Z28" s="5">
        <f t="shared" ref="Z28:Z32" si="15">IF(T28=0,0,X28/T28)</f>
        <v>8.790393961274176E-2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7">
        <v>21687.21</v>
      </c>
      <c r="E29" s="2"/>
      <c r="F29" s="6">
        <f t="shared" si="8"/>
        <v>0</v>
      </c>
      <c r="G29" s="2"/>
      <c r="H29" s="7">
        <v>19877.489999999998</v>
      </c>
      <c r="I29" s="2"/>
      <c r="J29" s="6">
        <f t="shared" si="9"/>
        <v>0</v>
      </c>
      <c r="K29" s="2"/>
      <c r="L29" s="7">
        <f t="shared" si="10"/>
        <v>1809.7200000000012</v>
      </c>
      <c r="M29" s="2"/>
      <c r="N29" s="6">
        <f t="shared" si="11"/>
        <v>9.104368811152723E-2</v>
      </c>
      <c r="O29" s="11"/>
      <c r="P29" s="7">
        <v>50862.74</v>
      </c>
      <c r="Q29" s="2"/>
      <c r="R29" s="6">
        <f t="shared" si="12"/>
        <v>0</v>
      </c>
      <c r="S29" s="2"/>
      <c r="T29" s="7">
        <v>46305.16</v>
      </c>
      <c r="U29" s="2"/>
      <c r="V29" s="6">
        <f t="shared" si="13"/>
        <v>0</v>
      </c>
      <c r="W29" s="2"/>
      <c r="X29" s="7">
        <f t="shared" si="14"/>
        <v>4557.5799999999945</v>
      </c>
      <c r="Y29" s="2"/>
      <c r="Z29" s="6">
        <f t="shared" si="15"/>
        <v>9.8424883965415391E-2</v>
      </c>
    </row>
    <row r="30" spans="1:26" s="24" customFormat="1" hidden="1" outlineLevel="2" x14ac:dyDescent="0.25">
      <c r="A30" s="29"/>
      <c r="B30" s="11" t="str">
        <f>CONCATENATE("          ", "6005", " - ", "TEMPORARY WAGES-HOURLY")</f>
        <v xml:space="preserve">          6005 - TEMPORARY WAGES-HOURLY</v>
      </c>
      <c r="C30" s="11"/>
      <c r="D30" s="7">
        <v>2440.3000000000002</v>
      </c>
      <c r="E30" s="2"/>
      <c r="F30" s="6">
        <f t="shared" si="8"/>
        <v>0</v>
      </c>
      <c r="G30" s="2"/>
      <c r="H30" s="7">
        <v>2013.65</v>
      </c>
      <c r="I30" s="2"/>
      <c r="J30" s="6">
        <f t="shared" si="9"/>
        <v>0</v>
      </c>
      <c r="K30" s="2"/>
      <c r="L30" s="7">
        <f t="shared" si="10"/>
        <v>426.65000000000009</v>
      </c>
      <c r="M30" s="2"/>
      <c r="N30" s="6">
        <f t="shared" si="11"/>
        <v>0.21187892632781272</v>
      </c>
      <c r="O30" s="11"/>
      <c r="P30" s="7">
        <v>4185.6499999999996</v>
      </c>
      <c r="Q30" s="2"/>
      <c r="R30" s="6">
        <f t="shared" si="12"/>
        <v>0</v>
      </c>
      <c r="S30" s="2"/>
      <c r="T30" s="7">
        <v>3517.45</v>
      </c>
      <c r="U30" s="2"/>
      <c r="V30" s="6">
        <f t="shared" si="13"/>
        <v>0</v>
      </c>
      <c r="W30" s="2"/>
      <c r="X30" s="7">
        <f t="shared" si="14"/>
        <v>668.19999999999982</v>
      </c>
      <c r="Y30" s="2"/>
      <c r="Z30" s="6">
        <f t="shared" si="15"/>
        <v>0.1899671637123484</v>
      </c>
    </row>
    <row r="31" spans="1:26" s="24" customFormat="1" hidden="1" outlineLevel="2" x14ac:dyDescent="0.25">
      <c r="A31" s="29"/>
      <c r="B31" s="11" t="str">
        <f>CONCATENATE("          ", "6007", " - ", "STUDENT HOURLY")</f>
        <v xml:space="preserve">          6007 - STUDENT HOURLY</v>
      </c>
      <c r="C31" s="11"/>
      <c r="D31" s="7">
        <v>2583.8200000000002</v>
      </c>
      <c r="E31" s="2"/>
      <c r="F31" s="6">
        <f t="shared" si="8"/>
        <v>0</v>
      </c>
      <c r="G31" s="2"/>
      <c r="H31" s="7">
        <v>2961.96</v>
      </c>
      <c r="I31" s="2"/>
      <c r="J31" s="6">
        <f t="shared" si="9"/>
        <v>0</v>
      </c>
      <c r="K31" s="2"/>
      <c r="L31" s="7">
        <f t="shared" si="10"/>
        <v>-378.13999999999987</v>
      </c>
      <c r="M31" s="2"/>
      <c r="N31" s="6">
        <f t="shared" si="11"/>
        <v>-0.12766546475982116</v>
      </c>
      <c r="O31" s="11"/>
      <c r="P31" s="7">
        <v>5273.44</v>
      </c>
      <c r="Q31" s="2"/>
      <c r="R31" s="6">
        <f t="shared" si="12"/>
        <v>0</v>
      </c>
      <c r="S31" s="2"/>
      <c r="T31" s="7">
        <v>6226.3</v>
      </c>
      <c r="U31" s="2"/>
      <c r="V31" s="6">
        <f t="shared" si="13"/>
        <v>0</v>
      </c>
      <c r="W31" s="2"/>
      <c r="X31" s="7">
        <f t="shared" si="14"/>
        <v>-952.86000000000058</v>
      </c>
      <c r="Y31" s="2"/>
      <c r="Z31" s="6">
        <f t="shared" si="15"/>
        <v>-0.15303791979185077</v>
      </c>
    </row>
    <row r="32" spans="1:26" s="24" customFormat="1" hidden="1" outlineLevel="2" x14ac:dyDescent="0.25">
      <c r="A32" s="29"/>
      <c r="B32" s="11" t="str">
        <f>CONCATENATE("          ", "6008", " - ", "STUDENT HOURLY-FICA EXEMPT")</f>
        <v xml:space="preserve">          6008 - STUDENT HOURLY-FICA EXEMPT</v>
      </c>
      <c r="C32" s="11"/>
      <c r="D32" s="7">
        <v>504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504</v>
      </c>
      <c r="M32" s="2"/>
      <c r="N32" s="6">
        <f t="shared" si="11"/>
        <v>0</v>
      </c>
      <c r="O32" s="11"/>
      <c r="P32" s="7">
        <v>654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654</v>
      </c>
      <c r="Y32" s="2"/>
      <c r="Z32" s="6">
        <f t="shared" si="15"/>
        <v>0</v>
      </c>
    </row>
    <row r="33" spans="1:26" s="27" customFormat="1" outlineLevel="1" collapsed="1" x14ac:dyDescent="0.25">
      <c r="A33" s="28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1558.88</v>
      </c>
      <c r="E33" s="1"/>
      <c r="F33" s="5">
        <f t="shared" ref="F33:F49" si="16">IF(D$12=0,0,D33/D$12)</f>
        <v>0</v>
      </c>
      <c r="G33" s="1"/>
      <c r="H33" s="1">
        <f>SUM(OSRRefH22_2x_0)</f>
        <v>1558.88</v>
      </c>
      <c r="I33" s="1"/>
      <c r="J33" s="5">
        <f t="shared" ref="J33:J49" si="17">IF(H$12=0,0,H33/H$12)</f>
        <v>0</v>
      </c>
      <c r="K33" s="1"/>
      <c r="L33" s="1">
        <f t="shared" ref="L33:L49" si="18">+D33-H33</f>
        <v>0</v>
      </c>
      <c r="M33" s="1"/>
      <c r="N33" s="5">
        <f t="shared" ref="N33:N49" si="19">IF(H33=0,0,L33/H33)</f>
        <v>0</v>
      </c>
      <c r="O33" s="14"/>
      <c r="P33" s="1">
        <f>SUM(OSRRefP22_2x_0)</f>
        <v>3117.76</v>
      </c>
      <c r="Q33" s="1"/>
      <c r="R33" s="5">
        <f t="shared" ref="R33:R49" si="20">IF(P$12=0,0,P33/P$12)</f>
        <v>0</v>
      </c>
      <c r="S33" s="1"/>
      <c r="T33" s="1">
        <f>SUM(OSRRefT22_2x_0)</f>
        <v>3117.76</v>
      </c>
      <c r="U33" s="1"/>
      <c r="V33" s="5">
        <f t="shared" ref="V33:V49" si="21">IF(T$12=0,0,T33/T$12)</f>
        <v>0</v>
      </c>
      <c r="W33" s="1"/>
      <c r="X33" s="1">
        <f t="shared" ref="X33:X49" si="22">+P33-T33</f>
        <v>0</v>
      </c>
      <c r="Y33" s="1"/>
      <c r="Z33" s="5">
        <f t="shared" ref="Z33:Z49" si="23">IF(T33=0,0,X33/T33)</f>
        <v>0</v>
      </c>
    </row>
    <row r="34" spans="1:26" s="24" customFormat="1" hidden="1" outlineLevel="2" x14ac:dyDescent="0.25">
      <c r="A34" s="29"/>
      <c r="B34" s="11" t="str">
        <f>CONCATENATE("          ", "6322", " - ", "EQUIPMENT DEPRECIATION EXPENSE")</f>
        <v xml:space="preserve">          6322 - EQUIPMENT DEPRECIATION EXPENSE</v>
      </c>
      <c r="C34" s="11"/>
      <c r="D34" s="7">
        <v>1558.88</v>
      </c>
      <c r="E34" s="2"/>
      <c r="F34" s="6">
        <f t="shared" si="16"/>
        <v>0</v>
      </c>
      <c r="G34" s="2"/>
      <c r="H34" s="7">
        <v>1558.88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>
        <v>3117.76</v>
      </c>
      <c r="Q34" s="2"/>
      <c r="R34" s="6">
        <f t="shared" si="20"/>
        <v>0</v>
      </c>
      <c r="S34" s="2"/>
      <c r="T34" s="7">
        <v>3117.76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7" customFormat="1" outlineLevel="1" collapsed="1" x14ac:dyDescent="0.25">
      <c r="A35" s="28"/>
      <c r="B35" s="14" t="str">
        <f>CONCATENATE("     ","Equipment Rental                                  ")</f>
        <v xml:space="preserve">     Equipment Rental                                  </v>
      </c>
      <c r="C35" s="14"/>
      <c r="D35" s="1">
        <f>SUM(OSRRefD22_3x_0)</f>
        <v>91.26</v>
      </c>
      <c r="E35" s="1"/>
      <c r="F35" s="5">
        <f t="shared" si="16"/>
        <v>0</v>
      </c>
      <c r="G35" s="1"/>
      <c r="H35" s="1">
        <f>SUM(OSRRefH22_3x_0)</f>
        <v>91.26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SUM(OSRRefP22_3x_0)</f>
        <v>182.52</v>
      </c>
      <c r="Q35" s="1"/>
      <c r="R35" s="5">
        <f t="shared" si="20"/>
        <v>0</v>
      </c>
      <c r="S35" s="1"/>
      <c r="T35" s="1">
        <f>SUM(OSRRefT22_3x_0)</f>
        <v>182.52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9"/>
      <c r="B36" s="11" t="str">
        <f>CONCATENATE("          ", "6351", " - ", "EQUIPMENT RENTAL")</f>
        <v xml:space="preserve">          6351 - EQUIPMENT RENTAL</v>
      </c>
      <c r="C36" s="11"/>
      <c r="D36" s="7">
        <v>91.26</v>
      </c>
      <c r="E36" s="2"/>
      <c r="F36" s="6">
        <f t="shared" si="16"/>
        <v>0</v>
      </c>
      <c r="G36" s="2"/>
      <c r="H36" s="7">
        <v>91.26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182.52</v>
      </c>
      <c r="Q36" s="2"/>
      <c r="R36" s="6">
        <f t="shared" si="20"/>
        <v>0</v>
      </c>
      <c r="S36" s="2"/>
      <c r="T36" s="7">
        <v>182.52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7" customFormat="1" outlineLevel="1" collapsed="1" x14ac:dyDescent="0.25">
      <c r="A37" s="28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SUM(OSRRefD22_4x_0)</f>
        <v>121.8</v>
      </c>
      <c r="E37" s="1"/>
      <c r="F37" s="5">
        <f t="shared" si="16"/>
        <v>0</v>
      </c>
      <c r="G37" s="1"/>
      <c r="H37" s="1">
        <f>SUM(OSRRefH22_4x_0)</f>
        <v>107.32</v>
      </c>
      <c r="I37" s="1"/>
      <c r="J37" s="5">
        <f t="shared" si="17"/>
        <v>0</v>
      </c>
      <c r="K37" s="1"/>
      <c r="L37" s="1">
        <f t="shared" si="18"/>
        <v>14.480000000000004</v>
      </c>
      <c r="M37" s="1"/>
      <c r="N37" s="5">
        <f t="shared" si="19"/>
        <v>0.13492359299291842</v>
      </c>
      <c r="O37" s="14"/>
      <c r="P37" s="1">
        <f>SUM(OSRRefP22_4x_0)</f>
        <v>192.8</v>
      </c>
      <c r="Q37" s="1"/>
      <c r="R37" s="5">
        <f t="shared" si="20"/>
        <v>0</v>
      </c>
      <c r="S37" s="1"/>
      <c r="T37" s="1">
        <f>SUM(OSRRefT22_4x_0)</f>
        <v>175.42</v>
      </c>
      <c r="U37" s="1"/>
      <c r="V37" s="5">
        <f t="shared" si="21"/>
        <v>0</v>
      </c>
      <c r="W37" s="1"/>
      <c r="X37" s="1">
        <f t="shared" si="22"/>
        <v>17.380000000000024</v>
      </c>
      <c r="Y37" s="1"/>
      <c r="Z37" s="5">
        <f t="shared" si="23"/>
        <v>9.9076502109223724E-2</v>
      </c>
    </row>
    <row r="38" spans="1:26" s="24" customFormat="1" hidden="1" outlineLevel="2" x14ac:dyDescent="0.25">
      <c r="A38" s="29"/>
      <c r="B38" s="11" t="str">
        <f>CONCATENATE("          ", "6307", " - ", "POSTAGE")</f>
        <v xml:space="preserve">          6307 - POSTAGE</v>
      </c>
      <c r="C38" s="11"/>
      <c r="D38" s="7">
        <v>121.8</v>
      </c>
      <c r="E38" s="2"/>
      <c r="F38" s="6">
        <f t="shared" si="16"/>
        <v>0</v>
      </c>
      <c r="G38" s="2"/>
      <c r="H38" s="7">
        <v>107.32</v>
      </c>
      <c r="I38" s="2"/>
      <c r="J38" s="6">
        <f t="shared" si="17"/>
        <v>0</v>
      </c>
      <c r="K38" s="2"/>
      <c r="L38" s="7">
        <f t="shared" si="18"/>
        <v>14.480000000000004</v>
      </c>
      <c r="M38" s="2"/>
      <c r="N38" s="6">
        <f t="shared" si="19"/>
        <v>0.13492359299291842</v>
      </c>
      <c r="O38" s="11"/>
      <c r="P38" s="7">
        <v>192.8</v>
      </c>
      <c r="Q38" s="2"/>
      <c r="R38" s="6">
        <f t="shared" si="20"/>
        <v>0</v>
      </c>
      <c r="S38" s="2"/>
      <c r="T38" s="7">
        <v>175.42</v>
      </c>
      <c r="U38" s="2"/>
      <c r="V38" s="6">
        <f t="shared" si="21"/>
        <v>0</v>
      </c>
      <c r="W38" s="2"/>
      <c r="X38" s="7">
        <f t="shared" si="22"/>
        <v>17.380000000000024</v>
      </c>
      <c r="Y38" s="2"/>
      <c r="Z38" s="6">
        <f t="shared" si="23"/>
        <v>9.9076502109223724E-2</v>
      </c>
    </row>
    <row r="39" spans="1:26" s="27" customFormat="1" outlineLevel="1" collapsed="1" x14ac:dyDescent="0.25">
      <c r="A39" s="28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SUM(OSRRefD22_5x_0)</f>
        <v>132.16999999999999</v>
      </c>
      <c r="E39" s="1"/>
      <c r="F39" s="5">
        <f t="shared" si="16"/>
        <v>0</v>
      </c>
      <c r="G39" s="1"/>
      <c r="H39" s="1">
        <f>SUM(OSRRefH22_5x_0)</f>
        <v>124.52</v>
      </c>
      <c r="I39" s="1"/>
      <c r="J39" s="5">
        <f t="shared" si="17"/>
        <v>0</v>
      </c>
      <c r="K39" s="1"/>
      <c r="L39" s="1">
        <f t="shared" si="18"/>
        <v>7.6499999999999915</v>
      </c>
      <c r="M39" s="1"/>
      <c r="N39" s="5">
        <f t="shared" si="19"/>
        <v>6.1435913909412075E-2</v>
      </c>
      <c r="O39" s="14"/>
      <c r="P39" s="1">
        <f>SUM(OSRRefP22_5x_0)</f>
        <v>264.33999999999997</v>
      </c>
      <c r="Q39" s="1"/>
      <c r="R39" s="5">
        <f t="shared" si="20"/>
        <v>0</v>
      </c>
      <c r="S39" s="1"/>
      <c r="T39" s="1">
        <f>SUM(OSRRefT22_5x_0)</f>
        <v>249.04</v>
      </c>
      <c r="U39" s="1"/>
      <c r="V39" s="5">
        <f t="shared" si="21"/>
        <v>0</v>
      </c>
      <c r="W39" s="1"/>
      <c r="X39" s="1">
        <f t="shared" si="22"/>
        <v>15.299999999999983</v>
      </c>
      <c r="Y39" s="1"/>
      <c r="Z39" s="5">
        <f t="shared" si="23"/>
        <v>6.1435913909412075E-2</v>
      </c>
    </row>
    <row r="40" spans="1:26" s="24" customFormat="1" hidden="1" outlineLevel="2" x14ac:dyDescent="0.25">
      <c r="A40" s="29"/>
      <c r="B40" s="11" t="str">
        <f>CONCATENATE("          ", "6314", " - ", "LIABILITY INSURANCE")</f>
        <v xml:space="preserve">          6314 - LIABILITY INSURANCE</v>
      </c>
      <c r="C40" s="11"/>
      <c r="D40" s="7">
        <v>132.16999999999999</v>
      </c>
      <c r="E40" s="2"/>
      <c r="F40" s="6">
        <f t="shared" si="16"/>
        <v>0</v>
      </c>
      <c r="G40" s="2"/>
      <c r="H40" s="7">
        <v>124.52</v>
      </c>
      <c r="I40" s="2"/>
      <c r="J40" s="6">
        <f t="shared" si="17"/>
        <v>0</v>
      </c>
      <c r="K40" s="2"/>
      <c r="L40" s="7">
        <f t="shared" si="18"/>
        <v>7.6499999999999915</v>
      </c>
      <c r="M40" s="2"/>
      <c r="N40" s="6">
        <f t="shared" si="19"/>
        <v>6.1435913909412075E-2</v>
      </c>
      <c r="O40" s="11"/>
      <c r="P40" s="7">
        <v>264.33999999999997</v>
      </c>
      <c r="Q40" s="2"/>
      <c r="R40" s="6">
        <f t="shared" si="20"/>
        <v>0</v>
      </c>
      <c r="S40" s="2"/>
      <c r="T40" s="7">
        <v>249.04</v>
      </c>
      <c r="U40" s="2"/>
      <c r="V40" s="6">
        <f t="shared" si="21"/>
        <v>0</v>
      </c>
      <c r="W40" s="2"/>
      <c r="X40" s="7">
        <f t="shared" si="22"/>
        <v>15.299999999999983</v>
      </c>
      <c r="Y40" s="2"/>
      <c r="Z40" s="6">
        <f t="shared" si="23"/>
        <v>6.1435913909412075E-2</v>
      </c>
    </row>
    <row r="41" spans="1:26" s="27" customFormat="1" outlineLevel="1" collapsed="1" x14ac:dyDescent="0.25">
      <c r="A41" s="28"/>
      <c r="B41" s="14" t="str">
        <f>CONCATENATE("     ","Professional Services                             ")</f>
        <v xml:space="preserve">     Professional Services                             </v>
      </c>
      <c r="C41" s="14"/>
      <c r="D41" s="1">
        <f>SUM(OSRRefD22_6x_0)</f>
        <v>0</v>
      </c>
      <c r="E41" s="1"/>
      <c r="F41" s="5">
        <f t="shared" si="16"/>
        <v>0</v>
      </c>
      <c r="G41" s="1"/>
      <c r="H41" s="1">
        <f>SUM(OSRRefH22_6x_0)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SUM(OSRRefP22_6x_0)</f>
        <v>82.5</v>
      </c>
      <c r="Q41" s="1"/>
      <c r="R41" s="5">
        <f t="shared" si="20"/>
        <v>0</v>
      </c>
      <c r="S41" s="1"/>
      <c r="T41" s="1">
        <f>SUM(OSRRefT22_6x_0)</f>
        <v>0</v>
      </c>
      <c r="U41" s="1"/>
      <c r="V41" s="5">
        <f t="shared" si="21"/>
        <v>0</v>
      </c>
      <c r="W41" s="1"/>
      <c r="X41" s="1">
        <f t="shared" si="22"/>
        <v>82.5</v>
      </c>
      <c r="Y41" s="1"/>
      <c r="Z41" s="5">
        <f t="shared" si="23"/>
        <v>0</v>
      </c>
    </row>
    <row r="42" spans="1:26" s="24" customFormat="1" hidden="1" outlineLevel="2" x14ac:dyDescent="0.25">
      <c r="A42" s="29"/>
      <c r="B42" s="11" t="str">
        <f>CONCATENATE("          ", "6332", " - ", "CONSULTANT FEES")</f>
        <v xml:space="preserve">          6332 - CONSULTANT FEES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82.5</v>
      </c>
      <c r="Q42" s="2"/>
      <c r="R42" s="6">
        <f t="shared" si="20"/>
        <v>0</v>
      </c>
      <c r="S42" s="2"/>
      <c r="T42" s="7"/>
      <c r="U42" s="2"/>
      <c r="V42" s="6">
        <f t="shared" si="21"/>
        <v>0</v>
      </c>
      <c r="W42" s="2"/>
      <c r="X42" s="7">
        <f t="shared" si="22"/>
        <v>82.5</v>
      </c>
      <c r="Y42" s="2"/>
      <c r="Z42" s="6">
        <f t="shared" si="23"/>
        <v>0</v>
      </c>
    </row>
    <row r="43" spans="1:26" s="27" customFormat="1" outlineLevel="1" collapsed="1" x14ac:dyDescent="0.25">
      <c r="A43" s="28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SUM(OSRRefD22_7x_0)</f>
        <v>20.69</v>
      </c>
      <c r="E43" s="1"/>
      <c r="F43" s="5">
        <f t="shared" si="16"/>
        <v>0</v>
      </c>
      <c r="G43" s="1"/>
      <c r="H43" s="1">
        <f>SUM(OSRRefH22_7x_0)</f>
        <v>16.75</v>
      </c>
      <c r="I43" s="1"/>
      <c r="J43" s="5">
        <f t="shared" si="17"/>
        <v>0</v>
      </c>
      <c r="K43" s="1"/>
      <c r="L43" s="1">
        <f t="shared" si="18"/>
        <v>3.9400000000000013</v>
      </c>
      <c r="M43" s="1"/>
      <c r="N43" s="5">
        <f t="shared" si="19"/>
        <v>0.23522388059701499</v>
      </c>
      <c r="O43" s="14"/>
      <c r="P43" s="1">
        <f>SUM(OSRRefP22_7x_0)</f>
        <v>42.69</v>
      </c>
      <c r="Q43" s="1"/>
      <c r="R43" s="5">
        <f t="shared" si="20"/>
        <v>0</v>
      </c>
      <c r="S43" s="1"/>
      <c r="T43" s="1">
        <f>SUM(OSRRefT22_7x_0)</f>
        <v>54.16</v>
      </c>
      <c r="U43" s="1"/>
      <c r="V43" s="5">
        <f t="shared" si="21"/>
        <v>0</v>
      </c>
      <c r="W43" s="1"/>
      <c r="X43" s="1">
        <f t="shared" si="22"/>
        <v>-11.469999999999999</v>
      </c>
      <c r="Y43" s="1"/>
      <c r="Z43" s="5">
        <f t="shared" si="23"/>
        <v>-0.21177991137370752</v>
      </c>
    </row>
    <row r="44" spans="1:26" s="24" customFormat="1" hidden="1" outlineLevel="2" x14ac:dyDescent="0.25">
      <c r="A44" s="29"/>
      <c r="B44" s="11" t="str">
        <f>CONCATENATE("          ", "6373", " - ", "MAINTENANCE CONTRACTS")</f>
        <v xml:space="preserve">          6373 - MAINTENANCE CONTRACTS</v>
      </c>
      <c r="C44" s="11"/>
      <c r="D44" s="7">
        <v>20.69</v>
      </c>
      <c r="E44" s="2"/>
      <c r="F44" s="6">
        <f t="shared" si="16"/>
        <v>0</v>
      </c>
      <c r="G44" s="2"/>
      <c r="H44" s="7">
        <v>16.75</v>
      </c>
      <c r="I44" s="2"/>
      <c r="J44" s="6">
        <f t="shared" si="17"/>
        <v>0</v>
      </c>
      <c r="K44" s="2"/>
      <c r="L44" s="7">
        <f t="shared" si="18"/>
        <v>3.9400000000000013</v>
      </c>
      <c r="M44" s="2"/>
      <c r="N44" s="6">
        <f t="shared" si="19"/>
        <v>0.23522388059701499</v>
      </c>
      <c r="O44" s="11"/>
      <c r="P44" s="7">
        <v>42.69</v>
      </c>
      <c r="Q44" s="2"/>
      <c r="R44" s="6">
        <f t="shared" si="20"/>
        <v>0</v>
      </c>
      <c r="S44" s="2"/>
      <c r="T44" s="7">
        <v>54.16</v>
      </c>
      <c r="U44" s="2"/>
      <c r="V44" s="6">
        <f t="shared" si="21"/>
        <v>0</v>
      </c>
      <c r="W44" s="2"/>
      <c r="X44" s="7">
        <f t="shared" si="22"/>
        <v>-11.469999999999999</v>
      </c>
      <c r="Y44" s="2"/>
      <c r="Z44" s="6">
        <f t="shared" si="23"/>
        <v>-0.21177991137370752</v>
      </c>
    </row>
    <row r="45" spans="1:26" s="27" customFormat="1" outlineLevel="1" collapsed="1" x14ac:dyDescent="0.25">
      <c r="A45" s="28"/>
      <c r="B45" s="14" t="str">
        <f>CONCATENATE("     ","Services                                          ")</f>
        <v xml:space="preserve">     Services                                          </v>
      </c>
      <c r="C45" s="14"/>
      <c r="D45" s="1">
        <f>SUM(OSRRefD22_8x_0)</f>
        <v>1842.78</v>
      </c>
      <c r="E45" s="1"/>
      <c r="F45" s="5">
        <f t="shared" si="16"/>
        <v>0</v>
      </c>
      <c r="G45" s="1"/>
      <c r="H45" s="1">
        <f>SUM(OSRRefH22_8x_0)</f>
        <v>791.59</v>
      </c>
      <c r="I45" s="1"/>
      <c r="J45" s="5">
        <f t="shared" si="17"/>
        <v>0</v>
      </c>
      <c r="K45" s="1"/>
      <c r="L45" s="1">
        <f t="shared" si="18"/>
        <v>1051.19</v>
      </c>
      <c r="M45" s="1"/>
      <c r="N45" s="5">
        <f t="shared" si="19"/>
        <v>1.327947548604707</v>
      </c>
      <c r="O45" s="14"/>
      <c r="P45" s="1">
        <f>SUM(OSRRefP22_8x_0)</f>
        <v>2856.48</v>
      </c>
      <c r="Q45" s="1"/>
      <c r="R45" s="5">
        <f t="shared" si="20"/>
        <v>0</v>
      </c>
      <c r="S45" s="1"/>
      <c r="T45" s="1">
        <f>SUM(OSRRefT22_8x_0)</f>
        <v>1358.42</v>
      </c>
      <c r="U45" s="1"/>
      <c r="V45" s="5">
        <f t="shared" si="21"/>
        <v>0</v>
      </c>
      <c r="W45" s="1"/>
      <c r="X45" s="1">
        <f t="shared" si="22"/>
        <v>1498.06</v>
      </c>
      <c r="Y45" s="1"/>
      <c r="Z45" s="5">
        <f t="shared" si="23"/>
        <v>1.1027958952312245</v>
      </c>
    </row>
    <row r="46" spans="1:26" s="24" customFormat="1" hidden="1" outlineLevel="2" x14ac:dyDescent="0.25">
      <c r="A46" s="29"/>
      <c r="B46" s="11" t="str">
        <f>CONCATENATE("          ", "6281", " - ", "STORAGE FEE")</f>
        <v xml:space="preserve">          6281 - STORAGE FEE</v>
      </c>
      <c r="C46" s="11"/>
      <c r="D46" s="7">
        <v>1842.78</v>
      </c>
      <c r="E46" s="2"/>
      <c r="F46" s="6">
        <f t="shared" si="16"/>
        <v>0</v>
      </c>
      <c r="G46" s="2"/>
      <c r="H46" s="7">
        <v>791.59</v>
      </c>
      <c r="I46" s="2"/>
      <c r="J46" s="6">
        <f t="shared" si="17"/>
        <v>0</v>
      </c>
      <c r="K46" s="2"/>
      <c r="L46" s="7">
        <f t="shared" si="18"/>
        <v>1051.19</v>
      </c>
      <c r="M46" s="2"/>
      <c r="N46" s="6">
        <f t="shared" si="19"/>
        <v>1.327947548604707</v>
      </c>
      <c r="O46" s="11"/>
      <c r="P46" s="7">
        <v>2856.48</v>
      </c>
      <c r="Q46" s="2"/>
      <c r="R46" s="6">
        <f t="shared" si="20"/>
        <v>0</v>
      </c>
      <c r="S46" s="2"/>
      <c r="T46" s="7">
        <v>1358.42</v>
      </c>
      <c r="U46" s="2"/>
      <c r="V46" s="6">
        <f t="shared" si="21"/>
        <v>0</v>
      </c>
      <c r="W46" s="2"/>
      <c r="X46" s="7">
        <f t="shared" si="22"/>
        <v>1498.06</v>
      </c>
      <c r="Y46" s="2"/>
      <c r="Z46" s="6">
        <f t="shared" si="23"/>
        <v>1.1027958952312245</v>
      </c>
    </row>
    <row r="47" spans="1:26" s="27" customFormat="1" outlineLevel="1" collapsed="1" x14ac:dyDescent="0.25">
      <c r="A47" s="28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SUM(OSRRefD22_9x_0)</f>
        <v>753.2</v>
      </c>
      <c r="E47" s="1"/>
      <c r="F47" s="5">
        <f t="shared" si="16"/>
        <v>0</v>
      </c>
      <c r="G47" s="1"/>
      <c r="H47" s="1">
        <f>SUM(OSRRefH22_9x_0)</f>
        <v>105.82</v>
      </c>
      <c r="I47" s="1"/>
      <c r="J47" s="5">
        <f t="shared" si="17"/>
        <v>0</v>
      </c>
      <c r="K47" s="1"/>
      <c r="L47" s="1">
        <f t="shared" si="18"/>
        <v>647.38000000000011</v>
      </c>
      <c r="M47" s="1"/>
      <c r="N47" s="5">
        <f t="shared" si="19"/>
        <v>6.1177471177471192</v>
      </c>
      <c r="O47" s="14"/>
      <c r="P47" s="1">
        <f>SUM(OSRRefP22_9x_0)</f>
        <v>1112.1100000000001</v>
      </c>
      <c r="Q47" s="1"/>
      <c r="R47" s="5">
        <f t="shared" si="20"/>
        <v>0</v>
      </c>
      <c r="S47" s="1"/>
      <c r="T47" s="1">
        <f>SUM(OSRRefT22_9x_0)</f>
        <v>181.37</v>
      </c>
      <c r="U47" s="1"/>
      <c r="V47" s="5">
        <f t="shared" si="21"/>
        <v>0</v>
      </c>
      <c r="W47" s="1"/>
      <c r="X47" s="1">
        <f t="shared" si="22"/>
        <v>930.74000000000012</v>
      </c>
      <c r="Y47" s="1"/>
      <c r="Z47" s="5">
        <f t="shared" si="23"/>
        <v>5.131719689033468</v>
      </c>
    </row>
    <row r="48" spans="1:26" s="24" customFormat="1" hidden="1" outlineLevel="2" x14ac:dyDescent="0.25">
      <c r="A48" s="29"/>
      <c r="B48" s="11" t="str">
        <f>CONCATENATE("          ", "6241", " - ", "OFFICE EXPENSE")</f>
        <v xml:space="preserve">          6241 - OFFICE EXPENSE</v>
      </c>
      <c r="C48" s="11"/>
      <c r="D48" s="7">
        <v>91.7</v>
      </c>
      <c r="E48" s="2"/>
      <c r="F48" s="6">
        <f t="shared" si="16"/>
        <v>0</v>
      </c>
      <c r="G48" s="2"/>
      <c r="H48" s="7">
        <v>105.82</v>
      </c>
      <c r="I48" s="2"/>
      <c r="J48" s="6">
        <f t="shared" si="17"/>
        <v>0</v>
      </c>
      <c r="K48" s="2"/>
      <c r="L48" s="7">
        <f t="shared" si="18"/>
        <v>-14.11999999999999</v>
      </c>
      <c r="M48" s="2"/>
      <c r="N48" s="6">
        <f t="shared" si="19"/>
        <v>-0.13343413343413335</v>
      </c>
      <c r="O48" s="11"/>
      <c r="P48" s="7">
        <v>450.61</v>
      </c>
      <c r="Q48" s="2"/>
      <c r="R48" s="6">
        <f t="shared" si="20"/>
        <v>0</v>
      </c>
      <c r="S48" s="2"/>
      <c r="T48" s="7">
        <v>181.37</v>
      </c>
      <c r="U48" s="2"/>
      <c r="V48" s="6">
        <f t="shared" si="21"/>
        <v>0</v>
      </c>
      <c r="W48" s="2"/>
      <c r="X48" s="7">
        <f t="shared" si="22"/>
        <v>269.24</v>
      </c>
      <c r="Y48" s="2"/>
      <c r="Z48" s="6">
        <f t="shared" si="23"/>
        <v>1.4844792413298782</v>
      </c>
    </row>
    <row r="49" spans="1:26" s="24" customFormat="1" hidden="1" outlineLevel="2" x14ac:dyDescent="0.25">
      <c r="A49" s="29"/>
      <c r="B49" s="11" t="str">
        <f>CONCATENATE("          ", "6245", " - ", "PRINTING")</f>
        <v xml:space="preserve">          6245 - PRINTING</v>
      </c>
      <c r="C49" s="11"/>
      <c r="D49" s="7">
        <v>661.5</v>
      </c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661.5</v>
      </c>
      <c r="M49" s="2"/>
      <c r="N49" s="6">
        <f t="shared" si="19"/>
        <v>0</v>
      </c>
      <c r="O49" s="11"/>
      <c r="P49" s="7">
        <v>661.5</v>
      </c>
      <c r="Q49" s="2"/>
      <c r="R49" s="6">
        <f t="shared" si="20"/>
        <v>0</v>
      </c>
      <c r="S49" s="2"/>
      <c r="T49" s="7"/>
      <c r="U49" s="2"/>
      <c r="V49" s="6">
        <f t="shared" si="21"/>
        <v>0</v>
      </c>
      <c r="W49" s="2"/>
      <c r="X49" s="7">
        <f t="shared" si="22"/>
        <v>661.5</v>
      </c>
      <c r="Y49" s="2"/>
      <c r="Z49" s="6">
        <f t="shared" si="23"/>
        <v>0</v>
      </c>
    </row>
    <row r="50" spans="1:26" s="27" customFormat="1" outlineLevel="1" collapsed="1" x14ac:dyDescent="0.25">
      <c r="A50" s="28"/>
      <c r="B50" s="14" t="str">
        <f>CONCATENATE("     ","Telephone/Data Lines                              ")</f>
        <v xml:space="preserve">     Telephone/Data Lines                              </v>
      </c>
      <c r="C50" s="14"/>
      <c r="D50" s="1">
        <f>SUM(OSRRefD22_10x_0)</f>
        <v>376.35</v>
      </c>
      <c r="E50" s="1"/>
      <c r="F50" s="5">
        <f t="shared" ref="F50:F53" si="24">IF(D$12=0,0,D50/D$12)</f>
        <v>0</v>
      </c>
      <c r="G50" s="1"/>
      <c r="H50" s="1">
        <f>SUM(OSRRefH22_10x_0)</f>
        <v>371.15</v>
      </c>
      <c r="I50" s="1"/>
      <c r="J50" s="5">
        <f t="shared" ref="J50:J53" si="25">IF(H$12=0,0,H50/H$12)</f>
        <v>0</v>
      </c>
      <c r="K50" s="1"/>
      <c r="L50" s="1">
        <f t="shared" ref="L50:L53" si="26">+D50-H50</f>
        <v>5.2000000000000455</v>
      </c>
      <c r="M50" s="1"/>
      <c r="N50" s="5">
        <f t="shared" ref="N50:N53" si="27">IF(H50=0,0,L50/H50)</f>
        <v>1.4010507880910806E-2</v>
      </c>
      <c r="O50" s="14"/>
      <c r="P50" s="1">
        <f>SUM(OSRRefP22_10x_0)</f>
        <v>742.15</v>
      </c>
      <c r="Q50" s="1"/>
      <c r="R50" s="5">
        <f t="shared" ref="R50:R53" si="28">IF(P$12=0,0,P50/P$12)</f>
        <v>0</v>
      </c>
      <c r="S50" s="1"/>
      <c r="T50" s="1">
        <f>SUM(OSRRefT22_10x_0)</f>
        <v>724.3</v>
      </c>
      <c r="U50" s="1"/>
      <c r="V50" s="5">
        <f t="shared" ref="V50:V53" si="29">IF(T$12=0,0,T50/T$12)</f>
        <v>0</v>
      </c>
      <c r="W50" s="1"/>
      <c r="X50" s="1">
        <f t="shared" ref="X50:X53" si="30">+P50-T50</f>
        <v>17.850000000000023</v>
      </c>
      <c r="Y50" s="1"/>
      <c r="Z50" s="5">
        <f t="shared" ref="Z50:Z53" si="31">IF(T50=0,0,X50/T50)</f>
        <v>2.4644484329697673E-2</v>
      </c>
    </row>
    <row r="51" spans="1:26" s="24" customFormat="1" hidden="1" outlineLevel="2" x14ac:dyDescent="0.25">
      <c r="A51" s="29"/>
      <c r="B51" s="11" t="str">
        <f>CONCATENATE("          ", "6309", " - ", "TELEPHONE")</f>
        <v xml:space="preserve">          6309 - TELEPHONE</v>
      </c>
      <c r="C51" s="11"/>
      <c r="D51" s="7">
        <v>376.35</v>
      </c>
      <c r="E51" s="2"/>
      <c r="F51" s="6">
        <f t="shared" si="24"/>
        <v>0</v>
      </c>
      <c r="G51" s="2"/>
      <c r="H51" s="7">
        <v>371.15</v>
      </c>
      <c r="I51" s="2"/>
      <c r="J51" s="6">
        <f t="shared" si="25"/>
        <v>0</v>
      </c>
      <c r="K51" s="2"/>
      <c r="L51" s="7">
        <f t="shared" si="26"/>
        <v>5.2000000000000455</v>
      </c>
      <c r="M51" s="2"/>
      <c r="N51" s="6">
        <f t="shared" si="27"/>
        <v>1.4010507880910806E-2</v>
      </c>
      <c r="O51" s="11"/>
      <c r="P51" s="7">
        <v>742.15</v>
      </c>
      <c r="Q51" s="2"/>
      <c r="R51" s="6">
        <f t="shared" si="28"/>
        <v>0</v>
      </c>
      <c r="S51" s="2"/>
      <c r="T51" s="7">
        <v>724.3</v>
      </c>
      <c r="U51" s="2"/>
      <c r="V51" s="6">
        <f t="shared" si="29"/>
        <v>0</v>
      </c>
      <c r="W51" s="2"/>
      <c r="X51" s="7">
        <f t="shared" si="30"/>
        <v>17.850000000000023</v>
      </c>
      <c r="Y51" s="2"/>
      <c r="Z51" s="6">
        <f t="shared" si="31"/>
        <v>2.4644484329697673E-2</v>
      </c>
    </row>
    <row r="52" spans="1:26" s="27" customFormat="1" outlineLevel="1" collapsed="1" x14ac:dyDescent="0.25">
      <c r="A52" s="28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SUM(OSRRefD22_11x_0)</f>
        <v>0</v>
      </c>
      <c r="E52" s="1"/>
      <c r="F52" s="5">
        <f t="shared" si="24"/>
        <v>0</v>
      </c>
      <c r="G52" s="1"/>
      <c r="H52" s="1">
        <f>SUM(OSRRefH22_11x_0)</f>
        <v>117.25</v>
      </c>
      <c r="I52" s="1"/>
      <c r="J52" s="5">
        <f t="shared" si="25"/>
        <v>0</v>
      </c>
      <c r="K52" s="1"/>
      <c r="L52" s="1">
        <f t="shared" si="26"/>
        <v>-117.25</v>
      </c>
      <c r="M52" s="1"/>
      <c r="N52" s="5">
        <f t="shared" si="27"/>
        <v>-1</v>
      </c>
      <c r="O52" s="14"/>
      <c r="P52" s="1">
        <f>SUM(OSRRefP22_11x_0)</f>
        <v>0</v>
      </c>
      <c r="Q52" s="1"/>
      <c r="R52" s="5">
        <f t="shared" si="28"/>
        <v>0</v>
      </c>
      <c r="S52" s="1"/>
      <c r="T52" s="1">
        <f>SUM(OSRRefT22_11x_0)</f>
        <v>2617.25</v>
      </c>
      <c r="U52" s="1"/>
      <c r="V52" s="5">
        <f t="shared" si="29"/>
        <v>0</v>
      </c>
      <c r="W52" s="1"/>
      <c r="X52" s="1">
        <f t="shared" si="30"/>
        <v>-2617.25</v>
      </c>
      <c r="Y52" s="1"/>
      <c r="Z52" s="5">
        <f t="shared" si="31"/>
        <v>-1</v>
      </c>
    </row>
    <row r="53" spans="1:26" s="24" customFormat="1" hidden="1" outlineLevel="2" x14ac:dyDescent="0.25">
      <c r="A53" s="29"/>
      <c r="B53" s="11" t="str">
        <f>CONCATENATE("          ", "6376", " - ", "TRAINING")</f>
        <v xml:space="preserve">          6376 - TRAINING</v>
      </c>
      <c r="C53" s="11"/>
      <c r="D53" s="7"/>
      <c r="E53" s="2"/>
      <c r="F53" s="6">
        <f t="shared" si="24"/>
        <v>0</v>
      </c>
      <c r="G53" s="2"/>
      <c r="H53" s="7">
        <v>117.25</v>
      </c>
      <c r="I53" s="2"/>
      <c r="J53" s="6">
        <f t="shared" si="25"/>
        <v>0</v>
      </c>
      <c r="K53" s="2"/>
      <c r="L53" s="7">
        <f t="shared" si="26"/>
        <v>-117.25</v>
      </c>
      <c r="M53" s="2"/>
      <c r="N53" s="6">
        <f t="shared" si="27"/>
        <v>-1</v>
      </c>
      <c r="O53" s="11"/>
      <c r="P53" s="7"/>
      <c r="Q53" s="2"/>
      <c r="R53" s="6">
        <f t="shared" si="28"/>
        <v>0</v>
      </c>
      <c r="S53" s="2"/>
      <c r="T53" s="7">
        <v>2617.25</v>
      </c>
      <c r="U53" s="2"/>
      <c r="V53" s="6">
        <f t="shared" si="29"/>
        <v>0</v>
      </c>
      <c r="W53" s="2"/>
      <c r="X53" s="7">
        <f t="shared" si="30"/>
        <v>-2617.25</v>
      </c>
      <c r="Y53" s="2"/>
      <c r="Z53" s="6">
        <f t="shared" si="31"/>
        <v>-1</v>
      </c>
    </row>
    <row r="54" spans="1:26" s="62" customFormat="1" x14ac:dyDescent="0.25">
      <c r="A54" s="37"/>
      <c r="B54" s="37"/>
      <c r="C54" s="37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5" t="s">
        <v>0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6" t="s">
        <v>3</v>
      </c>
      <c r="C57" s="26"/>
      <c r="D57" s="20">
        <f>+D16-D18+D55</f>
        <v>-46130.020000000004</v>
      </c>
      <c r="E57" s="13"/>
      <c r="F57" s="19">
        <f>IF(D$12=0,0,D57/D$12)</f>
        <v>0</v>
      </c>
      <c r="G57" s="13"/>
      <c r="H57" s="20">
        <f>+H16-H18+H55</f>
        <v>-42613.739999999991</v>
      </c>
      <c r="I57" s="13"/>
      <c r="J57" s="19">
        <f>IF(H$12=0,0,H57/H$12)</f>
        <v>0</v>
      </c>
      <c r="K57" s="15"/>
      <c r="L57" s="20">
        <f>+D57-H57</f>
        <v>-3516.2800000000134</v>
      </c>
      <c r="M57" s="15"/>
      <c r="N57" s="19">
        <f>IF(H57=0,0,L57/H57)</f>
        <v>8.2515169989773582E-2</v>
      </c>
      <c r="O57" s="25"/>
      <c r="P57" s="20">
        <f>+P16-P18+P55</f>
        <v>-101417.27999999998</v>
      </c>
      <c r="Q57" s="13"/>
      <c r="R57" s="19">
        <f>IF(P$12=0,0,P57/P$12)</f>
        <v>0</v>
      </c>
      <c r="S57" s="13"/>
      <c r="T57" s="20">
        <f>+T16-T18+T55</f>
        <v>-93389.53</v>
      </c>
      <c r="U57" s="13"/>
      <c r="V57" s="19">
        <f>IF(T$12=0,0,T57/T$12)</f>
        <v>0</v>
      </c>
      <c r="W57" s="15"/>
      <c r="X57" s="20">
        <f>+P57-T57</f>
        <v>-8027.7499999999854</v>
      </c>
      <c r="Y57" s="15"/>
      <c r="Z57" s="19">
        <f>IF(T57=0,0,X57/T57)</f>
        <v>8.5959850103110982E-2</v>
      </c>
    </row>
    <row r="58" spans="1:26" x14ac:dyDescent="0.25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51"/>
      <c r="B59" s="10" t="s">
        <v>13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6" t="s">
        <v>4</v>
      </c>
      <c r="C61" s="26"/>
      <c r="D61" s="31">
        <f>+D57-D59</f>
        <v>-46130.020000000004</v>
      </c>
      <c r="E61" s="13"/>
      <c r="F61" s="36">
        <f>IF(D$12=0,0,D61/D$12)</f>
        <v>0</v>
      </c>
      <c r="G61" s="13"/>
      <c r="H61" s="31">
        <f>+H57-H59</f>
        <v>-42613.739999999991</v>
      </c>
      <c r="I61" s="13"/>
      <c r="J61" s="36">
        <f>IF(H$12=0,0,H61/H$12)</f>
        <v>0</v>
      </c>
      <c r="K61" s="15"/>
      <c r="L61" s="31">
        <f>D61-H61</f>
        <v>-3516.2800000000134</v>
      </c>
      <c r="M61" s="15"/>
      <c r="N61" s="36">
        <f>IF(H61=0,0,L61/H61)</f>
        <v>8.2515169989773582E-2</v>
      </c>
      <c r="O61" s="25"/>
      <c r="P61" s="31">
        <f>+P57-P59</f>
        <v>-101417.27999999998</v>
      </c>
      <c r="Q61" s="13"/>
      <c r="R61" s="36">
        <f>IF(P$12=0,0,P61/P$12)</f>
        <v>0</v>
      </c>
      <c r="S61" s="13"/>
      <c r="T61" s="31">
        <f>+T57-T59</f>
        <v>-93389.53</v>
      </c>
      <c r="U61" s="13"/>
      <c r="V61" s="36">
        <f>IF(T$12=0,0,T61/T$12)</f>
        <v>0</v>
      </c>
      <c r="W61" s="15"/>
      <c r="X61" s="31">
        <f>P61-T61</f>
        <v>-8027.7499999999854</v>
      </c>
      <c r="Y61" s="15"/>
      <c r="Z61" s="36">
        <f>IF(T61=0,0,X61/T61)</f>
        <v>8.5959850103110982E-2</v>
      </c>
    </row>
    <row r="62" spans="1:26" ht="15.75" thickTop="1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6" t="s">
        <v>5</v>
      </c>
      <c r="C64" s="26"/>
      <c r="D64" s="32">
        <f>SUM(D61:D63)</f>
        <v>-46130.020000000004</v>
      </c>
      <c r="E64" s="13"/>
      <c r="F64" s="30">
        <f>IF(D$12=0,0,D64/D$12)</f>
        <v>0</v>
      </c>
      <c r="G64" s="13"/>
      <c r="H64" s="32">
        <f>SUM(H61:H63)</f>
        <v>-42613.739999999991</v>
      </c>
      <c r="I64" s="13"/>
      <c r="J64" s="30">
        <f>IF(H$12=0,0,H64/H$12)</f>
        <v>0</v>
      </c>
      <c r="K64" s="15"/>
      <c r="L64" s="32">
        <f>+D64-H64</f>
        <v>-3516.2800000000134</v>
      </c>
      <c r="M64" s="15"/>
      <c r="N64" s="30">
        <f>IF(H64=0,0,L64/H64)</f>
        <v>8.2515169989773582E-2</v>
      </c>
      <c r="O64" s="25"/>
      <c r="P64" s="32">
        <f>SUM(P61:P63)</f>
        <v>-101417.27999999998</v>
      </c>
      <c r="Q64" s="13"/>
      <c r="R64" s="30">
        <f>IF(P$12=0,0,P64/P$12)</f>
        <v>0</v>
      </c>
      <c r="S64" s="13"/>
      <c r="T64" s="32">
        <f>SUM(T61:T63)</f>
        <v>-93389.53</v>
      </c>
      <c r="U64" s="13"/>
      <c r="V64" s="30">
        <f>IF(T$12=0,0,T64/T$12)</f>
        <v>0</v>
      </c>
      <c r="W64" s="15"/>
      <c r="X64" s="32">
        <f>+P64-T64</f>
        <v>-8027.7499999999854</v>
      </c>
      <c r="Y64" s="15"/>
      <c r="Z64" s="30">
        <f>IF(T64=0,0,X64/T64)</f>
        <v>8.5959850103110982E-2</v>
      </c>
    </row>
    <row r="65" spans="1:24" ht="15.75" thickTop="1" x14ac:dyDescent="0.25">
      <c r="A65" s="9"/>
      <c r="C65" s="9"/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A66" s="9"/>
      <c r="B66" s="57">
        <v>43732.709452395837</v>
      </c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4" x14ac:dyDescent="0.25">
      <c r="A67" s="9"/>
      <c r="B67" s="60" t="s">
        <v>313</v>
      </c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4" x14ac:dyDescent="0.25">
      <c r="A68" s="9"/>
      <c r="B68" s="56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4" x14ac:dyDescent="0.25"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","203", " - ", "Human Resources")</f>
        <v>Department 203 - Human Resources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68393.530000000013</v>
      </c>
      <c r="E18" s="22"/>
      <c r="F18" s="33">
        <f t="shared" ref="F18:F28" si="0">IF(D$12=0,0,D18/D$12)</f>
        <v>0</v>
      </c>
      <c r="G18" s="22"/>
      <c r="H18" s="22">
        <f>SUM(OSRRefH22x_0)</f>
        <v>52245.060000000005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16148.470000000008</v>
      </c>
      <c r="M18" s="4"/>
      <c r="N18" s="33">
        <f t="shared" ref="N18:N28" si="3">IF(H18=0,0,L18/H18)</f>
        <v>0.30909084992916092</v>
      </c>
      <c r="O18" s="10"/>
      <c r="P18" s="22">
        <f>SUM(OSRRefP22x_0)</f>
        <v>134006.37</v>
      </c>
      <c r="Q18" s="22"/>
      <c r="R18" s="33">
        <f t="shared" ref="R18:R28" si="4">IF(P$12=0,0,P18/P$12)</f>
        <v>0</v>
      </c>
      <c r="S18" s="22"/>
      <c r="T18" s="22">
        <f>SUM(OSRRefT22x_0)</f>
        <v>113701.43000000001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20304.939999999988</v>
      </c>
      <c r="Y18" s="4"/>
      <c r="Z18" s="33">
        <f t="shared" ref="Z18:Z28" si="7">IF(T18=0,0,X18/T18)</f>
        <v>0.17858121925115616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11573.3</v>
      </c>
      <c r="E19" s="1"/>
      <c r="F19" s="5">
        <f t="shared" si="0"/>
        <v>0</v>
      </c>
      <c r="G19" s="1"/>
      <c r="H19" s="1">
        <f>SUM(OSRRefH22_0x_0)</f>
        <v>10799.03</v>
      </c>
      <c r="I19" s="1"/>
      <c r="J19" s="5">
        <f t="shared" si="1"/>
        <v>0</v>
      </c>
      <c r="K19" s="1"/>
      <c r="L19" s="1">
        <f t="shared" si="2"/>
        <v>774.26999999999862</v>
      </c>
      <c r="M19" s="1"/>
      <c r="N19" s="5">
        <f t="shared" si="3"/>
        <v>7.1698106218799143E-2</v>
      </c>
      <c r="O19" s="14"/>
      <c r="P19" s="1">
        <f>SUM(OSRRefP22_0x_0)</f>
        <v>27615.299999999996</v>
      </c>
      <c r="Q19" s="1"/>
      <c r="R19" s="5">
        <f t="shared" si="4"/>
        <v>0</v>
      </c>
      <c r="S19" s="1"/>
      <c r="T19" s="1">
        <f>SUM(OSRRefT22_0x_0)</f>
        <v>18518.850000000002</v>
      </c>
      <c r="U19" s="1"/>
      <c r="V19" s="5">
        <f t="shared" si="5"/>
        <v>0</v>
      </c>
      <c r="W19" s="1"/>
      <c r="X19" s="1">
        <f t="shared" si="6"/>
        <v>9096.4499999999935</v>
      </c>
      <c r="Y19" s="1"/>
      <c r="Z19" s="5">
        <f t="shared" si="7"/>
        <v>0.4911995075288148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1783.34</v>
      </c>
      <c r="E20" s="2"/>
      <c r="F20" s="6">
        <f t="shared" si="0"/>
        <v>0</v>
      </c>
      <c r="G20" s="2"/>
      <c r="H20" s="7">
        <v>1403.56</v>
      </c>
      <c r="I20" s="2"/>
      <c r="J20" s="6">
        <f t="shared" si="1"/>
        <v>0</v>
      </c>
      <c r="K20" s="2"/>
      <c r="L20" s="7">
        <f t="shared" si="2"/>
        <v>379.78</v>
      </c>
      <c r="M20" s="2"/>
      <c r="N20" s="6">
        <f t="shared" si="3"/>
        <v>0.2705833737068597</v>
      </c>
      <c r="O20" s="11"/>
      <c r="P20" s="7">
        <v>3547.12</v>
      </c>
      <c r="Q20" s="2"/>
      <c r="R20" s="6">
        <f t="shared" si="4"/>
        <v>0</v>
      </c>
      <c r="S20" s="2"/>
      <c r="T20" s="7">
        <v>3365.77</v>
      </c>
      <c r="U20" s="2"/>
      <c r="V20" s="6">
        <f t="shared" si="5"/>
        <v>0</v>
      </c>
      <c r="W20" s="2"/>
      <c r="X20" s="7">
        <f t="shared" si="6"/>
        <v>181.34999999999991</v>
      </c>
      <c r="Y20" s="2"/>
      <c r="Z20" s="6">
        <f t="shared" si="7"/>
        <v>5.3880687034467571E-2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78.900000000000006</v>
      </c>
      <c r="E21" s="2"/>
      <c r="F21" s="6">
        <f t="shared" si="0"/>
        <v>0</v>
      </c>
      <c r="G21" s="2"/>
      <c r="H21" s="7">
        <v>66.099999999999994</v>
      </c>
      <c r="I21" s="2"/>
      <c r="J21" s="6">
        <f t="shared" si="1"/>
        <v>0</v>
      </c>
      <c r="K21" s="2"/>
      <c r="L21" s="7">
        <f t="shared" si="2"/>
        <v>12.800000000000011</v>
      </c>
      <c r="M21" s="2"/>
      <c r="N21" s="6">
        <f t="shared" si="3"/>
        <v>0.19364599092284437</v>
      </c>
      <c r="O21" s="11"/>
      <c r="P21" s="7">
        <v>157.19</v>
      </c>
      <c r="Q21" s="2"/>
      <c r="R21" s="6">
        <f t="shared" si="4"/>
        <v>0</v>
      </c>
      <c r="S21" s="2"/>
      <c r="T21" s="7">
        <v>167.25</v>
      </c>
      <c r="U21" s="2"/>
      <c r="V21" s="6">
        <f t="shared" si="5"/>
        <v>0</v>
      </c>
      <c r="W21" s="2"/>
      <c r="X21" s="7">
        <f t="shared" si="6"/>
        <v>-10.060000000000002</v>
      </c>
      <c r="Y21" s="2"/>
      <c r="Z21" s="6">
        <f t="shared" si="7"/>
        <v>-6.0149476831091196E-2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5861.61</v>
      </c>
      <c r="E22" s="2"/>
      <c r="F22" s="6">
        <f t="shared" si="0"/>
        <v>0</v>
      </c>
      <c r="G22" s="2"/>
      <c r="H22" s="7">
        <v>6224.8</v>
      </c>
      <c r="I22" s="2"/>
      <c r="J22" s="6">
        <f t="shared" si="1"/>
        <v>0</v>
      </c>
      <c r="K22" s="2"/>
      <c r="L22" s="7">
        <f t="shared" si="2"/>
        <v>-363.19000000000051</v>
      </c>
      <c r="M22" s="2"/>
      <c r="N22" s="6">
        <f t="shared" si="3"/>
        <v>-5.8345649659426888E-2</v>
      </c>
      <c r="O22" s="11"/>
      <c r="P22" s="7">
        <v>11723.22</v>
      </c>
      <c r="Q22" s="2"/>
      <c r="R22" s="6">
        <f t="shared" si="4"/>
        <v>0</v>
      </c>
      <c r="S22" s="2"/>
      <c r="T22" s="7">
        <v>7834.01</v>
      </c>
      <c r="U22" s="2"/>
      <c r="V22" s="6">
        <f t="shared" si="5"/>
        <v>0</v>
      </c>
      <c r="W22" s="2"/>
      <c r="X22" s="7">
        <f t="shared" si="6"/>
        <v>3889.2099999999991</v>
      </c>
      <c r="Y22" s="2"/>
      <c r="Z22" s="6">
        <f t="shared" si="7"/>
        <v>0.49645200861372391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60.34</v>
      </c>
      <c r="E23" s="2"/>
      <c r="F23" s="6">
        <f t="shared" si="0"/>
        <v>0</v>
      </c>
      <c r="G23" s="2"/>
      <c r="H23" s="7">
        <v>55.44</v>
      </c>
      <c r="I23" s="2"/>
      <c r="J23" s="6">
        <f t="shared" si="1"/>
        <v>0</v>
      </c>
      <c r="K23" s="2"/>
      <c r="L23" s="7">
        <f t="shared" si="2"/>
        <v>4.9000000000000057</v>
      </c>
      <c r="M23" s="2"/>
      <c r="N23" s="6">
        <f t="shared" si="3"/>
        <v>8.8383838383838495E-2</v>
      </c>
      <c r="O23" s="11"/>
      <c r="P23" s="7">
        <v>120.21</v>
      </c>
      <c r="Q23" s="2"/>
      <c r="R23" s="6">
        <f t="shared" si="4"/>
        <v>0</v>
      </c>
      <c r="S23" s="2"/>
      <c r="T23" s="7">
        <v>140.28</v>
      </c>
      <c r="U23" s="2"/>
      <c r="V23" s="6">
        <f t="shared" si="5"/>
        <v>0</v>
      </c>
      <c r="W23" s="2"/>
      <c r="X23" s="7">
        <f t="shared" si="6"/>
        <v>-20.070000000000007</v>
      </c>
      <c r="Y23" s="2"/>
      <c r="Z23" s="6">
        <f t="shared" si="7"/>
        <v>-0.14307100085543203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919.4</v>
      </c>
      <c r="E24" s="2"/>
      <c r="F24" s="6">
        <f t="shared" si="0"/>
        <v>0</v>
      </c>
      <c r="G24" s="2"/>
      <c r="H24" s="7">
        <v>727.17</v>
      </c>
      <c r="I24" s="2"/>
      <c r="J24" s="6">
        <f t="shared" si="1"/>
        <v>0</v>
      </c>
      <c r="K24" s="2"/>
      <c r="L24" s="7">
        <f t="shared" si="2"/>
        <v>192.23000000000002</v>
      </c>
      <c r="M24" s="2"/>
      <c r="N24" s="6">
        <f t="shared" si="3"/>
        <v>0.26435358994457969</v>
      </c>
      <c r="O24" s="11"/>
      <c r="P24" s="7">
        <v>1838.8</v>
      </c>
      <c r="Q24" s="2"/>
      <c r="R24" s="6">
        <f t="shared" si="4"/>
        <v>0</v>
      </c>
      <c r="S24" s="2"/>
      <c r="T24" s="7">
        <v>1807.34</v>
      </c>
      <c r="U24" s="2"/>
      <c r="V24" s="6">
        <f t="shared" si="5"/>
        <v>0</v>
      </c>
      <c r="W24" s="2"/>
      <c r="X24" s="7">
        <f t="shared" si="6"/>
        <v>31.460000000000036</v>
      </c>
      <c r="Y24" s="2"/>
      <c r="Z24" s="6">
        <f t="shared" si="7"/>
        <v>1.7406796728894419E-2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>
        <v>445.39</v>
      </c>
      <c r="E25" s="2"/>
      <c r="F25" s="6">
        <f t="shared" si="0"/>
        <v>0</v>
      </c>
      <c r="G25" s="2"/>
      <c r="H25" s="7">
        <v>214.31</v>
      </c>
      <c r="I25" s="2"/>
      <c r="J25" s="6">
        <f t="shared" si="1"/>
        <v>0</v>
      </c>
      <c r="K25" s="2"/>
      <c r="L25" s="7">
        <f t="shared" si="2"/>
        <v>231.07999999999998</v>
      </c>
      <c r="M25" s="2"/>
      <c r="N25" s="6">
        <f t="shared" si="3"/>
        <v>1.0782511315384256</v>
      </c>
      <c r="O25" s="11"/>
      <c r="P25" s="7">
        <v>881.11</v>
      </c>
      <c r="Q25" s="2"/>
      <c r="R25" s="6">
        <f t="shared" si="4"/>
        <v>0</v>
      </c>
      <c r="S25" s="2"/>
      <c r="T25" s="7">
        <v>432.55</v>
      </c>
      <c r="U25" s="2"/>
      <c r="V25" s="6">
        <f t="shared" si="5"/>
        <v>0</v>
      </c>
      <c r="W25" s="2"/>
      <c r="X25" s="7">
        <f t="shared" si="6"/>
        <v>448.56</v>
      </c>
      <c r="Y25" s="2"/>
      <c r="Z25" s="6">
        <f t="shared" si="7"/>
        <v>1.0370130620737488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1171.02</v>
      </c>
      <c r="E26" s="2"/>
      <c r="F26" s="6">
        <f t="shared" si="0"/>
        <v>0</v>
      </c>
      <c r="G26" s="2"/>
      <c r="H26" s="7">
        <v>1023.76</v>
      </c>
      <c r="I26" s="2"/>
      <c r="J26" s="6">
        <f t="shared" si="1"/>
        <v>0</v>
      </c>
      <c r="K26" s="2"/>
      <c r="L26" s="7">
        <f t="shared" si="2"/>
        <v>147.26</v>
      </c>
      <c r="M26" s="2"/>
      <c r="N26" s="6">
        <f t="shared" si="3"/>
        <v>0.14384230679065405</v>
      </c>
      <c r="O26" s="11"/>
      <c r="P26" s="7">
        <v>5632.45</v>
      </c>
      <c r="Q26" s="2"/>
      <c r="R26" s="6">
        <f t="shared" si="4"/>
        <v>0</v>
      </c>
      <c r="S26" s="2"/>
      <c r="T26" s="7">
        <v>2476.41</v>
      </c>
      <c r="U26" s="2"/>
      <c r="V26" s="6">
        <f t="shared" si="5"/>
        <v>0</v>
      </c>
      <c r="W26" s="2"/>
      <c r="X26" s="7">
        <f t="shared" si="6"/>
        <v>3156.04</v>
      </c>
      <c r="Y26" s="2"/>
      <c r="Z26" s="6">
        <f t="shared" si="7"/>
        <v>1.2744416312323081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822.34</v>
      </c>
      <c r="E27" s="2"/>
      <c r="F27" s="6">
        <f t="shared" si="0"/>
        <v>0</v>
      </c>
      <c r="G27" s="2"/>
      <c r="H27" s="7">
        <v>727.7</v>
      </c>
      <c r="I27" s="2"/>
      <c r="J27" s="6">
        <f t="shared" si="1"/>
        <v>0</v>
      </c>
      <c r="K27" s="2"/>
      <c r="L27" s="7">
        <f t="shared" si="2"/>
        <v>94.639999999999986</v>
      </c>
      <c r="M27" s="2"/>
      <c r="N27" s="6">
        <f t="shared" si="3"/>
        <v>0.1300535935138106</v>
      </c>
      <c r="O27" s="11"/>
      <c r="P27" s="7">
        <v>2925.03</v>
      </c>
      <c r="Q27" s="2"/>
      <c r="R27" s="6">
        <f t="shared" si="4"/>
        <v>0</v>
      </c>
      <c r="S27" s="2"/>
      <c r="T27" s="7">
        <v>1600.66</v>
      </c>
      <c r="U27" s="2"/>
      <c r="V27" s="6">
        <f t="shared" si="5"/>
        <v>0</v>
      </c>
      <c r="W27" s="2"/>
      <c r="X27" s="7">
        <f t="shared" si="6"/>
        <v>1324.3700000000001</v>
      </c>
      <c r="Y27" s="2"/>
      <c r="Z27" s="6">
        <f t="shared" si="7"/>
        <v>0.82738995164494644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430.96</v>
      </c>
      <c r="E28" s="2"/>
      <c r="F28" s="6">
        <f t="shared" si="0"/>
        <v>0</v>
      </c>
      <c r="G28" s="2"/>
      <c r="H28" s="7">
        <v>356.19</v>
      </c>
      <c r="I28" s="2"/>
      <c r="J28" s="6">
        <f t="shared" si="1"/>
        <v>0</v>
      </c>
      <c r="K28" s="2"/>
      <c r="L28" s="7">
        <f t="shared" si="2"/>
        <v>74.769999999999982</v>
      </c>
      <c r="M28" s="2"/>
      <c r="N28" s="6">
        <f t="shared" si="3"/>
        <v>0.20991605603750801</v>
      </c>
      <c r="O28" s="11"/>
      <c r="P28" s="7">
        <v>790.17</v>
      </c>
      <c r="Q28" s="2"/>
      <c r="R28" s="6">
        <f t="shared" si="4"/>
        <v>0</v>
      </c>
      <c r="S28" s="2"/>
      <c r="T28" s="7">
        <v>694.58</v>
      </c>
      <c r="U28" s="2"/>
      <c r="V28" s="6">
        <f t="shared" si="5"/>
        <v>0</v>
      </c>
      <c r="W28" s="2"/>
      <c r="X28" s="7">
        <f t="shared" si="6"/>
        <v>95.589999999999918</v>
      </c>
      <c r="Y28" s="2"/>
      <c r="Z28" s="6">
        <f t="shared" si="7"/>
        <v>0.13762273604192449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21238.840000000004</v>
      </c>
      <c r="E29" s="1"/>
      <c r="F29" s="5">
        <f t="shared" ref="F29:F33" si="8">IF(D$12=0,0,D29/D$12)</f>
        <v>0</v>
      </c>
      <c r="G29" s="1"/>
      <c r="H29" s="1">
        <f>SUM(OSRRefH22_1x_0)</f>
        <v>20623.429999999997</v>
      </c>
      <c r="I29" s="1"/>
      <c r="J29" s="5">
        <f t="shared" ref="J29:J33" si="9">IF(H$12=0,0,H29/H$12)</f>
        <v>0</v>
      </c>
      <c r="K29" s="1"/>
      <c r="L29" s="1">
        <f t="shared" ref="L29:L33" si="10">+D29-H29</f>
        <v>615.41000000000713</v>
      </c>
      <c r="M29" s="1"/>
      <c r="N29" s="5">
        <f t="shared" ref="N29:N33" si="11">IF(H29=0,0,L29/H29)</f>
        <v>2.9840332088309617E-2</v>
      </c>
      <c r="O29" s="14"/>
      <c r="P29" s="1">
        <f>SUM(OSRRefP22_1x_0)</f>
        <v>49569.789999999994</v>
      </c>
      <c r="Q29" s="1"/>
      <c r="R29" s="5">
        <f t="shared" ref="R29:R33" si="12">IF(P$12=0,0,P29/P$12)</f>
        <v>0</v>
      </c>
      <c r="S29" s="1"/>
      <c r="T29" s="1">
        <f>SUM(OSRRefT22_1x_0)</f>
        <v>48879.39</v>
      </c>
      <c r="U29" s="1"/>
      <c r="V29" s="5">
        <f t="shared" ref="V29:V33" si="13">IF(T$12=0,0,T29/T$12)</f>
        <v>0</v>
      </c>
      <c r="W29" s="1"/>
      <c r="X29" s="1">
        <f t="shared" ref="X29:X33" si="14">+P29-T29</f>
        <v>690.39999999999418</v>
      </c>
      <c r="Y29" s="1"/>
      <c r="Z29" s="5">
        <f t="shared" ref="Z29:Z33" si="15">IF(T29=0,0,X29/T29)</f>
        <v>1.4124562520113165E-2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7645.89</v>
      </c>
      <c r="E30" s="2"/>
      <c r="F30" s="6">
        <f t="shared" si="8"/>
        <v>0</v>
      </c>
      <c r="G30" s="2"/>
      <c r="H30" s="7">
        <v>7728.46</v>
      </c>
      <c r="I30" s="2"/>
      <c r="J30" s="6">
        <f t="shared" si="9"/>
        <v>0</v>
      </c>
      <c r="K30" s="2"/>
      <c r="L30" s="7">
        <f t="shared" si="10"/>
        <v>-82.569999999999709</v>
      </c>
      <c r="M30" s="2"/>
      <c r="N30" s="6">
        <f t="shared" si="11"/>
        <v>-1.0683887863817592E-2</v>
      </c>
      <c r="O30" s="11"/>
      <c r="P30" s="7">
        <v>18890.05</v>
      </c>
      <c r="Q30" s="2"/>
      <c r="R30" s="6">
        <f t="shared" si="12"/>
        <v>0</v>
      </c>
      <c r="S30" s="2"/>
      <c r="T30" s="7">
        <v>17388.919999999998</v>
      </c>
      <c r="U30" s="2"/>
      <c r="V30" s="6">
        <f t="shared" si="13"/>
        <v>0</v>
      </c>
      <c r="W30" s="2"/>
      <c r="X30" s="7">
        <f t="shared" si="14"/>
        <v>1501.130000000001</v>
      </c>
      <c r="Y30" s="2"/>
      <c r="Z30" s="6">
        <f t="shared" si="15"/>
        <v>8.6326810405706694E-2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>
        <v>8524.35</v>
      </c>
      <c r="E31" s="2"/>
      <c r="F31" s="6">
        <f t="shared" si="8"/>
        <v>0</v>
      </c>
      <c r="G31" s="2"/>
      <c r="H31" s="7">
        <v>8024.69</v>
      </c>
      <c r="I31" s="2"/>
      <c r="J31" s="6">
        <f t="shared" si="9"/>
        <v>0</v>
      </c>
      <c r="K31" s="2"/>
      <c r="L31" s="7">
        <f t="shared" si="10"/>
        <v>499.66000000000076</v>
      </c>
      <c r="M31" s="2"/>
      <c r="N31" s="6">
        <f t="shared" si="11"/>
        <v>6.2265333614133479E-2</v>
      </c>
      <c r="O31" s="11"/>
      <c r="P31" s="7">
        <v>17161.21</v>
      </c>
      <c r="Q31" s="2"/>
      <c r="R31" s="6">
        <f t="shared" si="12"/>
        <v>0</v>
      </c>
      <c r="S31" s="2"/>
      <c r="T31" s="7">
        <v>16370.22</v>
      </c>
      <c r="U31" s="2"/>
      <c r="V31" s="6">
        <f t="shared" si="13"/>
        <v>0</v>
      </c>
      <c r="W31" s="2"/>
      <c r="X31" s="7">
        <f t="shared" si="14"/>
        <v>790.98999999999978</v>
      </c>
      <c r="Y31" s="2"/>
      <c r="Z31" s="6">
        <f t="shared" si="15"/>
        <v>4.8318837498824076E-2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>
        <v>5350.6</v>
      </c>
      <c r="E32" s="2"/>
      <c r="F32" s="6">
        <f t="shared" si="8"/>
        <v>0</v>
      </c>
      <c r="G32" s="2"/>
      <c r="H32" s="7">
        <v>3429.77</v>
      </c>
      <c r="I32" s="2"/>
      <c r="J32" s="6">
        <f t="shared" si="9"/>
        <v>0</v>
      </c>
      <c r="K32" s="2"/>
      <c r="L32" s="7">
        <f t="shared" si="10"/>
        <v>1920.8300000000004</v>
      </c>
      <c r="M32" s="2"/>
      <c r="N32" s="6">
        <f t="shared" si="11"/>
        <v>0.5600463004807904</v>
      </c>
      <c r="O32" s="11"/>
      <c r="P32" s="7">
        <v>10514.53</v>
      </c>
      <c r="Q32" s="2"/>
      <c r="R32" s="6">
        <f t="shared" si="12"/>
        <v>0</v>
      </c>
      <c r="S32" s="2"/>
      <c r="T32" s="7">
        <v>7501.91</v>
      </c>
      <c r="U32" s="2"/>
      <c r="V32" s="6">
        <f t="shared" si="13"/>
        <v>0</v>
      </c>
      <c r="W32" s="2"/>
      <c r="X32" s="7">
        <f t="shared" si="14"/>
        <v>3012.6200000000008</v>
      </c>
      <c r="Y32" s="2"/>
      <c r="Z32" s="6">
        <f t="shared" si="15"/>
        <v>0.40158039752543029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-282</v>
      </c>
      <c r="E33" s="2"/>
      <c r="F33" s="6">
        <f t="shared" si="8"/>
        <v>0</v>
      </c>
      <c r="G33" s="2"/>
      <c r="H33" s="7">
        <v>1440.51</v>
      </c>
      <c r="I33" s="2"/>
      <c r="J33" s="6">
        <f t="shared" si="9"/>
        <v>0</v>
      </c>
      <c r="K33" s="2"/>
      <c r="L33" s="7">
        <f t="shared" si="10"/>
        <v>-1722.51</v>
      </c>
      <c r="M33" s="2"/>
      <c r="N33" s="6">
        <f t="shared" si="11"/>
        <v>-1.1957640002499115</v>
      </c>
      <c r="O33" s="11"/>
      <c r="P33" s="7">
        <v>3004</v>
      </c>
      <c r="Q33" s="2"/>
      <c r="R33" s="6">
        <f t="shared" si="12"/>
        <v>0</v>
      </c>
      <c r="S33" s="2"/>
      <c r="T33" s="7">
        <v>7618.34</v>
      </c>
      <c r="U33" s="2"/>
      <c r="V33" s="6">
        <f t="shared" si="13"/>
        <v>0</v>
      </c>
      <c r="W33" s="2"/>
      <c r="X33" s="7">
        <f t="shared" si="14"/>
        <v>-4614.34</v>
      </c>
      <c r="Y33" s="2"/>
      <c r="Z33" s="6">
        <f t="shared" si="15"/>
        <v>-0.60568837830813538</v>
      </c>
    </row>
    <row r="34" spans="1:26" s="27" customFormat="1" outlineLevel="1" collapsed="1" x14ac:dyDescent="0.25">
      <c r="A34" s="28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0</v>
      </c>
      <c r="E34" s="1"/>
      <c r="F34" s="5">
        <f t="shared" ref="F34:F48" si="16">IF(D$12=0,0,D34/D$12)</f>
        <v>0</v>
      </c>
      <c r="G34" s="1"/>
      <c r="H34" s="1">
        <f>SUM(OSRRefH22_2x_0)</f>
        <v>420.5</v>
      </c>
      <c r="I34" s="1"/>
      <c r="J34" s="5">
        <f t="shared" ref="J34:J48" si="17">IF(H$12=0,0,H34/H$12)</f>
        <v>0</v>
      </c>
      <c r="K34" s="1"/>
      <c r="L34" s="1">
        <f t="shared" ref="L34:L48" si="18">+D34-H34</f>
        <v>-420.5</v>
      </c>
      <c r="M34" s="1"/>
      <c r="N34" s="5">
        <f t="shared" ref="N34:N48" si="19">IF(H34=0,0,L34/H34)</f>
        <v>-1</v>
      </c>
      <c r="O34" s="14"/>
      <c r="P34" s="1">
        <f>SUM(OSRRefP22_2x_0)</f>
        <v>588.74</v>
      </c>
      <c r="Q34" s="1"/>
      <c r="R34" s="5">
        <f t="shared" ref="R34:R48" si="20">IF(P$12=0,0,P34/P$12)</f>
        <v>0</v>
      </c>
      <c r="S34" s="1"/>
      <c r="T34" s="1">
        <f>SUM(OSRRefT22_2x_0)</f>
        <v>947.03</v>
      </c>
      <c r="U34" s="1"/>
      <c r="V34" s="5">
        <f t="shared" ref="V34:V48" si="21">IF(T$12=0,0,T34/T$12)</f>
        <v>0</v>
      </c>
      <c r="W34" s="1"/>
      <c r="X34" s="1">
        <f t="shared" ref="X34:X48" si="22">+P34-T34</f>
        <v>-358.28999999999996</v>
      </c>
      <c r="Y34" s="1"/>
      <c r="Z34" s="5">
        <f t="shared" ref="Z34:Z48" si="23">IF(T34=0,0,X34/T34)</f>
        <v>-0.37833014793617942</v>
      </c>
    </row>
    <row r="35" spans="1:26" s="24" customFormat="1" hidden="1" outlineLevel="2" x14ac:dyDescent="0.25">
      <c r="A35" s="29"/>
      <c r="B35" s="11" t="str">
        <f>CONCATENATE("          ", "6362", " - ", "ADVERTISING EXPENSE")</f>
        <v xml:space="preserve">          6362 - ADVERTISING EXPENSE</v>
      </c>
      <c r="C35" s="11"/>
      <c r="D35" s="7"/>
      <c r="E35" s="2"/>
      <c r="F35" s="6">
        <f t="shared" si="16"/>
        <v>0</v>
      </c>
      <c r="G35" s="2"/>
      <c r="H35" s="7">
        <v>420.5</v>
      </c>
      <c r="I35" s="2"/>
      <c r="J35" s="6">
        <f t="shared" si="17"/>
        <v>0</v>
      </c>
      <c r="K35" s="2"/>
      <c r="L35" s="7">
        <f t="shared" si="18"/>
        <v>-420.5</v>
      </c>
      <c r="M35" s="2"/>
      <c r="N35" s="6">
        <f t="shared" si="19"/>
        <v>-1</v>
      </c>
      <c r="O35" s="11"/>
      <c r="P35" s="7">
        <v>588.74</v>
      </c>
      <c r="Q35" s="2"/>
      <c r="R35" s="6">
        <f t="shared" si="20"/>
        <v>0</v>
      </c>
      <c r="S35" s="2"/>
      <c r="T35" s="7">
        <v>947.03</v>
      </c>
      <c r="U35" s="2"/>
      <c r="V35" s="6">
        <f t="shared" si="21"/>
        <v>0</v>
      </c>
      <c r="W35" s="2"/>
      <c r="X35" s="7">
        <f t="shared" si="22"/>
        <v>-358.28999999999996</v>
      </c>
      <c r="Y35" s="2"/>
      <c r="Z35" s="6">
        <f t="shared" si="23"/>
        <v>-0.37833014793617942</v>
      </c>
    </row>
    <row r="36" spans="1:26" s="27" customFormat="1" outlineLevel="1" collapsed="1" x14ac:dyDescent="0.25">
      <c r="A36" s="28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SUM(OSRRefD22_3x_0)</f>
        <v>224.18</v>
      </c>
      <c r="E36" s="1"/>
      <c r="F36" s="5">
        <f t="shared" si="16"/>
        <v>0</v>
      </c>
      <c r="G36" s="1"/>
      <c r="H36" s="1">
        <f>SUM(OSRRefH22_3x_0)</f>
        <v>224.17</v>
      </c>
      <c r="I36" s="1"/>
      <c r="J36" s="5">
        <f t="shared" si="17"/>
        <v>0</v>
      </c>
      <c r="K36" s="1"/>
      <c r="L36" s="1">
        <f t="shared" si="18"/>
        <v>1.0000000000019327E-2</v>
      </c>
      <c r="M36" s="1"/>
      <c r="N36" s="5">
        <f t="shared" si="19"/>
        <v>4.4609002096709314E-5</v>
      </c>
      <c r="O36" s="14"/>
      <c r="P36" s="1">
        <f>SUM(OSRRefP22_3x_0)</f>
        <v>448.36</v>
      </c>
      <c r="Q36" s="1"/>
      <c r="R36" s="5">
        <f t="shared" si="20"/>
        <v>0</v>
      </c>
      <c r="S36" s="1"/>
      <c r="T36" s="1">
        <f>SUM(OSRRefT22_3x_0)</f>
        <v>448.34</v>
      </c>
      <c r="U36" s="1"/>
      <c r="V36" s="5">
        <f t="shared" si="21"/>
        <v>0</v>
      </c>
      <c r="W36" s="1"/>
      <c r="X36" s="1">
        <f t="shared" si="22"/>
        <v>2.0000000000038654E-2</v>
      </c>
      <c r="Y36" s="1"/>
      <c r="Z36" s="5">
        <f t="shared" si="23"/>
        <v>4.4609002096709314E-5</v>
      </c>
    </row>
    <row r="37" spans="1:26" s="24" customFormat="1" hidden="1" outlineLevel="2" x14ac:dyDescent="0.25">
      <c r="A37" s="29"/>
      <c r="B37" s="11" t="str">
        <f>CONCATENATE("          ", "6322", " - ", "EQUIPMENT DEPRECIATION EXPENSE")</f>
        <v xml:space="preserve">          6322 - EQUIPMENT DEPRECIATION EXPENSE</v>
      </c>
      <c r="C37" s="11"/>
      <c r="D37" s="7">
        <v>224.18</v>
      </c>
      <c r="E37" s="2"/>
      <c r="F37" s="6">
        <f t="shared" si="16"/>
        <v>0</v>
      </c>
      <c r="G37" s="2"/>
      <c r="H37" s="7">
        <v>224.17</v>
      </c>
      <c r="I37" s="2"/>
      <c r="J37" s="6">
        <f t="shared" si="17"/>
        <v>0</v>
      </c>
      <c r="K37" s="2"/>
      <c r="L37" s="7">
        <f t="shared" si="18"/>
        <v>1.0000000000019327E-2</v>
      </c>
      <c r="M37" s="2"/>
      <c r="N37" s="6">
        <f t="shared" si="19"/>
        <v>4.4609002096709314E-5</v>
      </c>
      <c r="O37" s="11"/>
      <c r="P37" s="7">
        <v>448.36</v>
      </c>
      <c r="Q37" s="2"/>
      <c r="R37" s="6">
        <f t="shared" si="20"/>
        <v>0</v>
      </c>
      <c r="S37" s="2"/>
      <c r="T37" s="7">
        <v>448.34</v>
      </c>
      <c r="U37" s="2"/>
      <c r="V37" s="6">
        <f t="shared" si="21"/>
        <v>0</v>
      </c>
      <c r="W37" s="2"/>
      <c r="X37" s="7">
        <f t="shared" si="22"/>
        <v>2.0000000000038654E-2</v>
      </c>
      <c r="Y37" s="2"/>
      <c r="Z37" s="6">
        <f t="shared" si="23"/>
        <v>4.4609002096709314E-5</v>
      </c>
    </row>
    <row r="38" spans="1:26" s="27" customFormat="1" outlineLevel="1" collapsed="1" x14ac:dyDescent="0.25">
      <c r="A38" s="28"/>
      <c r="B38" s="14" t="str">
        <f>CONCATENATE("     ","Employees' Appreciation                           ")</f>
        <v xml:space="preserve">     Employees' Appreciation                           </v>
      </c>
      <c r="C38" s="14"/>
      <c r="D38" s="1">
        <f>SUM(OSRRefD22_4x_0)</f>
        <v>5979.54</v>
      </c>
      <c r="E38" s="1"/>
      <c r="F38" s="5">
        <f t="shared" si="16"/>
        <v>0</v>
      </c>
      <c r="G38" s="1"/>
      <c r="H38" s="1">
        <f>SUM(OSRRefH22_4x_0)</f>
        <v>1690.29</v>
      </c>
      <c r="I38" s="1"/>
      <c r="J38" s="5">
        <f t="shared" si="17"/>
        <v>0</v>
      </c>
      <c r="K38" s="1"/>
      <c r="L38" s="1">
        <f t="shared" si="18"/>
        <v>4289.25</v>
      </c>
      <c r="M38" s="1"/>
      <c r="N38" s="5">
        <f t="shared" si="19"/>
        <v>2.5375823083612872</v>
      </c>
      <c r="O38" s="14"/>
      <c r="P38" s="1">
        <f>SUM(OSRRefP22_4x_0)</f>
        <v>11127.12</v>
      </c>
      <c r="Q38" s="1"/>
      <c r="R38" s="5">
        <f t="shared" si="20"/>
        <v>0</v>
      </c>
      <c r="S38" s="1"/>
      <c r="T38" s="1">
        <f>SUM(OSRRefT22_4x_0)</f>
        <v>8627.0499999999993</v>
      </c>
      <c r="U38" s="1"/>
      <c r="V38" s="5">
        <f t="shared" si="21"/>
        <v>0</v>
      </c>
      <c r="W38" s="1"/>
      <c r="X38" s="1">
        <f t="shared" si="22"/>
        <v>2500.0700000000015</v>
      </c>
      <c r="Y38" s="1"/>
      <c r="Z38" s="5">
        <f t="shared" si="23"/>
        <v>0.28979430975826054</v>
      </c>
    </row>
    <row r="39" spans="1:26" s="24" customFormat="1" hidden="1" outlineLevel="2" x14ac:dyDescent="0.25">
      <c r="A39" s="29"/>
      <c r="B39" s="11" t="str">
        <f>CONCATENATE("          ", "6277", " - ", "EMPLOYEE APPRECIATION")</f>
        <v xml:space="preserve">          6277 - EMPLOYEE APPRECIATION</v>
      </c>
      <c r="C39" s="11"/>
      <c r="D39" s="7">
        <v>5979.54</v>
      </c>
      <c r="E39" s="2"/>
      <c r="F39" s="6">
        <f t="shared" si="16"/>
        <v>0</v>
      </c>
      <c r="G39" s="2"/>
      <c r="H39" s="7">
        <v>1690.29</v>
      </c>
      <c r="I39" s="2"/>
      <c r="J39" s="6">
        <f t="shared" si="17"/>
        <v>0</v>
      </c>
      <c r="K39" s="2"/>
      <c r="L39" s="7">
        <f t="shared" si="18"/>
        <v>4289.25</v>
      </c>
      <c r="M39" s="2"/>
      <c r="N39" s="6">
        <f t="shared" si="19"/>
        <v>2.5375823083612872</v>
      </c>
      <c r="O39" s="11"/>
      <c r="P39" s="7">
        <v>11127.12</v>
      </c>
      <c r="Q39" s="2"/>
      <c r="R39" s="6">
        <f t="shared" si="20"/>
        <v>0</v>
      </c>
      <c r="S39" s="2"/>
      <c r="T39" s="7">
        <v>8627.0499999999993</v>
      </c>
      <c r="U39" s="2"/>
      <c r="V39" s="6">
        <f t="shared" si="21"/>
        <v>0</v>
      </c>
      <c r="W39" s="2"/>
      <c r="X39" s="7">
        <f t="shared" si="22"/>
        <v>2500.0700000000015</v>
      </c>
      <c r="Y39" s="2"/>
      <c r="Z39" s="6">
        <f t="shared" si="23"/>
        <v>0.28979430975826054</v>
      </c>
    </row>
    <row r="40" spans="1:26" s="27" customFormat="1" outlineLevel="1" collapsed="1" x14ac:dyDescent="0.25">
      <c r="A40" s="28"/>
      <c r="B40" s="14" t="str">
        <f>CONCATENATE("     ","Equipment Rental                                  ")</f>
        <v xml:space="preserve">     Equipment Rental                                  </v>
      </c>
      <c r="C40" s="14"/>
      <c r="D40" s="1">
        <f>SUM(OSRRefD22_5x_0)</f>
        <v>91.26</v>
      </c>
      <c r="E40" s="1"/>
      <c r="F40" s="5">
        <f t="shared" si="16"/>
        <v>0</v>
      </c>
      <c r="G40" s="1"/>
      <c r="H40" s="1">
        <f>SUM(OSRRefH22_5x_0)</f>
        <v>91.26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4"/>
      <c r="P40" s="1">
        <f>SUM(OSRRefP22_5x_0)</f>
        <v>182.52</v>
      </c>
      <c r="Q40" s="1"/>
      <c r="R40" s="5">
        <f t="shared" si="20"/>
        <v>0</v>
      </c>
      <c r="S40" s="1"/>
      <c r="T40" s="1">
        <f>SUM(OSRRefT22_5x_0)</f>
        <v>182.52</v>
      </c>
      <c r="U40" s="1"/>
      <c r="V40" s="5">
        <f t="shared" si="21"/>
        <v>0</v>
      </c>
      <c r="W40" s="1"/>
      <c r="X40" s="1">
        <f t="shared" si="22"/>
        <v>0</v>
      </c>
      <c r="Y40" s="1"/>
      <c r="Z40" s="5">
        <f t="shared" si="23"/>
        <v>0</v>
      </c>
    </row>
    <row r="41" spans="1:26" s="24" customFormat="1" hidden="1" outlineLevel="2" x14ac:dyDescent="0.25">
      <c r="A41" s="29"/>
      <c r="B41" s="11" t="str">
        <f>CONCATENATE("          ", "6351", " - ", "EQUIPMENT RENTAL")</f>
        <v xml:space="preserve">          6351 - EQUIPMENT RENTAL</v>
      </c>
      <c r="C41" s="11"/>
      <c r="D41" s="7">
        <v>91.26</v>
      </c>
      <c r="E41" s="2"/>
      <c r="F41" s="6">
        <f t="shared" si="16"/>
        <v>0</v>
      </c>
      <c r="G41" s="2"/>
      <c r="H41" s="7">
        <v>91.26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182.52</v>
      </c>
      <c r="Q41" s="2"/>
      <c r="R41" s="6">
        <f t="shared" si="20"/>
        <v>0</v>
      </c>
      <c r="S41" s="2"/>
      <c r="T41" s="7">
        <v>182.52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7" customFormat="1" outlineLevel="1" collapsed="1" x14ac:dyDescent="0.25">
      <c r="A42" s="28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SUM(OSRRefD22_6x_0)</f>
        <v>117.05</v>
      </c>
      <c r="E42" s="1"/>
      <c r="F42" s="5">
        <f t="shared" si="16"/>
        <v>0</v>
      </c>
      <c r="G42" s="1"/>
      <c r="H42" s="1">
        <f>SUM(OSRRefH22_6x_0)</f>
        <v>50.5</v>
      </c>
      <c r="I42" s="1"/>
      <c r="J42" s="5">
        <f t="shared" si="17"/>
        <v>0</v>
      </c>
      <c r="K42" s="1"/>
      <c r="L42" s="1">
        <f t="shared" si="18"/>
        <v>66.55</v>
      </c>
      <c r="M42" s="1"/>
      <c r="N42" s="5">
        <f t="shared" si="19"/>
        <v>1.3178217821782177</v>
      </c>
      <c r="O42" s="14"/>
      <c r="P42" s="1">
        <f>SUM(OSRRefP22_6x_0)</f>
        <v>154.69999999999999</v>
      </c>
      <c r="Q42" s="1"/>
      <c r="R42" s="5">
        <f t="shared" si="20"/>
        <v>0</v>
      </c>
      <c r="S42" s="1"/>
      <c r="T42" s="1">
        <f>SUM(OSRRefT22_6x_0)</f>
        <v>128.88999999999999</v>
      </c>
      <c r="U42" s="1"/>
      <c r="V42" s="5">
        <f t="shared" si="21"/>
        <v>0</v>
      </c>
      <c r="W42" s="1"/>
      <c r="X42" s="1">
        <f t="shared" si="22"/>
        <v>25.810000000000002</v>
      </c>
      <c r="Y42" s="1"/>
      <c r="Z42" s="5">
        <f t="shared" si="23"/>
        <v>0.20024827372177831</v>
      </c>
    </row>
    <row r="43" spans="1:26" s="24" customFormat="1" hidden="1" outlineLevel="2" x14ac:dyDescent="0.25">
      <c r="A43" s="29"/>
      <c r="B43" s="11" t="str">
        <f>CONCATENATE("          ", "6307", " - ", "POSTAGE")</f>
        <v xml:space="preserve">          6307 - POSTAGE</v>
      </c>
      <c r="C43" s="11"/>
      <c r="D43" s="7">
        <v>117.05</v>
      </c>
      <c r="E43" s="2"/>
      <c r="F43" s="6">
        <f t="shared" si="16"/>
        <v>0</v>
      </c>
      <c r="G43" s="2"/>
      <c r="H43" s="7">
        <v>50.5</v>
      </c>
      <c r="I43" s="2"/>
      <c r="J43" s="6">
        <f t="shared" si="17"/>
        <v>0</v>
      </c>
      <c r="K43" s="2"/>
      <c r="L43" s="7">
        <f t="shared" si="18"/>
        <v>66.55</v>
      </c>
      <c r="M43" s="2"/>
      <c r="N43" s="6">
        <f t="shared" si="19"/>
        <v>1.3178217821782177</v>
      </c>
      <c r="O43" s="11"/>
      <c r="P43" s="7">
        <v>154.69999999999999</v>
      </c>
      <c r="Q43" s="2"/>
      <c r="R43" s="6">
        <f t="shared" si="20"/>
        <v>0</v>
      </c>
      <c r="S43" s="2"/>
      <c r="T43" s="7">
        <v>128.88999999999999</v>
      </c>
      <c r="U43" s="2"/>
      <c r="V43" s="6">
        <f t="shared" si="21"/>
        <v>0</v>
      </c>
      <c r="W43" s="2"/>
      <c r="X43" s="7">
        <f t="shared" si="22"/>
        <v>25.810000000000002</v>
      </c>
      <c r="Y43" s="2"/>
      <c r="Z43" s="6">
        <f t="shared" si="23"/>
        <v>0.20024827372177831</v>
      </c>
    </row>
    <row r="44" spans="1:26" s="27" customFormat="1" outlineLevel="1" collapsed="1" x14ac:dyDescent="0.25">
      <c r="A44" s="28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SUM(OSRRefD22_7x_0)</f>
        <v>65.47</v>
      </c>
      <c r="E44" s="1"/>
      <c r="F44" s="5">
        <f t="shared" si="16"/>
        <v>0</v>
      </c>
      <c r="G44" s="1"/>
      <c r="H44" s="1">
        <f>SUM(OSRRefH22_7x_0)</f>
        <v>61.68</v>
      </c>
      <c r="I44" s="1"/>
      <c r="J44" s="5">
        <f t="shared" si="17"/>
        <v>0</v>
      </c>
      <c r="K44" s="1"/>
      <c r="L44" s="1">
        <f t="shared" si="18"/>
        <v>3.7899999999999991</v>
      </c>
      <c r="M44" s="1"/>
      <c r="N44" s="5">
        <f t="shared" si="19"/>
        <v>6.1446173800259393E-2</v>
      </c>
      <c r="O44" s="14"/>
      <c r="P44" s="1">
        <f>SUM(OSRRefP22_7x_0)</f>
        <v>130.94</v>
      </c>
      <c r="Q44" s="1"/>
      <c r="R44" s="5">
        <f t="shared" si="20"/>
        <v>0</v>
      </c>
      <c r="S44" s="1"/>
      <c r="T44" s="1">
        <f>SUM(OSRRefT22_7x_0)</f>
        <v>123.36</v>
      </c>
      <c r="U44" s="1"/>
      <c r="V44" s="5">
        <f t="shared" si="21"/>
        <v>0</v>
      </c>
      <c r="W44" s="1"/>
      <c r="X44" s="1">
        <f t="shared" si="22"/>
        <v>7.5799999999999983</v>
      </c>
      <c r="Y44" s="1"/>
      <c r="Z44" s="5">
        <f t="shared" si="23"/>
        <v>6.1446173800259393E-2</v>
      </c>
    </row>
    <row r="45" spans="1:26" s="24" customFormat="1" hidden="1" outlineLevel="2" x14ac:dyDescent="0.25">
      <c r="A45" s="29"/>
      <c r="B45" s="11" t="str">
        <f>CONCATENATE("          ", "6314", " - ", "LIABILITY INSURANCE")</f>
        <v xml:space="preserve">          6314 - LIABILITY INSURANCE</v>
      </c>
      <c r="C45" s="11"/>
      <c r="D45" s="7">
        <v>65.47</v>
      </c>
      <c r="E45" s="2"/>
      <c r="F45" s="6">
        <f t="shared" si="16"/>
        <v>0</v>
      </c>
      <c r="G45" s="2"/>
      <c r="H45" s="7">
        <v>61.68</v>
      </c>
      <c r="I45" s="2"/>
      <c r="J45" s="6">
        <f t="shared" si="17"/>
        <v>0</v>
      </c>
      <c r="K45" s="2"/>
      <c r="L45" s="7">
        <f t="shared" si="18"/>
        <v>3.7899999999999991</v>
      </c>
      <c r="M45" s="2"/>
      <c r="N45" s="6">
        <f t="shared" si="19"/>
        <v>6.1446173800259393E-2</v>
      </c>
      <c r="O45" s="11"/>
      <c r="P45" s="7">
        <v>130.94</v>
      </c>
      <c r="Q45" s="2"/>
      <c r="R45" s="6">
        <f t="shared" si="20"/>
        <v>0</v>
      </c>
      <c r="S45" s="2"/>
      <c r="T45" s="7">
        <v>123.36</v>
      </c>
      <c r="U45" s="2"/>
      <c r="V45" s="6">
        <f t="shared" si="21"/>
        <v>0</v>
      </c>
      <c r="W45" s="2"/>
      <c r="X45" s="7">
        <f t="shared" si="22"/>
        <v>7.5799999999999983</v>
      </c>
      <c r="Y45" s="2"/>
      <c r="Z45" s="6">
        <f t="shared" si="23"/>
        <v>6.1446173800259393E-2</v>
      </c>
    </row>
    <row r="46" spans="1:26" s="27" customFormat="1" outlineLevel="1" collapsed="1" x14ac:dyDescent="0.25">
      <c r="A46" s="28"/>
      <c r="B46" s="14" t="str">
        <f>CONCATENATE("     ","Professional Services                             ")</f>
        <v xml:space="preserve">     Professional Services                             </v>
      </c>
      <c r="C46" s="14"/>
      <c r="D46" s="1">
        <f>SUM(OSRRefD22_8x_0)</f>
        <v>8352</v>
      </c>
      <c r="E46" s="1"/>
      <c r="F46" s="5">
        <f t="shared" si="16"/>
        <v>0</v>
      </c>
      <c r="G46" s="1"/>
      <c r="H46" s="1">
        <f>SUM(OSRRefH22_8x_0)</f>
        <v>0</v>
      </c>
      <c r="I46" s="1"/>
      <c r="J46" s="5">
        <f t="shared" si="17"/>
        <v>0</v>
      </c>
      <c r="K46" s="1"/>
      <c r="L46" s="1">
        <f t="shared" si="18"/>
        <v>8352</v>
      </c>
      <c r="M46" s="1"/>
      <c r="N46" s="5">
        <f t="shared" si="19"/>
        <v>0</v>
      </c>
      <c r="O46" s="14"/>
      <c r="P46" s="1">
        <f>SUM(OSRRefP22_8x_0)</f>
        <v>9005.74</v>
      </c>
      <c r="Q46" s="1"/>
      <c r="R46" s="5">
        <f t="shared" si="20"/>
        <v>0</v>
      </c>
      <c r="S46" s="1"/>
      <c r="T46" s="1">
        <f>SUM(OSRRefT22_8x_0)</f>
        <v>312.75</v>
      </c>
      <c r="U46" s="1"/>
      <c r="V46" s="5">
        <f t="shared" si="21"/>
        <v>0</v>
      </c>
      <c r="W46" s="1"/>
      <c r="X46" s="1">
        <f t="shared" si="22"/>
        <v>8692.99</v>
      </c>
      <c r="Y46" s="1"/>
      <c r="Z46" s="5">
        <f t="shared" si="23"/>
        <v>27.795331734612308</v>
      </c>
    </row>
    <row r="47" spans="1:26" s="24" customFormat="1" hidden="1" outlineLevel="2" x14ac:dyDescent="0.25">
      <c r="A47" s="29"/>
      <c r="B47" s="11" t="str">
        <f>CONCATENATE("          ", "6334", " - ", "LEGAL COUNCIL EXPENSE")</f>
        <v xml:space="preserve">          6334 - LEGAL COUNCIL EXPENSE</v>
      </c>
      <c r="C47" s="11"/>
      <c r="D47" s="7">
        <v>6615</v>
      </c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6615</v>
      </c>
      <c r="M47" s="2"/>
      <c r="N47" s="6">
        <f t="shared" si="19"/>
        <v>0</v>
      </c>
      <c r="O47" s="11"/>
      <c r="P47" s="7">
        <v>6615</v>
      </c>
      <c r="Q47" s="2"/>
      <c r="R47" s="6">
        <f t="shared" si="20"/>
        <v>0</v>
      </c>
      <c r="S47" s="2"/>
      <c r="T47" s="7"/>
      <c r="U47" s="2"/>
      <c r="V47" s="6">
        <f t="shared" si="21"/>
        <v>0</v>
      </c>
      <c r="W47" s="2"/>
      <c r="X47" s="7">
        <f t="shared" si="22"/>
        <v>6615</v>
      </c>
      <c r="Y47" s="2"/>
      <c r="Z47" s="6">
        <f t="shared" si="23"/>
        <v>0</v>
      </c>
    </row>
    <row r="48" spans="1:26" s="24" customFormat="1" hidden="1" outlineLevel="2" x14ac:dyDescent="0.25">
      <c r="A48" s="29"/>
      <c r="B48" s="11" t="str">
        <f>CONCATENATE("          ", "6336", " - ", "PROFESSIONAL SERVICES")</f>
        <v xml:space="preserve">          6336 - PROFESSIONAL SERVICES</v>
      </c>
      <c r="C48" s="11"/>
      <c r="D48" s="7">
        <v>1737</v>
      </c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1737</v>
      </c>
      <c r="M48" s="2"/>
      <c r="N48" s="6">
        <f t="shared" si="19"/>
        <v>0</v>
      </c>
      <c r="O48" s="11"/>
      <c r="P48" s="7">
        <v>2390.7399999999998</v>
      </c>
      <c r="Q48" s="2"/>
      <c r="R48" s="6">
        <f t="shared" si="20"/>
        <v>0</v>
      </c>
      <c r="S48" s="2"/>
      <c r="T48" s="7">
        <v>312.75</v>
      </c>
      <c r="U48" s="2"/>
      <c r="V48" s="6">
        <f t="shared" si="21"/>
        <v>0</v>
      </c>
      <c r="W48" s="2"/>
      <c r="X48" s="7">
        <f t="shared" si="22"/>
        <v>2077.9899999999998</v>
      </c>
      <c r="Y48" s="2"/>
      <c r="Z48" s="6">
        <f t="shared" si="23"/>
        <v>6.6442525979216622</v>
      </c>
    </row>
    <row r="49" spans="1:26" s="27" customFormat="1" outlineLevel="1" collapsed="1" x14ac:dyDescent="0.25">
      <c r="A49" s="28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SUM(OSRRefD22_9x_0)</f>
        <v>9554.7200000000012</v>
      </c>
      <c r="E49" s="1"/>
      <c r="F49" s="5">
        <f t="shared" ref="F49:F51" si="24">IF(D$12=0,0,D49/D$12)</f>
        <v>0</v>
      </c>
      <c r="G49" s="1"/>
      <c r="H49" s="1">
        <f>SUM(OSRRefH22_9x_0)</f>
        <v>9809.35</v>
      </c>
      <c r="I49" s="1"/>
      <c r="J49" s="5">
        <f t="shared" ref="J49:J51" si="25">IF(H$12=0,0,H49/H$12)</f>
        <v>0</v>
      </c>
      <c r="K49" s="1"/>
      <c r="L49" s="1">
        <f t="shared" ref="L49:L51" si="26">+D49-H49</f>
        <v>-254.6299999999992</v>
      </c>
      <c r="M49" s="1"/>
      <c r="N49" s="5">
        <f t="shared" ref="N49:N51" si="27">IF(H49=0,0,L49/H49)</f>
        <v>-2.5957887117902735E-2</v>
      </c>
      <c r="O49" s="14"/>
      <c r="P49" s="1">
        <f>SUM(OSRRefP22_9x_0)</f>
        <v>20249.02</v>
      </c>
      <c r="Q49" s="1"/>
      <c r="R49" s="5">
        <f t="shared" ref="R49:R51" si="28">IF(P$12=0,0,P49/P$12)</f>
        <v>0</v>
      </c>
      <c r="S49" s="1"/>
      <c r="T49" s="1">
        <f>SUM(OSRRefT22_9x_0)</f>
        <v>21145.019999999997</v>
      </c>
      <c r="U49" s="1"/>
      <c r="V49" s="5">
        <f t="shared" ref="V49:V51" si="29">IF(T$12=0,0,T49/T$12)</f>
        <v>0</v>
      </c>
      <c r="W49" s="1"/>
      <c r="X49" s="1">
        <f t="shared" ref="X49:X51" si="30">+P49-T49</f>
        <v>-895.99999999999636</v>
      </c>
      <c r="Y49" s="1"/>
      <c r="Z49" s="5">
        <f t="shared" ref="Z49:Z51" si="31">IF(T49=0,0,X49/T49)</f>
        <v>-4.2374043628239488E-2</v>
      </c>
    </row>
    <row r="50" spans="1:26" s="24" customFormat="1" hidden="1" outlineLevel="2" x14ac:dyDescent="0.25">
      <c r="A50" s="29"/>
      <c r="B50" s="11" t="str">
        <f>CONCATENATE("          ", "6371", " - ", "COMPUTER SOFTWARE MAINTENANCE")</f>
        <v xml:space="preserve">          6371 - COMPUTER SOFTWARE MAINTENANCE</v>
      </c>
      <c r="C50" s="11"/>
      <c r="D50" s="7">
        <v>9530.6</v>
      </c>
      <c r="E50" s="2"/>
      <c r="F50" s="6">
        <f t="shared" si="24"/>
        <v>0</v>
      </c>
      <c r="G50" s="2"/>
      <c r="H50" s="7">
        <v>9775.08</v>
      </c>
      <c r="I50" s="2"/>
      <c r="J50" s="6">
        <f t="shared" si="25"/>
        <v>0</v>
      </c>
      <c r="K50" s="2"/>
      <c r="L50" s="7">
        <f t="shared" si="26"/>
        <v>-244.47999999999956</v>
      </c>
      <c r="M50" s="2"/>
      <c r="N50" s="6">
        <f t="shared" si="27"/>
        <v>-2.5010536998162629E-2</v>
      </c>
      <c r="O50" s="11"/>
      <c r="P50" s="7">
        <v>20195.560000000001</v>
      </c>
      <c r="Q50" s="2"/>
      <c r="R50" s="6">
        <f t="shared" si="28"/>
        <v>0</v>
      </c>
      <c r="S50" s="2"/>
      <c r="T50" s="7">
        <v>21069.609999999997</v>
      </c>
      <c r="U50" s="2"/>
      <c r="V50" s="6">
        <f t="shared" si="29"/>
        <v>0</v>
      </c>
      <c r="W50" s="2"/>
      <c r="X50" s="7">
        <f t="shared" si="30"/>
        <v>-874.04999999999563</v>
      </c>
      <c r="Y50" s="2"/>
      <c r="Z50" s="6">
        <f t="shared" si="31"/>
        <v>-4.1483919256217638E-2</v>
      </c>
    </row>
    <row r="51" spans="1:26" s="24" customFormat="1" hidden="1" outlineLevel="2" x14ac:dyDescent="0.25">
      <c r="A51" s="29"/>
      <c r="B51" s="11" t="str">
        <f>CONCATENATE("          ", "6373", " - ", "MAINTENANCE CONTRACTS")</f>
        <v xml:space="preserve">          6373 - MAINTENANCE CONTRACTS</v>
      </c>
      <c r="C51" s="11"/>
      <c r="D51" s="7">
        <v>24.12</v>
      </c>
      <c r="E51" s="2"/>
      <c r="F51" s="6">
        <f t="shared" si="24"/>
        <v>0</v>
      </c>
      <c r="G51" s="2"/>
      <c r="H51" s="7">
        <v>34.270000000000003</v>
      </c>
      <c r="I51" s="2"/>
      <c r="J51" s="6">
        <f t="shared" si="25"/>
        <v>0</v>
      </c>
      <c r="K51" s="2"/>
      <c r="L51" s="7">
        <f t="shared" si="26"/>
        <v>-10.150000000000002</v>
      </c>
      <c r="M51" s="2"/>
      <c r="N51" s="6">
        <f t="shared" si="27"/>
        <v>-0.29617741464838054</v>
      </c>
      <c r="O51" s="11"/>
      <c r="P51" s="7">
        <v>53.46</v>
      </c>
      <c r="Q51" s="2"/>
      <c r="R51" s="6">
        <f t="shared" si="28"/>
        <v>0</v>
      </c>
      <c r="S51" s="2"/>
      <c r="T51" s="7">
        <v>75.41</v>
      </c>
      <c r="U51" s="2"/>
      <c r="V51" s="6">
        <f t="shared" si="29"/>
        <v>0</v>
      </c>
      <c r="W51" s="2"/>
      <c r="X51" s="7">
        <f t="shared" si="30"/>
        <v>-21.949999999999996</v>
      </c>
      <c r="Y51" s="2"/>
      <c r="Z51" s="6">
        <f t="shared" si="31"/>
        <v>-0.29107545418379521</v>
      </c>
    </row>
    <row r="52" spans="1:26" s="27" customFormat="1" outlineLevel="1" collapsed="1" x14ac:dyDescent="0.25">
      <c r="A52" s="28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1">
        <f>SUM(OSRRefD22_10x_0)</f>
        <v>587</v>
      </c>
      <c r="E52" s="1"/>
      <c r="F52" s="5">
        <f t="shared" ref="F52:F57" si="32">IF(D$12=0,0,D52/D$12)</f>
        <v>0</v>
      </c>
      <c r="G52" s="1"/>
      <c r="H52" s="1">
        <f>SUM(OSRRefH22_10x_0)</f>
        <v>209</v>
      </c>
      <c r="I52" s="1"/>
      <c r="J52" s="5">
        <f t="shared" ref="J52:J57" si="33">IF(H$12=0,0,H52/H$12)</f>
        <v>0</v>
      </c>
      <c r="K52" s="1"/>
      <c r="L52" s="1">
        <f t="shared" ref="L52:L57" si="34">+D52-H52</f>
        <v>378</v>
      </c>
      <c r="M52" s="1"/>
      <c r="N52" s="5">
        <f t="shared" ref="N52:N57" si="35">IF(H52=0,0,L52/H52)</f>
        <v>1.8086124401913874</v>
      </c>
      <c r="O52" s="14"/>
      <c r="P52" s="1">
        <f>SUM(OSRRefP22_10x_0)</f>
        <v>587</v>
      </c>
      <c r="Q52" s="1"/>
      <c r="R52" s="5">
        <f t="shared" ref="R52:R57" si="36">IF(P$12=0,0,P52/P$12)</f>
        <v>0</v>
      </c>
      <c r="S52" s="1"/>
      <c r="T52" s="1">
        <f>SUM(OSRRefT22_10x_0)</f>
        <v>209</v>
      </c>
      <c r="U52" s="1"/>
      <c r="V52" s="5">
        <f t="shared" ref="V52:V57" si="37">IF(T$12=0,0,T52/T$12)</f>
        <v>0</v>
      </c>
      <c r="W52" s="1"/>
      <c r="X52" s="1">
        <f t="shared" ref="X52:X57" si="38">+P52-T52</f>
        <v>378</v>
      </c>
      <c r="Y52" s="1"/>
      <c r="Z52" s="5">
        <f t="shared" ref="Z52:Z57" si="39">IF(T52=0,0,X52/T52)</f>
        <v>1.8086124401913874</v>
      </c>
    </row>
    <row r="53" spans="1:26" s="24" customFormat="1" hidden="1" outlineLevel="2" x14ac:dyDescent="0.25">
      <c r="A53" s="29"/>
      <c r="B53" s="11" t="str">
        <f>CONCATENATE("          ", "6258", " - ", "MEMBERSHIP DUES")</f>
        <v xml:space="preserve">          6258 - MEMBERSHIP DUES</v>
      </c>
      <c r="C53" s="11"/>
      <c r="D53" s="7">
        <v>587</v>
      </c>
      <c r="E53" s="2"/>
      <c r="F53" s="6">
        <f t="shared" si="32"/>
        <v>0</v>
      </c>
      <c r="G53" s="2"/>
      <c r="H53" s="7">
        <v>209</v>
      </c>
      <c r="I53" s="2"/>
      <c r="J53" s="6">
        <f t="shared" si="33"/>
        <v>0</v>
      </c>
      <c r="K53" s="2"/>
      <c r="L53" s="7">
        <f t="shared" si="34"/>
        <v>378</v>
      </c>
      <c r="M53" s="2"/>
      <c r="N53" s="6">
        <f t="shared" si="35"/>
        <v>1.8086124401913874</v>
      </c>
      <c r="O53" s="11"/>
      <c r="P53" s="7">
        <v>587</v>
      </c>
      <c r="Q53" s="2"/>
      <c r="R53" s="6">
        <f t="shared" si="36"/>
        <v>0</v>
      </c>
      <c r="S53" s="2"/>
      <c r="T53" s="7">
        <v>209</v>
      </c>
      <c r="U53" s="2"/>
      <c r="V53" s="6">
        <f t="shared" si="37"/>
        <v>0</v>
      </c>
      <c r="W53" s="2"/>
      <c r="X53" s="7">
        <f t="shared" si="38"/>
        <v>378</v>
      </c>
      <c r="Y53" s="2"/>
      <c r="Z53" s="6">
        <f t="shared" si="39"/>
        <v>1.8086124401913874</v>
      </c>
    </row>
    <row r="54" spans="1:26" s="27" customFormat="1" outlineLevel="1" collapsed="1" x14ac:dyDescent="0.25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SUM(OSRRefD22_11x_0)</f>
        <v>4943.2299999999996</v>
      </c>
      <c r="E54" s="1"/>
      <c r="F54" s="5">
        <f t="shared" si="32"/>
        <v>0</v>
      </c>
      <c r="G54" s="1"/>
      <c r="H54" s="1">
        <f>SUM(OSRRefH22_11x_0)</f>
        <v>1804.52</v>
      </c>
      <c r="I54" s="1"/>
      <c r="J54" s="5">
        <f t="shared" si="33"/>
        <v>0</v>
      </c>
      <c r="K54" s="1"/>
      <c r="L54" s="1">
        <f t="shared" si="34"/>
        <v>3138.7099999999996</v>
      </c>
      <c r="M54" s="1"/>
      <c r="N54" s="5">
        <f t="shared" si="35"/>
        <v>1.7393600514264178</v>
      </c>
      <c r="O54" s="14"/>
      <c r="P54" s="1">
        <f>SUM(OSRRefP22_11x_0)</f>
        <v>7394.5700000000006</v>
      </c>
      <c r="Q54" s="1"/>
      <c r="R54" s="5">
        <f t="shared" si="36"/>
        <v>0</v>
      </c>
      <c r="S54" s="1"/>
      <c r="T54" s="1">
        <f>SUM(OSRRefT22_11x_0)</f>
        <v>4032.84</v>
      </c>
      <c r="U54" s="1"/>
      <c r="V54" s="5">
        <f t="shared" si="37"/>
        <v>0</v>
      </c>
      <c r="W54" s="1"/>
      <c r="X54" s="1">
        <f t="shared" si="38"/>
        <v>3361.7300000000005</v>
      </c>
      <c r="Y54" s="1"/>
      <c r="Z54" s="5">
        <f t="shared" si="39"/>
        <v>0.83358873647355225</v>
      </c>
    </row>
    <row r="55" spans="1:26" s="24" customFormat="1" hidden="1" outlineLevel="2" x14ac:dyDescent="0.25">
      <c r="A55" s="29"/>
      <c r="B55" s="11" t="str">
        <f>CONCATENATE("          ", "6241", " - ", "OFFICE EXPENSE")</f>
        <v xml:space="preserve">          6241 - OFFICE EXPENSE</v>
      </c>
      <c r="C55" s="11"/>
      <c r="D55" s="7">
        <v>3149.72</v>
      </c>
      <c r="E55" s="2"/>
      <c r="F55" s="6">
        <f t="shared" si="32"/>
        <v>0</v>
      </c>
      <c r="G55" s="2"/>
      <c r="H55" s="7">
        <v>140.46</v>
      </c>
      <c r="I55" s="2"/>
      <c r="J55" s="6">
        <f t="shared" si="33"/>
        <v>0</v>
      </c>
      <c r="K55" s="2"/>
      <c r="L55" s="7">
        <f t="shared" si="34"/>
        <v>3009.2599999999998</v>
      </c>
      <c r="M55" s="2"/>
      <c r="N55" s="6">
        <f t="shared" si="35"/>
        <v>21.424320091129143</v>
      </c>
      <c r="O55" s="11"/>
      <c r="P55" s="7">
        <v>4896.3100000000004</v>
      </c>
      <c r="Q55" s="2"/>
      <c r="R55" s="6">
        <f t="shared" si="36"/>
        <v>0</v>
      </c>
      <c r="S55" s="2"/>
      <c r="T55" s="7">
        <v>2243.38</v>
      </c>
      <c r="U55" s="2"/>
      <c r="V55" s="6">
        <f t="shared" si="37"/>
        <v>0</v>
      </c>
      <c r="W55" s="2"/>
      <c r="X55" s="7">
        <f t="shared" si="38"/>
        <v>2652.9300000000003</v>
      </c>
      <c r="Y55" s="2"/>
      <c r="Z55" s="6">
        <f t="shared" si="39"/>
        <v>1.1825593524057449</v>
      </c>
    </row>
    <row r="56" spans="1:26" s="24" customFormat="1" hidden="1" outlineLevel="2" x14ac:dyDescent="0.25">
      <c r="A56" s="29"/>
      <c r="B56" s="11" t="str">
        <f>CONCATENATE("          ", "6244", " - ", "SAFETY SUPPLY EXPENSE")</f>
        <v xml:space="preserve">          6244 - SAFETY SUPPLY EXPENSE</v>
      </c>
      <c r="C56" s="11"/>
      <c r="D56" s="7">
        <v>750</v>
      </c>
      <c r="E56" s="2"/>
      <c r="F56" s="6">
        <f t="shared" si="32"/>
        <v>0</v>
      </c>
      <c r="G56" s="2"/>
      <c r="H56" s="7">
        <v>1279.98</v>
      </c>
      <c r="I56" s="2"/>
      <c r="J56" s="6">
        <f t="shared" si="33"/>
        <v>0</v>
      </c>
      <c r="K56" s="2"/>
      <c r="L56" s="7">
        <f t="shared" si="34"/>
        <v>-529.98</v>
      </c>
      <c r="M56" s="2"/>
      <c r="N56" s="6">
        <f t="shared" si="35"/>
        <v>-0.41405334458350912</v>
      </c>
      <c r="O56" s="11"/>
      <c r="P56" s="7">
        <v>877.92</v>
      </c>
      <c r="Q56" s="2"/>
      <c r="R56" s="6">
        <f t="shared" si="36"/>
        <v>0</v>
      </c>
      <c r="S56" s="2"/>
      <c r="T56" s="7">
        <v>1404.98</v>
      </c>
      <c r="U56" s="2"/>
      <c r="V56" s="6">
        <f t="shared" si="37"/>
        <v>0</v>
      </c>
      <c r="W56" s="2"/>
      <c r="X56" s="7">
        <f t="shared" si="38"/>
        <v>-527.06000000000006</v>
      </c>
      <c r="Y56" s="2"/>
      <c r="Z56" s="6">
        <f t="shared" si="39"/>
        <v>-0.37513701262651428</v>
      </c>
    </row>
    <row r="57" spans="1:26" s="24" customFormat="1" hidden="1" outlineLevel="2" x14ac:dyDescent="0.25">
      <c r="A57" s="29"/>
      <c r="B57" s="11" t="str">
        <f>CONCATENATE("          ", "6245", " - ", "PRINTING")</f>
        <v xml:space="preserve">          6245 - PRINTING</v>
      </c>
      <c r="C57" s="11"/>
      <c r="D57" s="7">
        <v>1043.51</v>
      </c>
      <c r="E57" s="2"/>
      <c r="F57" s="6">
        <f t="shared" si="32"/>
        <v>0</v>
      </c>
      <c r="G57" s="2"/>
      <c r="H57" s="7">
        <v>384.08</v>
      </c>
      <c r="I57" s="2"/>
      <c r="J57" s="6">
        <f t="shared" si="33"/>
        <v>0</v>
      </c>
      <c r="K57" s="2"/>
      <c r="L57" s="7">
        <f t="shared" si="34"/>
        <v>659.43000000000006</v>
      </c>
      <c r="M57" s="2"/>
      <c r="N57" s="6">
        <f t="shared" si="35"/>
        <v>1.7169079358466988</v>
      </c>
      <c r="O57" s="11"/>
      <c r="P57" s="7">
        <v>1620.34</v>
      </c>
      <c r="Q57" s="2"/>
      <c r="R57" s="6">
        <f t="shared" si="36"/>
        <v>0</v>
      </c>
      <c r="S57" s="2"/>
      <c r="T57" s="7">
        <v>384.48</v>
      </c>
      <c r="U57" s="2"/>
      <c r="V57" s="6">
        <f t="shared" si="37"/>
        <v>0</v>
      </c>
      <c r="W57" s="2"/>
      <c r="X57" s="7">
        <f t="shared" si="38"/>
        <v>1235.8599999999999</v>
      </c>
      <c r="Y57" s="2"/>
      <c r="Z57" s="6">
        <f t="shared" si="39"/>
        <v>3.2143674573449852</v>
      </c>
    </row>
    <row r="58" spans="1:26" s="27" customFormat="1" outlineLevel="1" collapsed="1" x14ac:dyDescent="0.25">
      <c r="A58" s="28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SUM(OSRRefD22_12x_0)</f>
        <v>347.8</v>
      </c>
      <c r="E58" s="1"/>
      <c r="F58" s="5">
        <f t="shared" ref="F58:F63" si="40">IF(D$12=0,0,D58/D$12)</f>
        <v>0</v>
      </c>
      <c r="G58" s="1"/>
      <c r="H58" s="1">
        <f>SUM(OSRRefH22_12x_0)</f>
        <v>369.25</v>
      </c>
      <c r="I58" s="1"/>
      <c r="J58" s="5">
        <f t="shared" ref="J58:J63" si="41">IF(H$12=0,0,H58/H$12)</f>
        <v>0</v>
      </c>
      <c r="K58" s="1"/>
      <c r="L58" s="1">
        <f t="shared" ref="L58:L63" si="42">+D58-H58</f>
        <v>-21.449999999999989</v>
      </c>
      <c r="M58" s="1"/>
      <c r="N58" s="5">
        <f t="shared" ref="N58:N63" si="43">IF(H58=0,0,L58/H58)</f>
        <v>-5.8090724441435308E-2</v>
      </c>
      <c r="O58" s="14"/>
      <c r="P58" s="1">
        <f>SUM(OSRRefP22_12x_0)</f>
        <v>687.65</v>
      </c>
      <c r="Q58" s="1"/>
      <c r="R58" s="5">
        <f t="shared" ref="R58:R63" si="44">IF(P$12=0,0,P58/P$12)</f>
        <v>0</v>
      </c>
      <c r="S58" s="1"/>
      <c r="T58" s="1">
        <f>SUM(OSRRefT22_12x_0)</f>
        <v>724.2</v>
      </c>
      <c r="U58" s="1"/>
      <c r="V58" s="5">
        <f t="shared" ref="V58:V63" si="45">IF(T$12=0,0,T58/T$12)</f>
        <v>0</v>
      </c>
      <c r="W58" s="1"/>
      <c r="X58" s="1">
        <f t="shared" ref="X58:X63" si="46">+P58-T58</f>
        <v>-36.550000000000068</v>
      </c>
      <c r="Y58" s="1"/>
      <c r="Z58" s="5">
        <f t="shared" ref="Z58:Z63" si="47">IF(T58=0,0,X58/T58)</f>
        <v>-5.0469483568075207E-2</v>
      </c>
    </row>
    <row r="59" spans="1:26" s="24" customFormat="1" hidden="1" outlineLevel="2" x14ac:dyDescent="0.25">
      <c r="A59" s="29"/>
      <c r="B59" s="11" t="str">
        <f>CONCATENATE("          ", "6309", " - ", "TELEPHONE")</f>
        <v xml:space="preserve">          6309 - TELEPHONE</v>
      </c>
      <c r="C59" s="11"/>
      <c r="D59" s="7">
        <v>347.8</v>
      </c>
      <c r="E59" s="2"/>
      <c r="F59" s="6">
        <f t="shared" si="40"/>
        <v>0</v>
      </c>
      <c r="G59" s="2"/>
      <c r="H59" s="7">
        <v>369.25</v>
      </c>
      <c r="I59" s="2"/>
      <c r="J59" s="6">
        <f t="shared" si="41"/>
        <v>0</v>
      </c>
      <c r="K59" s="2"/>
      <c r="L59" s="7">
        <f t="shared" si="42"/>
        <v>-21.449999999999989</v>
      </c>
      <c r="M59" s="2"/>
      <c r="N59" s="6">
        <f t="shared" si="43"/>
        <v>-5.8090724441435308E-2</v>
      </c>
      <c r="O59" s="11"/>
      <c r="P59" s="7">
        <v>687.65</v>
      </c>
      <c r="Q59" s="2"/>
      <c r="R59" s="6">
        <f t="shared" si="44"/>
        <v>0</v>
      </c>
      <c r="S59" s="2"/>
      <c r="T59" s="7">
        <v>724.2</v>
      </c>
      <c r="U59" s="2"/>
      <c r="V59" s="6">
        <f t="shared" si="45"/>
        <v>0</v>
      </c>
      <c r="W59" s="2"/>
      <c r="X59" s="7">
        <f t="shared" si="46"/>
        <v>-36.550000000000068</v>
      </c>
      <c r="Y59" s="2"/>
      <c r="Z59" s="6">
        <f t="shared" si="47"/>
        <v>-5.0469483568075207E-2</v>
      </c>
    </row>
    <row r="60" spans="1:26" s="27" customFormat="1" outlineLevel="1" collapsed="1" x14ac:dyDescent="0.25">
      <c r="A60" s="28"/>
      <c r="B60" s="14" t="str">
        <f>CONCATENATE("     ","Training                                          ")</f>
        <v xml:space="preserve">     Training                                          </v>
      </c>
      <c r="C60" s="14"/>
      <c r="D60" s="1">
        <f>SUM(OSRRefD22_13x_0)</f>
        <v>4203.3599999999997</v>
      </c>
      <c r="E60" s="1"/>
      <c r="F60" s="5">
        <f t="shared" si="40"/>
        <v>0</v>
      </c>
      <c r="G60" s="1"/>
      <c r="H60" s="1">
        <f>SUM(OSRRefH22_13x_0)</f>
        <v>4964.07</v>
      </c>
      <c r="I60" s="1"/>
      <c r="J60" s="5">
        <f t="shared" si="41"/>
        <v>0</v>
      </c>
      <c r="K60" s="1"/>
      <c r="L60" s="1">
        <f t="shared" si="42"/>
        <v>-760.71</v>
      </c>
      <c r="M60" s="1"/>
      <c r="N60" s="5">
        <f t="shared" si="43"/>
        <v>-0.15324320567598768</v>
      </c>
      <c r="O60" s="14"/>
      <c r="P60" s="1">
        <f>SUM(OSRRefP22_13x_0)</f>
        <v>4900.9799999999996</v>
      </c>
      <c r="Q60" s="1"/>
      <c r="R60" s="5">
        <f t="shared" si="44"/>
        <v>0</v>
      </c>
      <c r="S60" s="1"/>
      <c r="T60" s="1">
        <f>SUM(OSRRefT22_13x_0)</f>
        <v>7461.75</v>
      </c>
      <c r="U60" s="1"/>
      <c r="V60" s="5">
        <f t="shared" si="45"/>
        <v>0</v>
      </c>
      <c r="W60" s="1"/>
      <c r="X60" s="1">
        <f t="shared" si="46"/>
        <v>-2560.7700000000004</v>
      </c>
      <c r="Y60" s="1"/>
      <c r="Z60" s="5">
        <f t="shared" si="47"/>
        <v>-0.34318624987435931</v>
      </c>
    </row>
    <row r="61" spans="1:26" s="24" customFormat="1" hidden="1" outlineLevel="2" x14ac:dyDescent="0.25">
      <c r="A61" s="29"/>
      <c r="B61" s="11" t="str">
        <f>CONCATENATE("          ", "6376", " - ", "TRAINING")</f>
        <v xml:space="preserve">          6376 - TRAINING</v>
      </c>
      <c r="C61" s="11"/>
      <c r="D61" s="7">
        <v>4203.3599999999997</v>
      </c>
      <c r="E61" s="2"/>
      <c r="F61" s="6">
        <f t="shared" si="40"/>
        <v>0</v>
      </c>
      <c r="G61" s="2"/>
      <c r="H61" s="7">
        <v>4964.07</v>
      </c>
      <c r="I61" s="2"/>
      <c r="J61" s="6">
        <f t="shared" si="41"/>
        <v>0</v>
      </c>
      <c r="K61" s="2"/>
      <c r="L61" s="7">
        <f t="shared" si="42"/>
        <v>-760.71</v>
      </c>
      <c r="M61" s="2"/>
      <c r="N61" s="6">
        <f t="shared" si="43"/>
        <v>-0.15324320567598768</v>
      </c>
      <c r="O61" s="11"/>
      <c r="P61" s="7">
        <v>4900.9799999999996</v>
      </c>
      <c r="Q61" s="2"/>
      <c r="R61" s="6">
        <f t="shared" si="44"/>
        <v>0</v>
      </c>
      <c r="S61" s="2"/>
      <c r="T61" s="7">
        <v>7461.75</v>
      </c>
      <c r="U61" s="2"/>
      <c r="V61" s="6">
        <f t="shared" si="45"/>
        <v>0</v>
      </c>
      <c r="W61" s="2"/>
      <c r="X61" s="7">
        <f t="shared" si="46"/>
        <v>-2560.7700000000004</v>
      </c>
      <c r="Y61" s="2"/>
      <c r="Z61" s="6">
        <f t="shared" si="47"/>
        <v>-0.34318624987435931</v>
      </c>
    </row>
    <row r="62" spans="1:26" s="27" customFormat="1" outlineLevel="1" collapsed="1" x14ac:dyDescent="0.25">
      <c r="A62" s="28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SUM(OSRRefD22_14x_0)</f>
        <v>1115.78</v>
      </c>
      <c r="E62" s="1"/>
      <c r="F62" s="5">
        <f t="shared" si="40"/>
        <v>0</v>
      </c>
      <c r="G62" s="1"/>
      <c r="H62" s="1">
        <f>SUM(OSRRefH22_14x_0)</f>
        <v>1128.01</v>
      </c>
      <c r="I62" s="1"/>
      <c r="J62" s="5">
        <f t="shared" si="41"/>
        <v>0</v>
      </c>
      <c r="K62" s="1"/>
      <c r="L62" s="1">
        <f t="shared" si="42"/>
        <v>-12.230000000000018</v>
      </c>
      <c r="M62" s="1"/>
      <c r="N62" s="5">
        <f t="shared" si="43"/>
        <v>-1.0842102463630657E-2</v>
      </c>
      <c r="O62" s="14"/>
      <c r="P62" s="1">
        <f>SUM(OSRRefP22_14x_0)</f>
        <v>1363.94</v>
      </c>
      <c r="Q62" s="1"/>
      <c r="R62" s="5">
        <f t="shared" si="44"/>
        <v>0</v>
      </c>
      <c r="S62" s="1"/>
      <c r="T62" s="1">
        <f>SUM(OSRRefT22_14x_0)</f>
        <v>1960.44</v>
      </c>
      <c r="U62" s="1"/>
      <c r="V62" s="5">
        <f t="shared" si="45"/>
        <v>0</v>
      </c>
      <c r="W62" s="1"/>
      <c r="X62" s="1">
        <f t="shared" si="46"/>
        <v>-596.5</v>
      </c>
      <c r="Y62" s="1"/>
      <c r="Z62" s="5">
        <f t="shared" si="47"/>
        <v>-0.30426842953622657</v>
      </c>
    </row>
    <row r="63" spans="1:26" s="24" customFormat="1" hidden="1" outlineLevel="2" x14ac:dyDescent="0.25">
      <c r="A63" s="29"/>
      <c r="B63" s="11" t="str">
        <f>CONCATENATE("          ", "6292", " - ", "TRAVEL/CONFERENCE")</f>
        <v xml:space="preserve">          6292 - TRAVEL/CONFERENCE</v>
      </c>
      <c r="C63" s="11"/>
      <c r="D63" s="7">
        <v>1115.78</v>
      </c>
      <c r="E63" s="2"/>
      <c r="F63" s="6">
        <f t="shared" si="40"/>
        <v>0</v>
      </c>
      <c r="G63" s="2"/>
      <c r="H63" s="7">
        <v>1128.01</v>
      </c>
      <c r="I63" s="2"/>
      <c r="J63" s="6">
        <f t="shared" si="41"/>
        <v>0</v>
      </c>
      <c r="K63" s="2"/>
      <c r="L63" s="7">
        <f t="shared" si="42"/>
        <v>-12.230000000000018</v>
      </c>
      <c r="M63" s="2"/>
      <c r="N63" s="6">
        <f t="shared" si="43"/>
        <v>-1.0842102463630657E-2</v>
      </c>
      <c r="O63" s="11"/>
      <c r="P63" s="7">
        <v>1363.94</v>
      </c>
      <c r="Q63" s="2"/>
      <c r="R63" s="6">
        <f t="shared" si="44"/>
        <v>0</v>
      </c>
      <c r="S63" s="2"/>
      <c r="T63" s="7">
        <v>1960.44</v>
      </c>
      <c r="U63" s="2"/>
      <c r="V63" s="6">
        <f t="shared" si="45"/>
        <v>0</v>
      </c>
      <c r="W63" s="2"/>
      <c r="X63" s="7">
        <f t="shared" si="46"/>
        <v>-596.5</v>
      </c>
      <c r="Y63" s="2"/>
      <c r="Z63" s="6">
        <f t="shared" si="47"/>
        <v>-0.30426842953622657</v>
      </c>
    </row>
    <row r="64" spans="1:26" s="62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5" t="s">
        <v>0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6" t="s">
        <v>3</v>
      </c>
      <c r="C67" s="26"/>
      <c r="D67" s="20">
        <f>+D16-D18+D65</f>
        <v>-68393.530000000013</v>
      </c>
      <c r="E67" s="13"/>
      <c r="F67" s="19">
        <f>IF(D$12=0,0,D67/D$12)</f>
        <v>0</v>
      </c>
      <c r="G67" s="13"/>
      <c r="H67" s="20">
        <f>+H16-H18+H65</f>
        <v>-52245.060000000005</v>
      </c>
      <c r="I67" s="13"/>
      <c r="J67" s="19">
        <f>IF(H$12=0,0,H67/H$12)</f>
        <v>0</v>
      </c>
      <c r="K67" s="15"/>
      <c r="L67" s="20">
        <f>+D67-H67</f>
        <v>-16148.470000000008</v>
      </c>
      <c r="M67" s="15"/>
      <c r="N67" s="19">
        <f>IF(H67=0,0,L67/H67)</f>
        <v>0.30909084992916092</v>
      </c>
      <c r="O67" s="25"/>
      <c r="P67" s="20">
        <f>+P16-P18+P65</f>
        <v>-134006.37</v>
      </c>
      <c r="Q67" s="13"/>
      <c r="R67" s="19">
        <f>IF(P$12=0,0,P67/P$12)</f>
        <v>0</v>
      </c>
      <c r="S67" s="13"/>
      <c r="T67" s="20">
        <f>+T16-T18+T65</f>
        <v>-113701.43000000001</v>
      </c>
      <c r="U67" s="13"/>
      <c r="V67" s="19">
        <f>IF(T$12=0,0,T67/T$12)</f>
        <v>0</v>
      </c>
      <c r="W67" s="15"/>
      <c r="X67" s="20">
        <f>+P67-T67</f>
        <v>-20304.939999999988</v>
      </c>
      <c r="Y67" s="15"/>
      <c r="Z67" s="19">
        <f>IF(T67=0,0,X67/T67)</f>
        <v>0.17858121925115616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/>
      <c r="E69" s="4"/>
      <c r="F69" s="12">
        <f>IF(D$12=0,0,D69/D$12)</f>
        <v>0</v>
      </c>
      <c r="G69" s="4"/>
      <c r="H69" s="4"/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/>
      <c r="Q69" s="4"/>
      <c r="R69" s="12">
        <f>IF(P$12=0,0,P69/P$12)</f>
        <v>0</v>
      </c>
      <c r="S69" s="4"/>
      <c r="T69" s="4"/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6" t="s">
        <v>4</v>
      </c>
      <c r="C71" s="26"/>
      <c r="D71" s="31">
        <f>+D67-D69</f>
        <v>-68393.530000000013</v>
      </c>
      <c r="E71" s="13"/>
      <c r="F71" s="36">
        <f>IF(D$12=0,0,D71/D$12)</f>
        <v>0</v>
      </c>
      <c r="G71" s="13"/>
      <c r="H71" s="31">
        <f>+H67-H69</f>
        <v>-52245.060000000005</v>
      </c>
      <c r="I71" s="13"/>
      <c r="J71" s="36">
        <f>IF(H$12=0,0,H71/H$12)</f>
        <v>0</v>
      </c>
      <c r="K71" s="15"/>
      <c r="L71" s="31">
        <f>D71-H71</f>
        <v>-16148.470000000008</v>
      </c>
      <c r="M71" s="15"/>
      <c r="N71" s="36">
        <f>IF(H71=0,0,L71/H71)</f>
        <v>0.30909084992916092</v>
      </c>
      <c r="O71" s="25"/>
      <c r="P71" s="31">
        <f>+P67-P69</f>
        <v>-134006.37</v>
      </c>
      <c r="Q71" s="13"/>
      <c r="R71" s="36">
        <f>IF(P$12=0,0,P71/P$12)</f>
        <v>0</v>
      </c>
      <c r="S71" s="13"/>
      <c r="T71" s="31">
        <f>+T67-T69</f>
        <v>-113701.43000000001</v>
      </c>
      <c r="U71" s="13"/>
      <c r="V71" s="36">
        <f>IF(T$12=0,0,T71/T$12)</f>
        <v>0</v>
      </c>
      <c r="W71" s="15"/>
      <c r="X71" s="31">
        <f>P71-T71</f>
        <v>-20304.939999999988</v>
      </c>
      <c r="Y71" s="15"/>
      <c r="Z71" s="36">
        <f>IF(T71=0,0,X71/T71)</f>
        <v>0.17858121925115616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5</v>
      </c>
      <c r="C74" s="26"/>
      <c r="D74" s="32">
        <f>SUM(D71:D73)</f>
        <v>-68393.530000000013</v>
      </c>
      <c r="E74" s="13"/>
      <c r="F74" s="30">
        <f>IF(D$12=0,0,D74/D$12)</f>
        <v>0</v>
      </c>
      <c r="G74" s="13"/>
      <c r="H74" s="32">
        <f>SUM(H71:H73)</f>
        <v>-52245.060000000005</v>
      </c>
      <c r="I74" s="13"/>
      <c r="J74" s="30">
        <f>IF(H$12=0,0,H74/H$12)</f>
        <v>0</v>
      </c>
      <c r="K74" s="15"/>
      <c r="L74" s="32">
        <f>+D74-H74</f>
        <v>-16148.470000000008</v>
      </c>
      <c r="M74" s="15"/>
      <c r="N74" s="30">
        <f>IF(H74=0,0,L74/H74)</f>
        <v>0.30909084992916092</v>
      </c>
      <c r="O74" s="25"/>
      <c r="P74" s="32">
        <f>SUM(P71:P73)</f>
        <v>-134006.37</v>
      </c>
      <c r="Q74" s="13"/>
      <c r="R74" s="30">
        <f>IF(P$12=0,0,P74/P$12)</f>
        <v>0</v>
      </c>
      <c r="S74" s="13"/>
      <c r="T74" s="32">
        <f>SUM(T71:T73)</f>
        <v>-113701.43000000001</v>
      </c>
      <c r="U74" s="13"/>
      <c r="V74" s="30">
        <f>IF(T$12=0,0,T74/T$12)</f>
        <v>0</v>
      </c>
      <c r="W74" s="15"/>
      <c r="X74" s="32">
        <f>+P74-T74</f>
        <v>-20304.939999999988</v>
      </c>
      <c r="Y74" s="15"/>
      <c r="Z74" s="30">
        <f>IF(T74=0,0,X74/T74)</f>
        <v>0.17858121925115616</v>
      </c>
    </row>
    <row r="75" spans="1:26" ht="15.75" thickTop="1" x14ac:dyDescent="0.25">
      <c r="A75" s="9"/>
      <c r="C75" s="9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7">
        <v>43732.709471331022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60" t="s">
        <v>313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6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","204", " - ", "Information Technology")</f>
        <v>Department 204 - Information Technology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56780.079999999994</v>
      </c>
      <c r="E18" s="22"/>
      <c r="F18" s="33">
        <f t="shared" ref="F18:F28" si="0">IF(D$12=0,0,D18/D$12)</f>
        <v>0</v>
      </c>
      <c r="G18" s="22"/>
      <c r="H18" s="22">
        <f>SUM(OSRRefH22x_0)</f>
        <v>57805.610000000008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-1025.5300000000134</v>
      </c>
      <c r="M18" s="4"/>
      <c r="N18" s="33">
        <f t="shared" ref="N18:N28" si="3">IF(H18=0,0,L18/H18)</f>
        <v>-1.7741011642295846E-2</v>
      </c>
      <c r="O18" s="10"/>
      <c r="P18" s="22">
        <f>SUM(OSRRefP22x_0)</f>
        <v>124455.92999999998</v>
      </c>
      <c r="Q18" s="22"/>
      <c r="R18" s="33">
        <f t="shared" ref="R18:R28" si="4">IF(P$12=0,0,P18/P$12)</f>
        <v>0</v>
      </c>
      <c r="S18" s="22"/>
      <c r="T18" s="22">
        <f>SUM(OSRRefT22x_0)</f>
        <v>113416.61000000003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11039.319999999949</v>
      </c>
      <c r="Y18" s="4"/>
      <c r="Z18" s="33">
        <f t="shared" ref="Z18:Z28" si="7">IF(T18=0,0,X18/T18)</f>
        <v>9.7334244075889295E-2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12054.33</v>
      </c>
      <c r="E19" s="1"/>
      <c r="F19" s="5">
        <f t="shared" si="0"/>
        <v>0</v>
      </c>
      <c r="G19" s="1"/>
      <c r="H19" s="1">
        <f>SUM(OSRRefH22_0x_0)</f>
        <v>15991.35</v>
      </c>
      <c r="I19" s="1"/>
      <c r="J19" s="5">
        <f t="shared" si="1"/>
        <v>0</v>
      </c>
      <c r="K19" s="1"/>
      <c r="L19" s="1">
        <f t="shared" si="2"/>
        <v>-3937.0200000000004</v>
      </c>
      <c r="M19" s="1"/>
      <c r="N19" s="5">
        <f t="shared" si="3"/>
        <v>-0.24619685017212434</v>
      </c>
      <c r="O19" s="14"/>
      <c r="P19" s="1">
        <f>SUM(OSRRefP22_0x_0)</f>
        <v>24705.190000000006</v>
      </c>
      <c r="Q19" s="1"/>
      <c r="R19" s="5">
        <f t="shared" si="4"/>
        <v>0</v>
      </c>
      <c r="S19" s="1"/>
      <c r="T19" s="1">
        <f>SUM(OSRRefT22_0x_0)</f>
        <v>27586.84</v>
      </c>
      <c r="U19" s="1"/>
      <c r="V19" s="5">
        <f t="shared" si="5"/>
        <v>0</v>
      </c>
      <c r="W19" s="1"/>
      <c r="X19" s="1">
        <f t="shared" si="6"/>
        <v>-2881.6499999999942</v>
      </c>
      <c r="Y19" s="1"/>
      <c r="Z19" s="5">
        <f t="shared" si="7"/>
        <v>-0.10445741520232089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1991.9</v>
      </c>
      <c r="E20" s="2"/>
      <c r="F20" s="6">
        <f t="shared" si="0"/>
        <v>0</v>
      </c>
      <c r="G20" s="2"/>
      <c r="H20" s="7">
        <v>2494.9499999999998</v>
      </c>
      <c r="I20" s="2"/>
      <c r="J20" s="6">
        <f t="shared" si="1"/>
        <v>0</v>
      </c>
      <c r="K20" s="2"/>
      <c r="L20" s="7">
        <f t="shared" si="2"/>
        <v>-503.04999999999973</v>
      </c>
      <c r="M20" s="2"/>
      <c r="N20" s="6">
        <f t="shared" si="3"/>
        <v>-0.20162728711998226</v>
      </c>
      <c r="O20" s="11"/>
      <c r="P20" s="7">
        <v>3730.97</v>
      </c>
      <c r="Q20" s="2"/>
      <c r="R20" s="6">
        <f t="shared" si="4"/>
        <v>0</v>
      </c>
      <c r="S20" s="2"/>
      <c r="T20" s="7">
        <v>4181.22</v>
      </c>
      <c r="U20" s="2"/>
      <c r="V20" s="6">
        <f t="shared" si="5"/>
        <v>0</v>
      </c>
      <c r="W20" s="2"/>
      <c r="X20" s="7">
        <f t="shared" si="6"/>
        <v>-450.25000000000045</v>
      </c>
      <c r="Y20" s="2"/>
      <c r="Z20" s="6">
        <f t="shared" si="7"/>
        <v>-0.10768388173786608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90.17</v>
      </c>
      <c r="E21" s="2"/>
      <c r="F21" s="6">
        <f t="shared" si="0"/>
        <v>0</v>
      </c>
      <c r="G21" s="2"/>
      <c r="H21" s="7">
        <v>99.69</v>
      </c>
      <c r="I21" s="2"/>
      <c r="J21" s="6">
        <f t="shared" si="1"/>
        <v>0</v>
      </c>
      <c r="K21" s="2"/>
      <c r="L21" s="7">
        <f t="shared" si="2"/>
        <v>-9.519999999999996</v>
      </c>
      <c r="M21" s="2"/>
      <c r="N21" s="6">
        <f t="shared" si="3"/>
        <v>-9.5496037716922416E-2</v>
      </c>
      <c r="O21" s="11"/>
      <c r="P21" s="7">
        <v>173.17</v>
      </c>
      <c r="Q21" s="2"/>
      <c r="R21" s="6">
        <f t="shared" si="4"/>
        <v>0</v>
      </c>
      <c r="S21" s="2"/>
      <c r="T21" s="7">
        <v>200.54</v>
      </c>
      <c r="U21" s="2"/>
      <c r="V21" s="6">
        <f t="shared" si="5"/>
        <v>0</v>
      </c>
      <c r="W21" s="2"/>
      <c r="X21" s="7">
        <f t="shared" si="6"/>
        <v>-27.370000000000005</v>
      </c>
      <c r="Y21" s="2"/>
      <c r="Z21" s="6">
        <f t="shared" si="7"/>
        <v>-0.13648149995013467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5268.48</v>
      </c>
      <c r="E22" s="2"/>
      <c r="F22" s="6">
        <f t="shared" si="0"/>
        <v>0</v>
      </c>
      <c r="G22" s="2"/>
      <c r="H22" s="7">
        <v>7494.34</v>
      </c>
      <c r="I22" s="2"/>
      <c r="J22" s="6">
        <f t="shared" si="1"/>
        <v>0</v>
      </c>
      <c r="K22" s="2"/>
      <c r="L22" s="7">
        <f t="shared" si="2"/>
        <v>-2225.8600000000006</v>
      </c>
      <c r="M22" s="2"/>
      <c r="N22" s="6">
        <f t="shared" si="3"/>
        <v>-0.29700547346397421</v>
      </c>
      <c r="O22" s="11"/>
      <c r="P22" s="7">
        <v>9901.86</v>
      </c>
      <c r="Q22" s="2"/>
      <c r="R22" s="6">
        <f t="shared" si="4"/>
        <v>0</v>
      </c>
      <c r="S22" s="2"/>
      <c r="T22" s="7">
        <v>10258.85</v>
      </c>
      <c r="U22" s="2"/>
      <c r="V22" s="6">
        <f t="shared" si="5"/>
        <v>0</v>
      </c>
      <c r="W22" s="2"/>
      <c r="X22" s="7">
        <f t="shared" si="6"/>
        <v>-356.98999999999978</v>
      </c>
      <c r="Y22" s="2"/>
      <c r="Z22" s="6">
        <f t="shared" si="7"/>
        <v>-3.4798247366907571E-2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68.95</v>
      </c>
      <c r="E23" s="2"/>
      <c r="F23" s="6">
        <f t="shared" si="0"/>
        <v>0</v>
      </c>
      <c r="G23" s="2"/>
      <c r="H23" s="7">
        <v>83.61</v>
      </c>
      <c r="I23" s="2"/>
      <c r="J23" s="6">
        <f t="shared" si="1"/>
        <v>0</v>
      </c>
      <c r="K23" s="2"/>
      <c r="L23" s="7">
        <f t="shared" si="2"/>
        <v>-14.659999999999997</v>
      </c>
      <c r="M23" s="2"/>
      <c r="N23" s="6">
        <f t="shared" si="3"/>
        <v>-0.17533787824422911</v>
      </c>
      <c r="O23" s="11"/>
      <c r="P23" s="7">
        <v>132.41999999999999</v>
      </c>
      <c r="Q23" s="2"/>
      <c r="R23" s="6">
        <f t="shared" si="4"/>
        <v>0</v>
      </c>
      <c r="S23" s="2"/>
      <c r="T23" s="7">
        <v>168.19</v>
      </c>
      <c r="U23" s="2"/>
      <c r="V23" s="6">
        <f t="shared" si="5"/>
        <v>0</v>
      </c>
      <c r="W23" s="2"/>
      <c r="X23" s="7">
        <f t="shared" si="6"/>
        <v>-35.77000000000001</v>
      </c>
      <c r="Y23" s="2"/>
      <c r="Z23" s="6">
        <f t="shared" si="7"/>
        <v>-0.21267614007967187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1339.05</v>
      </c>
      <c r="E24" s="2"/>
      <c r="F24" s="6">
        <f t="shared" si="0"/>
        <v>0</v>
      </c>
      <c r="G24" s="2"/>
      <c r="H24" s="7">
        <v>2943.92</v>
      </c>
      <c r="I24" s="2"/>
      <c r="J24" s="6">
        <f t="shared" si="1"/>
        <v>0</v>
      </c>
      <c r="K24" s="2"/>
      <c r="L24" s="7">
        <f t="shared" si="2"/>
        <v>-1604.8700000000001</v>
      </c>
      <c r="M24" s="2"/>
      <c r="N24" s="6">
        <f t="shared" si="3"/>
        <v>-0.54514728661104928</v>
      </c>
      <c r="O24" s="11"/>
      <c r="P24" s="7">
        <v>2678.1</v>
      </c>
      <c r="Q24" s="2"/>
      <c r="R24" s="6">
        <f t="shared" si="4"/>
        <v>0</v>
      </c>
      <c r="S24" s="2"/>
      <c r="T24" s="7">
        <v>5170.47</v>
      </c>
      <c r="U24" s="2"/>
      <c r="V24" s="6">
        <f t="shared" si="5"/>
        <v>0</v>
      </c>
      <c r="W24" s="2"/>
      <c r="X24" s="7">
        <f t="shared" si="6"/>
        <v>-2492.3700000000003</v>
      </c>
      <c r="Y24" s="2"/>
      <c r="Z24" s="6">
        <f t="shared" si="7"/>
        <v>-0.48203935038787582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>
        <v>363.06</v>
      </c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363.06</v>
      </c>
      <c r="M25" s="2"/>
      <c r="N25" s="6">
        <f t="shared" si="3"/>
        <v>0</v>
      </c>
      <c r="O25" s="11"/>
      <c r="P25" s="7">
        <v>559.66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559.66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1408.62</v>
      </c>
      <c r="E26" s="2"/>
      <c r="F26" s="6">
        <f t="shared" si="0"/>
        <v>0</v>
      </c>
      <c r="G26" s="2"/>
      <c r="H26" s="7">
        <v>1403.16</v>
      </c>
      <c r="I26" s="2"/>
      <c r="J26" s="6">
        <f t="shared" si="1"/>
        <v>0</v>
      </c>
      <c r="K26" s="2"/>
      <c r="L26" s="7">
        <f t="shared" si="2"/>
        <v>5.459999999999809</v>
      </c>
      <c r="M26" s="2"/>
      <c r="N26" s="6">
        <f t="shared" si="3"/>
        <v>3.8912169674162667E-3</v>
      </c>
      <c r="O26" s="11"/>
      <c r="P26" s="7">
        <v>3832.01</v>
      </c>
      <c r="Q26" s="2"/>
      <c r="R26" s="6">
        <f t="shared" si="4"/>
        <v>0</v>
      </c>
      <c r="S26" s="2"/>
      <c r="T26" s="7">
        <v>3913.77</v>
      </c>
      <c r="U26" s="2"/>
      <c r="V26" s="6">
        <f t="shared" si="5"/>
        <v>0</v>
      </c>
      <c r="W26" s="2"/>
      <c r="X26" s="7">
        <f t="shared" si="6"/>
        <v>-81.759999999999764</v>
      </c>
      <c r="Y26" s="2"/>
      <c r="Z26" s="6">
        <f t="shared" si="7"/>
        <v>-2.0890343581763813E-2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941.7</v>
      </c>
      <c r="E27" s="2"/>
      <c r="F27" s="6">
        <f t="shared" si="0"/>
        <v>0</v>
      </c>
      <c r="G27" s="2"/>
      <c r="H27" s="7">
        <v>876.6</v>
      </c>
      <c r="I27" s="2"/>
      <c r="J27" s="6">
        <f t="shared" si="1"/>
        <v>0</v>
      </c>
      <c r="K27" s="2"/>
      <c r="L27" s="7">
        <f t="shared" si="2"/>
        <v>65.100000000000023</v>
      </c>
      <c r="M27" s="2"/>
      <c r="N27" s="6">
        <f t="shared" si="3"/>
        <v>7.4264202600958271E-2</v>
      </c>
      <c r="O27" s="11"/>
      <c r="P27" s="7">
        <v>2569.0100000000002</v>
      </c>
      <c r="Q27" s="2"/>
      <c r="R27" s="6">
        <f t="shared" si="4"/>
        <v>0</v>
      </c>
      <c r="S27" s="2"/>
      <c r="T27" s="7">
        <v>2522.86</v>
      </c>
      <c r="U27" s="2"/>
      <c r="V27" s="6">
        <f t="shared" si="5"/>
        <v>0</v>
      </c>
      <c r="W27" s="2"/>
      <c r="X27" s="7">
        <f t="shared" si="6"/>
        <v>46.150000000000091</v>
      </c>
      <c r="Y27" s="2"/>
      <c r="Z27" s="6">
        <f t="shared" si="7"/>
        <v>1.8292731265310041E-2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582.4</v>
      </c>
      <c r="E28" s="2"/>
      <c r="F28" s="6">
        <f t="shared" si="0"/>
        <v>0</v>
      </c>
      <c r="G28" s="2"/>
      <c r="H28" s="7">
        <v>595.08000000000004</v>
      </c>
      <c r="I28" s="2"/>
      <c r="J28" s="6">
        <f t="shared" si="1"/>
        <v>0</v>
      </c>
      <c r="K28" s="2"/>
      <c r="L28" s="7">
        <f t="shared" si="2"/>
        <v>-12.680000000000064</v>
      </c>
      <c r="M28" s="2"/>
      <c r="N28" s="6">
        <f t="shared" si="3"/>
        <v>-2.1308059420582212E-2</v>
      </c>
      <c r="O28" s="11"/>
      <c r="P28" s="7">
        <v>1127.99</v>
      </c>
      <c r="Q28" s="2"/>
      <c r="R28" s="6">
        <f t="shared" si="4"/>
        <v>0</v>
      </c>
      <c r="S28" s="2"/>
      <c r="T28" s="7">
        <v>1170.94</v>
      </c>
      <c r="U28" s="2"/>
      <c r="V28" s="6">
        <f t="shared" si="5"/>
        <v>0</v>
      </c>
      <c r="W28" s="2"/>
      <c r="X28" s="7">
        <f t="shared" si="6"/>
        <v>-42.950000000000045</v>
      </c>
      <c r="Y28" s="2"/>
      <c r="Z28" s="6">
        <f t="shared" si="7"/>
        <v>-3.6679932362033957E-2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24537.84</v>
      </c>
      <c r="E29" s="1"/>
      <c r="F29" s="5">
        <f t="shared" ref="F29:F34" si="8">IF(D$12=0,0,D29/D$12)</f>
        <v>0</v>
      </c>
      <c r="G29" s="1"/>
      <c r="H29" s="1">
        <f>SUM(OSRRefH22_1x_0)</f>
        <v>21470.750000000004</v>
      </c>
      <c r="I29" s="1"/>
      <c r="J29" s="5">
        <f t="shared" ref="J29:J34" si="9">IF(H$12=0,0,H29/H$12)</f>
        <v>0</v>
      </c>
      <c r="K29" s="1"/>
      <c r="L29" s="1">
        <f t="shared" ref="L29:L34" si="10">+D29-H29</f>
        <v>3067.0899999999965</v>
      </c>
      <c r="M29" s="1"/>
      <c r="N29" s="5">
        <f t="shared" ref="N29:N34" si="11">IF(H29=0,0,L29/H29)</f>
        <v>0.14284969085849333</v>
      </c>
      <c r="O29" s="14"/>
      <c r="P29" s="1">
        <f>SUM(OSRRefP22_1x_0)</f>
        <v>52981.9</v>
      </c>
      <c r="Q29" s="1"/>
      <c r="R29" s="5">
        <f t="shared" ref="R29:R34" si="12">IF(P$12=0,0,P29/P$12)</f>
        <v>0</v>
      </c>
      <c r="S29" s="1"/>
      <c r="T29" s="1">
        <f>SUM(OSRRefT22_1x_0)</f>
        <v>47296.76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5685.1399999999994</v>
      </c>
      <c r="Y29" s="1"/>
      <c r="Z29" s="5">
        <f t="shared" ref="Z29:Z34" si="15">IF(T29=0,0,X29/T29)</f>
        <v>0.12020146834582325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11135.82</v>
      </c>
      <c r="E30" s="2"/>
      <c r="F30" s="6">
        <f t="shared" si="8"/>
        <v>0</v>
      </c>
      <c r="G30" s="2"/>
      <c r="H30" s="7">
        <v>11462.42</v>
      </c>
      <c r="I30" s="2"/>
      <c r="J30" s="6">
        <f t="shared" si="9"/>
        <v>0</v>
      </c>
      <c r="K30" s="2"/>
      <c r="L30" s="7">
        <f t="shared" si="10"/>
        <v>-326.60000000000036</v>
      </c>
      <c r="M30" s="2"/>
      <c r="N30" s="6">
        <f t="shared" si="11"/>
        <v>-2.8493110529888135E-2</v>
      </c>
      <c r="O30" s="11"/>
      <c r="P30" s="7">
        <v>25013.22</v>
      </c>
      <c r="Q30" s="2"/>
      <c r="R30" s="6">
        <f t="shared" si="12"/>
        <v>0</v>
      </c>
      <c r="S30" s="2"/>
      <c r="T30" s="7">
        <v>29620.880000000001</v>
      </c>
      <c r="U30" s="2"/>
      <c r="V30" s="6">
        <f t="shared" si="13"/>
        <v>0</v>
      </c>
      <c r="W30" s="2"/>
      <c r="X30" s="7">
        <f t="shared" si="14"/>
        <v>-4607.66</v>
      </c>
      <c r="Y30" s="2"/>
      <c r="Z30" s="6">
        <f t="shared" si="15"/>
        <v>-0.15555446023210653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>
        <v>7470.27</v>
      </c>
      <c r="E31" s="2"/>
      <c r="F31" s="6">
        <f t="shared" si="8"/>
        <v>0</v>
      </c>
      <c r="G31" s="2"/>
      <c r="H31" s="7">
        <v>4294.1400000000003</v>
      </c>
      <c r="I31" s="2"/>
      <c r="J31" s="6">
        <f t="shared" si="9"/>
        <v>0</v>
      </c>
      <c r="K31" s="2"/>
      <c r="L31" s="7">
        <f t="shared" si="10"/>
        <v>3176.13</v>
      </c>
      <c r="M31" s="2"/>
      <c r="N31" s="6">
        <f t="shared" si="11"/>
        <v>0.73964286213304642</v>
      </c>
      <c r="O31" s="11"/>
      <c r="P31" s="7">
        <v>13743.68</v>
      </c>
      <c r="Q31" s="2"/>
      <c r="R31" s="6">
        <f t="shared" si="12"/>
        <v>0</v>
      </c>
      <c r="S31" s="2"/>
      <c r="T31" s="7">
        <v>7653.56</v>
      </c>
      <c r="U31" s="2"/>
      <c r="V31" s="6">
        <f t="shared" si="13"/>
        <v>0</v>
      </c>
      <c r="W31" s="2"/>
      <c r="X31" s="7">
        <f t="shared" si="14"/>
        <v>6090.12</v>
      </c>
      <c r="Y31" s="2"/>
      <c r="Z31" s="6">
        <f t="shared" si="15"/>
        <v>0.79572382002623609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>
        <v>2389.75</v>
      </c>
      <c r="E32" s="2"/>
      <c r="F32" s="6">
        <f t="shared" si="8"/>
        <v>0</v>
      </c>
      <c r="G32" s="2"/>
      <c r="H32" s="7">
        <v>2938.88</v>
      </c>
      <c r="I32" s="2"/>
      <c r="J32" s="6">
        <f t="shared" si="9"/>
        <v>0</v>
      </c>
      <c r="K32" s="2"/>
      <c r="L32" s="7">
        <f t="shared" si="10"/>
        <v>-549.13000000000011</v>
      </c>
      <c r="M32" s="2"/>
      <c r="N32" s="6">
        <f t="shared" si="11"/>
        <v>-0.18685009255226484</v>
      </c>
      <c r="O32" s="11"/>
      <c r="P32" s="7">
        <v>3836.5</v>
      </c>
      <c r="Q32" s="2"/>
      <c r="R32" s="6">
        <f t="shared" si="12"/>
        <v>0</v>
      </c>
      <c r="S32" s="2"/>
      <c r="T32" s="7">
        <v>3193.88</v>
      </c>
      <c r="U32" s="2"/>
      <c r="V32" s="6">
        <f t="shared" si="13"/>
        <v>0</v>
      </c>
      <c r="W32" s="2"/>
      <c r="X32" s="7">
        <f t="shared" si="14"/>
        <v>642.61999999999989</v>
      </c>
      <c r="Y32" s="2"/>
      <c r="Z32" s="6">
        <f t="shared" si="15"/>
        <v>0.20120355179280369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2814.5</v>
      </c>
      <c r="E33" s="2"/>
      <c r="F33" s="6">
        <f t="shared" si="8"/>
        <v>0</v>
      </c>
      <c r="G33" s="2"/>
      <c r="H33" s="7">
        <v>2775.31</v>
      </c>
      <c r="I33" s="2"/>
      <c r="J33" s="6">
        <f t="shared" si="9"/>
        <v>0</v>
      </c>
      <c r="K33" s="2"/>
      <c r="L33" s="7">
        <f t="shared" si="10"/>
        <v>39.190000000000055</v>
      </c>
      <c r="M33" s="2"/>
      <c r="N33" s="6">
        <f t="shared" si="11"/>
        <v>1.412094504758029E-2</v>
      </c>
      <c r="O33" s="11"/>
      <c r="P33" s="7">
        <v>7868.5</v>
      </c>
      <c r="Q33" s="2"/>
      <c r="R33" s="6">
        <f t="shared" si="12"/>
        <v>0</v>
      </c>
      <c r="S33" s="2"/>
      <c r="T33" s="7">
        <v>6828.44</v>
      </c>
      <c r="U33" s="2"/>
      <c r="V33" s="6">
        <f t="shared" si="13"/>
        <v>0</v>
      </c>
      <c r="W33" s="2"/>
      <c r="X33" s="7">
        <f t="shared" si="14"/>
        <v>1040.0600000000004</v>
      </c>
      <c r="Y33" s="2"/>
      <c r="Z33" s="6">
        <f t="shared" si="15"/>
        <v>0.15231297338777239</v>
      </c>
    </row>
    <row r="34" spans="1:26" s="24" customFormat="1" hidden="1" outlineLevel="2" x14ac:dyDescent="0.25">
      <c r="A34" s="29"/>
      <c r="B34" s="11" t="str">
        <f>CONCATENATE("          ", "6008", " - ", "STUDENT HOURLY-FICA EXEMPT")</f>
        <v xml:space="preserve">          6008 - STUDENT HOURLY-FICA EXEMPT</v>
      </c>
      <c r="C34" s="11"/>
      <c r="D34" s="7">
        <v>727.5</v>
      </c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727.5</v>
      </c>
      <c r="M34" s="2"/>
      <c r="N34" s="6">
        <f t="shared" si="11"/>
        <v>0</v>
      </c>
      <c r="O34" s="11"/>
      <c r="P34" s="7">
        <v>2520</v>
      </c>
      <c r="Q34" s="2"/>
      <c r="R34" s="6">
        <f t="shared" si="12"/>
        <v>0</v>
      </c>
      <c r="S34" s="2"/>
      <c r="T34" s="7"/>
      <c r="U34" s="2"/>
      <c r="V34" s="6">
        <f t="shared" si="13"/>
        <v>0</v>
      </c>
      <c r="W34" s="2"/>
      <c r="X34" s="7">
        <f t="shared" si="14"/>
        <v>2520</v>
      </c>
      <c r="Y34" s="2"/>
      <c r="Z34" s="6">
        <f t="shared" si="15"/>
        <v>0</v>
      </c>
    </row>
    <row r="35" spans="1:26" s="27" customFormat="1" outlineLevel="1" collapsed="1" x14ac:dyDescent="0.25">
      <c r="A35" s="28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39" si="16">IF(D$12=0,0,D35/D$12)</f>
        <v>0</v>
      </c>
      <c r="G35" s="1"/>
      <c r="H35" s="1">
        <f>SUM(OSRRefH22_2x_0)</f>
        <v>0</v>
      </c>
      <c r="I35" s="1"/>
      <c r="J35" s="5">
        <f t="shared" ref="J35:J39" si="17">IF(H$12=0,0,H35/H$12)</f>
        <v>0</v>
      </c>
      <c r="K35" s="1"/>
      <c r="L35" s="1">
        <f t="shared" ref="L35:L39" si="18">+D35-H35</f>
        <v>0</v>
      </c>
      <c r="M35" s="1"/>
      <c r="N35" s="5">
        <f t="shared" ref="N35:N39" si="19">IF(H35=0,0,L35/H35)</f>
        <v>0</v>
      </c>
      <c r="O35" s="14"/>
      <c r="P35" s="1">
        <f>SUM(OSRRefP22_2x_0)</f>
        <v>0</v>
      </c>
      <c r="Q35" s="1"/>
      <c r="R35" s="5">
        <f t="shared" ref="R35:R39" si="20">IF(P$12=0,0,P35/P$12)</f>
        <v>0</v>
      </c>
      <c r="S35" s="1"/>
      <c r="T35" s="1">
        <f>SUM(OSRRefT22_2x_0)</f>
        <v>6</v>
      </c>
      <c r="U35" s="1"/>
      <c r="V35" s="5">
        <f t="shared" ref="V35:V39" si="21">IF(T$12=0,0,T35/T$12)</f>
        <v>0</v>
      </c>
      <c r="W35" s="1"/>
      <c r="X35" s="1">
        <f t="shared" ref="X35:X39" si="22">+P35-T35</f>
        <v>-6</v>
      </c>
      <c r="Y35" s="1"/>
      <c r="Z35" s="5">
        <f t="shared" ref="Z35:Z39" si="23">IF(T35=0,0,X35/T35)</f>
        <v>-1</v>
      </c>
    </row>
    <row r="36" spans="1:26" s="24" customFormat="1" hidden="1" outlineLevel="2" x14ac:dyDescent="0.25">
      <c r="A36" s="29"/>
      <c r="B36" s="11" t="str">
        <f>CONCATENATE("          ", "6362", " - ", "ADVERTISING EXPENSE")</f>
        <v xml:space="preserve">          6362 - ADVERTISING EXPENSE</v>
      </c>
      <c r="C36" s="11"/>
      <c r="D36" s="7"/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/>
      <c r="Q36" s="2"/>
      <c r="R36" s="6">
        <f t="shared" si="20"/>
        <v>0</v>
      </c>
      <c r="S36" s="2"/>
      <c r="T36" s="7">
        <v>6</v>
      </c>
      <c r="U36" s="2"/>
      <c r="V36" s="6">
        <f t="shared" si="21"/>
        <v>0</v>
      </c>
      <c r="W36" s="2"/>
      <c r="X36" s="7">
        <f t="shared" si="22"/>
        <v>-6</v>
      </c>
      <c r="Y36" s="2"/>
      <c r="Z36" s="6">
        <f t="shared" si="23"/>
        <v>-1</v>
      </c>
    </row>
    <row r="37" spans="1:26" s="27" customFormat="1" outlineLevel="1" collapsed="1" x14ac:dyDescent="0.25">
      <c r="A37" s="28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SUM(OSRRefD22_3x_0)</f>
        <v>6175.97</v>
      </c>
      <c r="E37" s="1"/>
      <c r="F37" s="5">
        <f t="shared" si="16"/>
        <v>0</v>
      </c>
      <c r="G37" s="1"/>
      <c r="H37" s="1">
        <f>SUM(OSRRefH22_3x_0)</f>
        <v>7869.89</v>
      </c>
      <c r="I37" s="1"/>
      <c r="J37" s="5">
        <f t="shared" si="17"/>
        <v>0</v>
      </c>
      <c r="K37" s="1"/>
      <c r="L37" s="1">
        <f t="shared" si="18"/>
        <v>-1693.92</v>
      </c>
      <c r="M37" s="1"/>
      <c r="N37" s="5">
        <f t="shared" si="19"/>
        <v>-0.21524061962746621</v>
      </c>
      <c r="O37" s="14"/>
      <c r="P37" s="1">
        <f>SUM(OSRRefP22_3x_0)</f>
        <v>12351.94</v>
      </c>
      <c r="Q37" s="1"/>
      <c r="R37" s="5">
        <f t="shared" si="20"/>
        <v>0</v>
      </c>
      <c r="S37" s="1"/>
      <c r="T37" s="1">
        <f>SUM(OSRRefT22_3x_0)</f>
        <v>15739.78</v>
      </c>
      <c r="U37" s="1"/>
      <c r="V37" s="5">
        <f t="shared" si="21"/>
        <v>0</v>
      </c>
      <c r="W37" s="1"/>
      <c r="X37" s="1">
        <f t="shared" si="22"/>
        <v>-3387.84</v>
      </c>
      <c r="Y37" s="1"/>
      <c r="Z37" s="5">
        <f t="shared" si="23"/>
        <v>-0.21524061962746621</v>
      </c>
    </row>
    <row r="38" spans="1:26" s="24" customFormat="1" hidden="1" outlineLevel="2" x14ac:dyDescent="0.25">
      <c r="A38" s="29"/>
      <c r="B38" s="11" t="str">
        <f>CONCATENATE("          ", "6322", " - ", "EQUIPMENT DEPRECIATION EXPENSE")</f>
        <v xml:space="preserve">          6322 - EQUIPMENT DEPRECIATION EXPENSE</v>
      </c>
      <c r="C38" s="11"/>
      <c r="D38" s="7">
        <v>6175.97</v>
      </c>
      <c r="E38" s="2"/>
      <c r="F38" s="6">
        <f t="shared" si="16"/>
        <v>0</v>
      </c>
      <c r="G38" s="2"/>
      <c r="H38" s="7">
        <v>7547.85</v>
      </c>
      <c r="I38" s="2"/>
      <c r="J38" s="6">
        <f t="shared" si="17"/>
        <v>0</v>
      </c>
      <c r="K38" s="2"/>
      <c r="L38" s="7">
        <f t="shared" si="18"/>
        <v>-1371.88</v>
      </c>
      <c r="M38" s="2"/>
      <c r="N38" s="6">
        <f t="shared" si="19"/>
        <v>-0.18175771908556743</v>
      </c>
      <c r="O38" s="11"/>
      <c r="P38" s="7">
        <v>12351.94</v>
      </c>
      <c r="Q38" s="2"/>
      <c r="R38" s="6">
        <f t="shared" si="20"/>
        <v>0</v>
      </c>
      <c r="S38" s="2"/>
      <c r="T38" s="7">
        <v>15095.7</v>
      </c>
      <c r="U38" s="2"/>
      <c r="V38" s="6">
        <f t="shared" si="21"/>
        <v>0</v>
      </c>
      <c r="W38" s="2"/>
      <c r="X38" s="7">
        <f t="shared" si="22"/>
        <v>-2743.76</v>
      </c>
      <c r="Y38" s="2"/>
      <c r="Z38" s="6">
        <f t="shared" si="23"/>
        <v>-0.18175771908556743</v>
      </c>
    </row>
    <row r="39" spans="1:26" s="24" customFormat="1" hidden="1" outlineLevel="2" x14ac:dyDescent="0.25">
      <c r="A39" s="29"/>
      <c r="B39" s="11" t="str">
        <f>CONCATENATE("          ", "6324", " - ", "FURNITURE + FIXT DEPRECIATION")</f>
        <v xml:space="preserve">          6324 - FURNITURE + FIXT DEPRECIATION</v>
      </c>
      <c r="C39" s="11"/>
      <c r="D39" s="7"/>
      <c r="E39" s="2"/>
      <c r="F39" s="6">
        <f t="shared" si="16"/>
        <v>0</v>
      </c>
      <c r="G39" s="2"/>
      <c r="H39" s="7">
        <v>322.04000000000002</v>
      </c>
      <c r="I39" s="2"/>
      <c r="J39" s="6">
        <f t="shared" si="17"/>
        <v>0</v>
      </c>
      <c r="K39" s="2"/>
      <c r="L39" s="7">
        <f t="shared" si="18"/>
        <v>-322.04000000000002</v>
      </c>
      <c r="M39" s="2"/>
      <c r="N39" s="6">
        <f t="shared" si="19"/>
        <v>-1</v>
      </c>
      <c r="O39" s="11"/>
      <c r="P39" s="7"/>
      <c r="Q39" s="2"/>
      <c r="R39" s="6">
        <f t="shared" si="20"/>
        <v>0</v>
      </c>
      <c r="S39" s="2"/>
      <c r="T39" s="7">
        <v>644.08000000000004</v>
      </c>
      <c r="U39" s="2"/>
      <c r="V39" s="6">
        <f t="shared" si="21"/>
        <v>0</v>
      </c>
      <c r="W39" s="2"/>
      <c r="X39" s="7">
        <f t="shared" si="22"/>
        <v>-644.08000000000004</v>
      </c>
      <c r="Y39" s="2"/>
      <c r="Z39" s="6">
        <f t="shared" si="23"/>
        <v>-1</v>
      </c>
    </row>
    <row r="40" spans="1:26" s="27" customFormat="1" outlineLevel="1" collapsed="1" x14ac:dyDescent="0.25">
      <c r="A40" s="28"/>
      <c r="B40" s="14" t="str">
        <f>CONCATENATE("     ","Employees' Appreciation                           ")</f>
        <v xml:space="preserve">     Employees' Appreciation                           </v>
      </c>
      <c r="C40" s="14"/>
      <c r="D40" s="1">
        <f>SUM(OSRRefD22_4x_0)</f>
        <v>0</v>
      </c>
      <c r="E40" s="1"/>
      <c r="F40" s="5">
        <f t="shared" ref="F40:F47" si="24">IF(D$12=0,0,D40/D$12)</f>
        <v>0</v>
      </c>
      <c r="G40" s="1"/>
      <c r="H40" s="1">
        <f>SUM(OSRRefH22_4x_0)</f>
        <v>0</v>
      </c>
      <c r="I40" s="1"/>
      <c r="J40" s="5">
        <f t="shared" ref="J40:J47" si="25">IF(H$12=0,0,H40/H$12)</f>
        <v>0</v>
      </c>
      <c r="K40" s="1"/>
      <c r="L40" s="1">
        <f t="shared" ref="L40:L47" si="26">+D40-H40</f>
        <v>0</v>
      </c>
      <c r="M40" s="1"/>
      <c r="N40" s="5">
        <f t="shared" ref="N40:N47" si="27">IF(H40=0,0,L40/H40)</f>
        <v>0</v>
      </c>
      <c r="O40" s="14"/>
      <c r="P40" s="1">
        <f>SUM(OSRRefP22_4x_0)</f>
        <v>0</v>
      </c>
      <c r="Q40" s="1"/>
      <c r="R40" s="5">
        <f t="shared" ref="R40:R47" si="28">IF(P$12=0,0,P40/P$12)</f>
        <v>0</v>
      </c>
      <c r="S40" s="1"/>
      <c r="T40" s="1">
        <f>SUM(OSRRefT22_4x_0)</f>
        <v>43.35</v>
      </c>
      <c r="U40" s="1"/>
      <c r="V40" s="5">
        <f t="shared" ref="V40:V47" si="29">IF(T$12=0,0,T40/T$12)</f>
        <v>0</v>
      </c>
      <c r="W40" s="1"/>
      <c r="X40" s="1">
        <f t="shared" ref="X40:X47" si="30">+P40-T40</f>
        <v>-43.35</v>
      </c>
      <c r="Y40" s="1"/>
      <c r="Z40" s="5">
        <f t="shared" ref="Z40:Z47" si="31">IF(T40=0,0,X40/T40)</f>
        <v>-1</v>
      </c>
    </row>
    <row r="41" spans="1:26" s="24" customFormat="1" hidden="1" outlineLevel="2" x14ac:dyDescent="0.25">
      <c r="A41" s="29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4"/>
        <v>0</v>
      </c>
      <c r="G41" s="2"/>
      <c r="H41" s="7"/>
      <c r="I41" s="2"/>
      <c r="J41" s="6">
        <f t="shared" si="25"/>
        <v>0</v>
      </c>
      <c r="K41" s="2"/>
      <c r="L41" s="7">
        <f t="shared" si="26"/>
        <v>0</v>
      </c>
      <c r="M41" s="2"/>
      <c r="N41" s="6">
        <f t="shared" si="27"/>
        <v>0</v>
      </c>
      <c r="O41" s="11"/>
      <c r="P41" s="7"/>
      <c r="Q41" s="2"/>
      <c r="R41" s="6">
        <f t="shared" si="28"/>
        <v>0</v>
      </c>
      <c r="S41" s="2"/>
      <c r="T41" s="7">
        <v>43.35</v>
      </c>
      <c r="U41" s="2"/>
      <c r="V41" s="6">
        <f t="shared" si="29"/>
        <v>0</v>
      </c>
      <c r="W41" s="2"/>
      <c r="X41" s="7">
        <f t="shared" si="30"/>
        <v>-43.35</v>
      </c>
      <c r="Y41" s="2"/>
      <c r="Z41" s="6">
        <f t="shared" si="31"/>
        <v>-1</v>
      </c>
    </row>
    <row r="42" spans="1:26" s="27" customFormat="1" outlineLevel="1" collapsed="1" x14ac:dyDescent="0.25">
      <c r="A42" s="28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SUM(OSRRefD22_5x_0)</f>
        <v>56.34</v>
      </c>
      <c r="E42" s="1"/>
      <c r="F42" s="5">
        <f t="shared" si="24"/>
        <v>0</v>
      </c>
      <c r="G42" s="1"/>
      <c r="H42" s="1">
        <f>SUM(OSRRefH22_5x_0)</f>
        <v>53.08</v>
      </c>
      <c r="I42" s="1"/>
      <c r="J42" s="5">
        <f t="shared" si="25"/>
        <v>0</v>
      </c>
      <c r="K42" s="1"/>
      <c r="L42" s="1">
        <f t="shared" si="26"/>
        <v>3.2600000000000051</v>
      </c>
      <c r="M42" s="1"/>
      <c r="N42" s="5">
        <f t="shared" si="27"/>
        <v>6.1416729464958651E-2</v>
      </c>
      <c r="O42" s="14"/>
      <c r="P42" s="1">
        <f>SUM(OSRRefP22_5x_0)</f>
        <v>112.68</v>
      </c>
      <c r="Q42" s="1"/>
      <c r="R42" s="5">
        <f t="shared" si="28"/>
        <v>0</v>
      </c>
      <c r="S42" s="1"/>
      <c r="T42" s="1">
        <f>SUM(OSRRefT22_5x_0)</f>
        <v>106.16</v>
      </c>
      <c r="U42" s="1"/>
      <c r="V42" s="5">
        <f t="shared" si="29"/>
        <v>0</v>
      </c>
      <c r="W42" s="1"/>
      <c r="X42" s="1">
        <f t="shared" si="30"/>
        <v>6.5200000000000102</v>
      </c>
      <c r="Y42" s="1"/>
      <c r="Z42" s="5">
        <f t="shared" si="31"/>
        <v>6.1416729464958651E-2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7">
        <v>56.34</v>
      </c>
      <c r="E43" s="2"/>
      <c r="F43" s="6">
        <f t="shared" si="24"/>
        <v>0</v>
      </c>
      <c r="G43" s="2"/>
      <c r="H43" s="7">
        <v>53.08</v>
      </c>
      <c r="I43" s="2"/>
      <c r="J43" s="6">
        <f t="shared" si="25"/>
        <v>0</v>
      </c>
      <c r="K43" s="2"/>
      <c r="L43" s="7">
        <f t="shared" si="26"/>
        <v>3.2600000000000051</v>
      </c>
      <c r="M43" s="2"/>
      <c r="N43" s="6">
        <f t="shared" si="27"/>
        <v>6.1416729464958651E-2</v>
      </c>
      <c r="O43" s="11"/>
      <c r="P43" s="7">
        <v>112.68</v>
      </c>
      <c r="Q43" s="2"/>
      <c r="R43" s="6">
        <f t="shared" si="28"/>
        <v>0</v>
      </c>
      <c r="S43" s="2"/>
      <c r="T43" s="7">
        <v>106.16</v>
      </c>
      <c r="U43" s="2"/>
      <c r="V43" s="6">
        <f t="shared" si="29"/>
        <v>0</v>
      </c>
      <c r="W43" s="2"/>
      <c r="X43" s="7">
        <f t="shared" si="30"/>
        <v>6.5200000000000102</v>
      </c>
      <c r="Y43" s="2"/>
      <c r="Z43" s="6">
        <f t="shared" si="31"/>
        <v>6.1416729464958651E-2</v>
      </c>
    </row>
    <row r="44" spans="1:26" s="27" customFormat="1" outlineLevel="1" collapsed="1" x14ac:dyDescent="0.25">
      <c r="A44" s="28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SUM(OSRRefD22_6x_0)</f>
        <v>9497.9500000000007</v>
      </c>
      <c r="E44" s="1"/>
      <c r="F44" s="5">
        <f t="shared" si="24"/>
        <v>0</v>
      </c>
      <c r="G44" s="1"/>
      <c r="H44" s="1">
        <f>SUM(OSRRefH22_6x_0)</f>
        <v>6556.32</v>
      </c>
      <c r="I44" s="1"/>
      <c r="J44" s="5">
        <f t="shared" si="25"/>
        <v>0</v>
      </c>
      <c r="K44" s="1"/>
      <c r="L44" s="1">
        <f t="shared" si="26"/>
        <v>2941.630000000001</v>
      </c>
      <c r="M44" s="1"/>
      <c r="N44" s="5">
        <f t="shared" si="27"/>
        <v>0.44867090074920096</v>
      </c>
      <c r="O44" s="14"/>
      <c r="P44" s="1">
        <f>SUM(OSRRefP22_6x_0)</f>
        <v>19136.730000000003</v>
      </c>
      <c r="Q44" s="1"/>
      <c r="R44" s="5">
        <f t="shared" si="28"/>
        <v>0</v>
      </c>
      <c r="S44" s="1"/>
      <c r="T44" s="1">
        <f>SUM(OSRRefT22_6x_0)</f>
        <v>13341.39</v>
      </c>
      <c r="U44" s="1"/>
      <c r="V44" s="5">
        <f t="shared" si="29"/>
        <v>0</v>
      </c>
      <c r="W44" s="1"/>
      <c r="X44" s="1">
        <f t="shared" si="30"/>
        <v>5795.3400000000038</v>
      </c>
      <c r="Y44" s="1"/>
      <c r="Z44" s="5">
        <f t="shared" si="31"/>
        <v>0.43438802103828794</v>
      </c>
    </row>
    <row r="45" spans="1:26" s="24" customFormat="1" hidden="1" outlineLevel="2" x14ac:dyDescent="0.25">
      <c r="A45" s="29"/>
      <c r="B45" s="11" t="str">
        <f>CONCATENATE("          ", "6371", " - ", "COMPUTER SOFTWARE MAINTENANCE")</f>
        <v xml:space="preserve">          6371 - COMPUTER SOFTWARE MAINTENANCE</v>
      </c>
      <c r="C45" s="11"/>
      <c r="D45" s="7">
        <v>90.95</v>
      </c>
      <c r="E45" s="2"/>
      <c r="F45" s="6">
        <f t="shared" si="24"/>
        <v>0</v>
      </c>
      <c r="G45" s="2"/>
      <c r="H45" s="7">
        <v>614.32000000000005</v>
      </c>
      <c r="I45" s="2"/>
      <c r="J45" s="6">
        <f t="shared" si="25"/>
        <v>0</v>
      </c>
      <c r="K45" s="2"/>
      <c r="L45" s="7">
        <f t="shared" si="26"/>
        <v>-523.37</v>
      </c>
      <c r="M45" s="2"/>
      <c r="N45" s="6">
        <f t="shared" si="27"/>
        <v>-0.85195012371402523</v>
      </c>
      <c r="O45" s="11"/>
      <c r="P45" s="7">
        <v>181.9</v>
      </c>
      <c r="Q45" s="2"/>
      <c r="R45" s="6">
        <f t="shared" si="28"/>
        <v>0</v>
      </c>
      <c r="S45" s="2"/>
      <c r="T45" s="7">
        <v>708.27</v>
      </c>
      <c r="U45" s="2"/>
      <c r="V45" s="6">
        <f t="shared" si="29"/>
        <v>0</v>
      </c>
      <c r="W45" s="2"/>
      <c r="X45" s="7">
        <f t="shared" si="30"/>
        <v>-526.37</v>
      </c>
      <c r="Y45" s="2"/>
      <c r="Z45" s="6">
        <f t="shared" si="31"/>
        <v>-0.74317703700566173</v>
      </c>
    </row>
    <row r="46" spans="1:26" s="24" customFormat="1" hidden="1" outlineLevel="2" x14ac:dyDescent="0.25">
      <c r="A46" s="29"/>
      <c r="B46" s="11" t="str">
        <f>CONCATENATE("          ", "6373", " - ", "MAINTENANCE CONTRACTS")</f>
        <v xml:space="preserve">          6373 - MAINTENANCE CONTRACTS</v>
      </c>
      <c r="C46" s="11"/>
      <c r="D46" s="7">
        <v>9407</v>
      </c>
      <c r="E46" s="2"/>
      <c r="F46" s="6">
        <f t="shared" si="24"/>
        <v>0</v>
      </c>
      <c r="G46" s="2"/>
      <c r="H46" s="7">
        <v>5942</v>
      </c>
      <c r="I46" s="2"/>
      <c r="J46" s="6">
        <f t="shared" si="25"/>
        <v>0</v>
      </c>
      <c r="K46" s="2"/>
      <c r="L46" s="7">
        <f t="shared" si="26"/>
        <v>3465</v>
      </c>
      <c r="M46" s="2"/>
      <c r="N46" s="6">
        <f t="shared" si="27"/>
        <v>0.58313699091215077</v>
      </c>
      <c r="O46" s="11"/>
      <c r="P46" s="7">
        <v>18923.150000000001</v>
      </c>
      <c r="Q46" s="2"/>
      <c r="R46" s="6">
        <f t="shared" si="28"/>
        <v>0</v>
      </c>
      <c r="S46" s="2"/>
      <c r="T46" s="7">
        <v>11993.15</v>
      </c>
      <c r="U46" s="2"/>
      <c r="V46" s="6">
        <f t="shared" si="29"/>
        <v>0</v>
      </c>
      <c r="W46" s="2"/>
      <c r="X46" s="7">
        <f t="shared" si="30"/>
        <v>6930.0000000000018</v>
      </c>
      <c r="Y46" s="2"/>
      <c r="Z46" s="6">
        <f t="shared" si="31"/>
        <v>0.5778298445362563</v>
      </c>
    </row>
    <row r="47" spans="1:26" s="24" customFormat="1" hidden="1" outlineLevel="2" x14ac:dyDescent="0.25">
      <c r="A47" s="29"/>
      <c r="B47" s="11" t="str">
        <f>CONCATENATE("          ", "6375", " - ", "OUTSIDE REPAIRS &amp; MAINTENANCE")</f>
        <v xml:space="preserve">          6375 - OUTSIDE REPAIRS &amp; MAINTENANCE</v>
      </c>
      <c r="C47" s="11"/>
      <c r="D47" s="7"/>
      <c r="E47" s="2"/>
      <c r="F47" s="6">
        <f t="shared" si="24"/>
        <v>0</v>
      </c>
      <c r="G47" s="2"/>
      <c r="H47" s="7"/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>
        <v>31.68</v>
      </c>
      <c r="Q47" s="2"/>
      <c r="R47" s="6">
        <f t="shared" si="28"/>
        <v>0</v>
      </c>
      <c r="S47" s="2"/>
      <c r="T47" s="7">
        <v>639.97</v>
      </c>
      <c r="U47" s="2"/>
      <c r="V47" s="6">
        <f t="shared" si="29"/>
        <v>0</v>
      </c>
      <c r="W47" s="2"/>
      <c r="X47" s="7">
        <f t="shared" si="30"/>
        <v>-608.29000000000008</v>
      </c>
      <c r="Y47" s="2"/>
      <c r="Z47" s="6">
        <f t="shared" si="31"/>
        <v>-0.95049767957873033</v>
      </c>
    </row>
    <row r="48" spans="1:26" s="27" customFormat="1" outlineLevel="1" collapsed="1" x14ac:dyDescent="0.25">
      <c r="A48" s="28"/>
      <c r="B48" s="14" t="str">
        <f>CONCATENATE("     ","Supplies                                          ")</f>
        <v xml:space="preserve">     Supplies                                          </v>
      </c>
      <c r="C48" s="14"/>
      <c r="D48" s="1">
        <f>SUM(OSRRefD22_7x_0)</f>
        <v>3455.18</v>
      </c>
      <c r="E48" s="1"/>
      <c r="F48" s="5">
        <f t="shared" ref="F48:F50" si="32">IF(D$12=0,0,D48/D$12)</f>
        <v>0</v>
      </c>
      <c r="G48" s="1"/>
      <c r="H48" s="1">
        <f>SUM(OSRRefH22_7x_0)</f>
        <v>4874.9399999999996</v>
      </c>
      <c r="I48" s="1"/>
      <c r="J48" s="5">
        <f t="shared" ref="J48:J50" si="33">IF(H$12=0,0,H48/H$12)</f>
        <v>0</v>
      </c>
      <c r="K48" s="1"/>
      <c r="L48" s="1">
        <f t="shared" ref="L48:L50" si="34">+D48-H48</f>
        <v>-1419.7599999999998</v>
      </c>
      <c r="M48" s="1"/>
      <c r="N48" s="5">
        <f t="shared" ref="N48:N50" si="35">IF(H48=0,0,L48/H48)</f>
        <v>-0.29123640496088155</v>
      </c>
      <c r="O48" s="14"/>
      <c r="P48" s="1">
        <f>SUM(OSRRefP22_7x_0)</f>
        <v>10066.780000000001</v>
      </c>
      <c r="Q48" s="1"/>
      <c r="R48" s="5">
        <f t="shared" ref="R48:R50" si="36">IF(P$12=0,0,P48/P$12)</f>
        <v>0</v>
      </c>
      <c r="S48" s="1"/>
      <c r="T48" s="1">
        <f>SUM(OSRRefT22_7x_0)</f>
        <v>3906.71</v>
      </c>
      <c r="U48" s="1"/>
      <c r="V48" s="5">
        <f t="shared" ref="V48:V50" si="37">IF(T$12=0,0,T48/T$12)</f>
        <v>0</v>
      </c>
      <c r="W48" s="1"/>
      <c r="X48" s="1">
        <f t="shared" ref="X48:X50" si="38">+P48-T48</f>
        <v>6160.0700000000006</v>
      </c>
      <c r="Y48" s="1"/>
      <c r="Z48" s="5">
        <f t="shared" ref="Z48:Z50" si="39">IF(T48=0,0,X48/T48)</f>
        <v>1.5767922369461773</v>
      </c>
    </row>
    <row r="49" spans="1:26" s="24" customFormat="1" hidden="1" outlineLevel="2" x14ac:dyDescent="0.25">
      <c r="A49" s="29"/>
      <c r="B49" s="11" t="str">
        <f>CONCATENATE("          ", "6234", " - ", "EXPENDABLE SUPPLIES &amp; EQUIPMEN")</f>
        <v xml:space="preserve">          6234 - EXPENDABLE SUPPLIES &amp; EQUIPMEN</v>
      </c>
      <c r="C49" s="11"/>
      <c r="D49" s="7"/>
      <c r="E49" s="2"/>
      <c r="F49" s="6">
        <f t="shared" si="32"/>
        <v>0</v>
      </c>
      <c r="G49" s="2"/>
      <c r="H49" s="7"/>
      <c r="I49" s="2"/>
      <c r="J49" s="6">
        <f t="shared" si="33"/>
        <v>0</v>
      </c>
      <c r="K49" s="2"/>
      <c r="L49" s="7">
        <f t="shared" si="34"/>
        <v>0</v>
      </c>
      <c r="M49" s="2"/>
      <c r="N49" s="6">
        <f t="shared" si="35"/>
        <v>0</v>
      </c>
      <c r="O49" s="11"/>
      <c r="P49" s="7"/>
      <c r="Q49" s="2"/>
      <c r="R49" s="6">
        <f t="shared" si="36"/>
        <v>0</v>
      </c>
      <c r="S49" s="2"/>
      <c r="T49" s="7">
        <v>1245.83</v>
      </c>
      <c r="U49" s="2"/>
      <c r="V49" s="6">
        <f t="shared" si="37"/>
        <v>0</v>
      </c>
      <c r="W49" s="2"/>
      <c r="X49" s="7">
        <f t="shared" si="38"/>
        <v>-1245.83</v>
      </c>
      <c r="Y49" s="2"/>
      <c r="Z49" s="6">
        <f t="shared" si="39"/>
        <v>-1</v>
      </c>
    </row>
    <row r="50" spans="1:26" s="24" customFormat="1" hidden="1" outlineLevel="2" x14ac:dyDescent="0.25">
      <c r="A50" s="29"/>
      <c r="B50" s="11" t="str">
        <f>CONCATENATE("          ", "6241", " - ", "OFFICE EXPENSE")</f>
        <v xml:space="preserve">          6241 - OFFICE EXPENSE</v>
      </c>
      <c r="C50" s="11"/>
      <c r="D50" s="7">
        <v>3455.18</v>
      </c>
      <c r="E50" s="2"/>
      <c r="F50" s="6">
        <f t="shared" si="32"/>
        <v>0</v>
      </c>
      <c r="G50" s="2"/>
      <c r="H50" s="7">
        <v>4874.9399999999996</v>
      </c>
      <c r="I50" s="2"/>
      <c r="J50" s="6">
        <f t="shared" si="33"/>
        <v>0</v>
      </c>
      <c r="K50" s="2"/>
      <c r="L50" s="7">
        <f t="shared" si="34"/>
        <v>-1419.7599999999998</v>
      </c>
      <c r="M50" s="2"/>
      <c r="N50" s="6">
        <f t="shared" si="35"/>
        <v>-0.29123640496088155</v>
      </c>
      <c r="O50" s="11"/>
      <c r="P50" s="7">
        <v>10066.780000000001</v>
      </c>
      <c r="Q50" s="2"/>
      <c r="R50" s="6">
        <f t="shared" si="36"/>
        <v>0</v>
      </c>
      <c r="S50" s="2"/>
      <c r="T50" s="7">
        <v>2660.88</v>
      </c>
      <c r="U50" s="2"/>
      <c r="V50" s="6">
        <f t="shared" si="37"/>
        <v>0</v>
      </c>
      <c r="W50" s="2"/>
      <c r="X50" s="7">
        <f t="shared" si="38"/>
        <v>7405.9000000000005</v>
      </c>
      <c r="Y50" s="2"/>
      <c r="Z50" s="6">
        <f t="shared" si="39"/>
        <v>2.7832521571810829</v>
      </c>
    </row>
    <row r="51" spans="1:26" s="27" customFormat="1" outlineLevel="1" collapsed="1" x14ac:dyDescent="0.25">
      <c r="A51" s="28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SUM(OSRRefD22_8x_0)</f>
        <v>929.56999999999994</v>
      </c>
      <c r="E51" s="1"/>
      <c r="F51" s="5">
        <f t="shared" ref="F51:F53" si="40">IF(D$12=0,0,D51/D$12)</f>
        <v>0</v>
      </c>
      <c r="G51" s="1"/>
      <c r="H51" s="1">
        <f>SUM(OSRRefH22_8x_0)</f>
        <v>933.83999999999992</v>
      </c>
      <c r="I51" s="1"/>
      <c r="J51" s="5">
        <f t="shared" ref="J51:J53" si="41">IF(H$12=0,0,H51/H$12)</f>
        <v>0</v>
      </c>
      <c r="K51" s="1"/>
      <c r="L51" s="1">
        <f t="shared" ref="L51:L53" si="42">+D51-H51</f>
        <v>-4.2699999999999818</v>
      </c>
      <c r="M51" s="1"/>
      <c r="N51" s="5">
        <f t="shared" ref="N51:N53" si="43">IF(H51=0,0,L51/H51)</f>
        <v>-4.5725177760644027E-3</v>
      </c>
      <c r="O51" s="14"/>
      <c r="P51" s="1">
        <f>SUM(OSRRefP22_8x_0)</f>
        <v>4978.8099999999995</v>
      </c>
      <c r="Q51" s="1"/>
      <c r="R51" s="5">
        <f t="shared" ref="R51:R53" si="44">IF(P$12=0,0,P51/P$12)</f>
        <v>0</v>
      </c>
      <c r="S51" s="1"/>
      <c r="T51" s="1">
        <f>SUM(OSRRefT22_8x_0)</f>
        <v>1230.1300000000001</v>
      </c>
      <c r="U51" s="1"/>
      <c r="V51" s="5">
        <f t="shared" ref="V51:V53" si="45">IF(T$12=0,0,T51/T$12)</f>
        <v>0</v>
      </c>
      <c r="W51" s="1"/>
      <c r="X51" s="1">
        <f t="shared" ref="X51:X53" si="46">+P51-T51</f>
        <v>3748.6799999999994</v>
      </c>
      <c r="Y51" s="1"/>
      <c r="Z51" s="5">
        <f t="shared" ref="Z51:Z53" si="47">IF(T51=0,0,X51/T51)</f>
        <v>3.0473852357067943</v>
      </c>
    </row>
    <row r="52" spans="1:26" s="24" customFormat="1" hidden="1" outlineLevel="2" x14ac:dyDescent="0.25">
      <c r="A52" s="29"/>
      <c r="B52" s="11" t="str">
        <f>CONCATENATE("          ", "6303", " - ", "DATA PHONE LINES")</f>
        <v xml:space="preserve">          6303 - DATA PHONE LINES</v>
      </c>
      <c r="C52" s="11"/>
      <c r="D52" s="7">
        <v>195.54</v>
      </c>
      <c r="E52" s="2"/>
      <c r="F52" s="6">
        <f t="shared" si="40"/>
        <v>0</v>
      </c>
      <c r="G52" s="2"/>
      <c r="H52" s="7">
        <v>173.93</v>
      </c>
      <c r="I52" s="2"/>
      <c r="J52" s="6">
        <f t="shared" si="41"/>
        <v>0</v>
      </c>
      <c r="K52" s="2"/>
      <c r="L52" s="7">
        <f t="shared" si="42"/>
        <v>21.609999999999985</v>
      </c>
      <c r="M52" s="2"/>
      <c r="N52" s="6">
        <f t="shared" si="43"/>
        <v>0.12424538607485761</v>
      </c>
      <c r="O52" s="11"/>
      <c r="P52" s="7">
        <v>391.07</v>
      </c>
      <c r="Q52" s="2"/>
      <c r="R52" s="6">
        <f t="shared" si="44"/>
        <v>0</v>
      </c>
      <c r="S52" s="2"/>
      <c r="T52" s="7">
        <v>347.86</v>
      </c>
      <c r="U52" s="2"/>
      <c r="V52" s="6">
        <f t="shared" si="45"/>
        <v>0</v>
      </c>
      <c r="W52" s="2"/>
      <c r="X52" s="7">
        <f t="shared" si="46"/>
        <v>43.20999999999998</v>
      </c>
      <c r="Y52" s="2"/>
      <c r="Z52" s="6">
        <f t="shared" si="47"/>
        <v>0.12421663887770935</v>
      </c>
    </row>
    <row r="53" spans="1:26" s="24" customFormat="1" hidden="1" outlineLevel="2" x14ac:dyDescent="0.25">
      <c r="A53" s="29"/>
      <c r="B53" s="11" t="str">
        <f>CONCATENATE("          ", "6309", " - ", "TELEPHONE")</f>
        <v xml:space="preserve">          6309 - TELEPHONE</v>
      </c>
      <c r="C53" s="11"/>
      <c r="D53" s="7">
        <v>734.03</v>
      </c>
      <c r="E53" s="2"/>
      <c r="F53" s="6">
        <f t="shared" si="40"/>
        <v>0</v>
      </c>
      <c r="G53" s="2"/>
      <c r="H53" s="7">
        <v>759.91</v>
      </c>
      <c r="I53" s="2"/>
      <c r="J53" s="6">
        <f t="shared" si="41"/>
        <v>0</v>
      </c>
      <c r="K53" s="2"/>
      <c r="L53" s="7">
        <f t="shared" si="42"/>
        <v>-25.879999999999995</v>
      </c>
      <c r="M53" s="2"/>
      <c r="N53" s="6">
        <f t="shared" si="43"/>
        <v>-3.4056664605019007E-2</v>
      </c>
      <c r="O53" s="11"/>
      <c r="P53" s="7">
        <v>4587.74</v>
      </c>
      <c r="Q53" s="2"/>
      <c r="R53" s="6">
        <f t="shared" si="44"/>
        <v>0</v>
      </c>
      <c r="S53" s="2"/>
      <c r="T53" s="7">
        <v>882.27</v>
      </c>
      <c r="U53" s="2"/>
      <c r="V53" s="6">
        <f t="shared" si="45"/>
        <v>0</v>
      </c>
      <c r="W53" s="2"/>
      <c r="X53" s="7">
        <f t="shared" si="46"/>
        <v>3705.47</v>
      </c>
      <c r="Y53" s="2"/>
      <c r="Z53" s="6">
        <f t="shared" si="47"/>
        <v>4.199927459847892</v>
      </c>
    </row>
    <row r="54" spans="1:26" s="27" customFormat="1" outlineLevel="1" collapsed="1" x14ac:dyDescent="0.25">
      <c r="A54" s="28"/>
      <c r="B54" s="14" t="str">
        <f>CONCATENATE("     ","Training                                          ")</f>
        <v xml:space="preserve">     Training                                          </v>
      </c>
      <c r="C54" s="14"/>
      <c r="D54" s="1">
        <f>SUM(OSRRefD22_9x_0)</f>
        <v>49</v>
      </c>
      <c r="E54" s="1"/>
      <c r="F54" s="5">
        <f t="shared" ref="F54:F58" si="48">IF(D$12=0,0,D54/D$12)</f>
        <v>0</v>
      </c>
      <c r="G54" s="1"/>
      <c r="H54" s="1">
        <f>SUM(OSRRefH22_9x_0)</f>
        <v>49</v>
      </c>
      <c r="I54" s="1"/>
      <c r="J54" s="5">
        <f t="shared" ref="J54:J58" si="49">IF(H$12=0,0,H54/H$12)</f>
        <v>0</v>
      </c>
      <c r="K54" s="1"/>
      <c r="L54" s="1">
        <f t="shared" ref="L54:L58" si="50">+D54-H54</f>
        <v>0</v>
      </c>
      <c r="M54" s="1"/>
      <c r="N54" s="5">
        <f t="shared" ref="N54:N58" si="51">IF(H54=0,0,L54/H54)</f>
        <v>0</v>
      </c>
      <c r="O54" s="14"/>
      <c r="P54" s="1">
        <f>SUM(OSRRefP22_9x_0)</f>
        <v>98</v>
      </c>
      <c r="Q54" s="1"/>
      <c r="R54" s="5">
        <f t="shared" ref="R54:R58" si="52">IF(P$12=0,0,P54/P$12)</f>
        <v>0</v>
      </c>
      <c r="S54" s="1"/>
      <c r="T54" s="1">
        <f>SUM(OSRRefT22_9x_0)</f>
        <v>4153.05</v>
      </c>
      <c r="U54" s="1"/>
      <c r="V54" s="5">
        <f t="shared" ref="V54:V58" si="53">IF(T$12=0,0,T54/T$12)</f>
        <v>0</v>
      </c>
      <c r="W54" s="1"/>
      <c r="X54" s="1">
        <f t="shared" ref="X54:X58" si="54">+P54-T54</f>
        <v>-4055.05</v>
      </c>
      <c r="Y54" s="1"/>
      <c r="Z54" s="5">
        <f t="shared" ref="Z54:Z58" si="55">IF(T54=0,0,X54/T54)</f>
        <v>-0.9764028846269609</v>
      </c>
    </row>
    <row r="55" spans="1:26" s="24" customFormat="1" hidden="1" outlineLevel="2" x14ac:dyDescent="0.25">
      <c r="A55" s="29"/>
      <c r="B55" s="11" t="str">
        <f>CONCATENATE("          ", "6376", " - ", "TRAINING")</f>
        <v xml:space="preserve">          6376 - TRAINING</v>
      </c>
      <c r="C55" s="11"/>
      <c r="D55" s="7">
        <v>49</v>
      </c>
      <c r="E55" s="2"/>
      <c r="F55" s="6">
        <f t="shared" si="48"/>
        <v>0</v>
      </c>
      <c r="G55" s="2"/>
      <c r="H55" s="7">
        <v>49</v>
      </c>
      <c r="I55" s="2"/>
      <c r="J55" s="6">
        <f t="shared" si="49"/>
        <v>0</v>
      </c>
      <c r="K55" s="2"/>
      <c r="L55" s="7">
        <f t="shared" si="50"/>
        <v>0</v>
      </c>
      <c r="M55" s="2"/>
      <c r="N55" s="6">
        <f t="shared" si="51"/>
        <v>0</v>
      </c>
      <c r="O55" s="11"/>
      <c r="P55" s="7">
        <v>98</v>
      </c>
      <c r="Q55" s="2"/>
      <c r="R55" s="6">
        <f t="shared" si="52"/>
        <v>0</v>
      </c>
      <c r="S55" s="2"/>
      <c r="T55" s="7">
        <v>4153.05</v>
      </c>
      <c r="U55" s="2"/>
      <c r="V55" s="6">
        <f t="shared" si="53"/>
        <v>0</v>
      </c>
      <c r="W55" s="2"/>
      <c r="X55" s="7">
        <f t="shared" si="54"/>
        <v>-4055.05</v>
      </c>
      <c r="Y55" s="2"/>
      <c r="Z55" s="6">
        <f t="shared" si="55"/>
        <v>-0.9764028846269609</v>
      </c>
    </row>
    <row r="56" spans="1:26" s="27" customFormat="1" outlineLevel="1" collapsed="1" x14ac:dyDescent="0.25">
      <c r="A56" s="28"/>
      <c r="B56" s="14" t="str">
        <f>CONCATENATE("     ","Travel                                            ")</f>
        <v xml:space="preserve">     Travel                                            </v>
      </c>
      <c r="C56" s="14"/>
      <c r="D56" s="1">
        <f>SUM(OSRRefD22_10x_0)</f>
        <v>23.9</v>
      </c>
      <c r="E56" s="1"/>
      <c r="F56" s="5">
        <f t="shared" si="48"/>
        <v>0</v>
      </c>
      <c r="G56" s="1"/>
      <c r="H56" s="1">
        <f>SUM(OSRRefH22_10x_0)</f>
        <v>6.44</v>
      </c>
      <c r="I56" s="1"/>
      <c r="J56" s="5">
        <f t="shared" si="49"/>
        <v>0</v>
      </c>
      <c r="K56" s="1"/>
      <c r="L56" s="1">
        <f t="shared" si="50"/>
        <v>17.459999999999997</v>
      </c>
      <c r="M56" s="1"/>
      <c r="N56" s="5">
        <f t="shared" si="51"/>
        <v>2.7111801242236018</v>
      </c>
      <c r="O56" s="14"/>
      <c r="P56" s="1">
        <f>SUM(OSRRefP22_10x_0)</f>
        <v>23.9</v>
      </c>
      <c r="Q56" s="1"/>
      <c r="R56" s="5">
        <f t="shared" si="52"/>
        <v>0</v>
      </c>
      <c r="S56" s="1"/>
      <c r="T56" s="1">
        <f>SUM(OSRRefT22_10x_0)</f>
        <v>6.44</v>
      </c>
      <c r="U56" s="1"/>
      <c r="V56" s="5">
        <f t="shared" si="53"/>
        <v>0</v>
      </c>
      <c r="W56" s="1"/>
      <c r="X56" s="1">
        <f t="shared" si="54"/>
        <v>17.459999999999997</v>
      </c>
      <c r="Y56" s="1"/>
      <c r="Z56" s="5">
        <f t="shared" si="55"/>
        <v>2.7111801242236018</v>
      </c>
    </row>
    <row r="57" spans="1:26" s="24" customFormat="1" hidden="1" outlineLevel="2" x14ac:dyDescent="0.25">
      <c r="A57" s="29"/>
      <c r="B57" s="11" t="str">
        <f>CONCATENATE("          ", "6292", " - ", "TRAVEL/CONFERENCE")</f>
        <v xml:space="preserve">          6292 - TRAVEL/CONFERENCE</v>
      </c>
      <c r="C57" s="11"/>
      <c r="D57" s="7"/>
      <c r="E57" s="2"/>
      <c r="F57" s="6">
        <f t="shared" si="48"/>
        <v>0</v>
      </c>
      <c r="G57" s="2"/>
      <c r="H57" s="7">
        <v>6.44</v>
      </c>
      <c r="I57" s="2"/>
      <c r="J57" s="6">
        <f t="shared" si="49"/>
        <v>0</v>
      </c>
      <c r="K57" s="2"/>
      <c r="L57" s="7">
        <f t="shared" si="50"/>
        <v>-6.44</v>
      </c>
      <c r="M57" s="2"/>
      <c r="N57" s="6">
        <f t="shared" si="51"/>
        <v>-1</v>
      </c>
      <c r="O57" s="11"/>
      <c r="P57" s="7"/>
      <c r="Q57" s="2"/>
      <c r="R57" s="6">
        <f t="shared" si="52"/>
        <v>0</v>
      </c>
      <c r="S57" s="2"/>
      <c r="T57" s="7">
        <v>6.44</v>
      </c>
      <c r="U57" s="2"/>
      <c r="V57" s="6">
        <f t="shared" si="53"/>
        <v>0</v>
      </c>
      <c r="W57" s="2"/>
      <c r="X57" s="7">
        <f t="shared" si="54"/>
        <v>-6.44</v>
      </c>
      <c r="Y57" s="2"/>
      <c r="Z57" s="6">
        <f t="shared" si="55"/>
        <v>-1</v>
      </c>
    </row>
    <row r="58" spans="1:26" s="24" customFormat="1" hidden="1" outlineLevel="2" x14ac:dyDescent="0.25">
      <c r="A58" s="29"/>
      <c r="B58" s="11" t="str">
        <f>CONCATENATE("          ", "6294", " - ", "TRAVEL OPERATIONAL")</f>
        <v xml:space="preserve">          6294 - TRAVEL OPERATIONAL</v>
      </c>
      <c r="C58" s="11"/>
      <c r="D58" s="7">
        <v>23.9</v>
      </c>
      <c r="E58" s="2"/>
      <c r="F58" s="6">
        <f t="shared" si="48"/>
        <v>0</v>
      </c>
      <c r="G58" s="2"/>
      <c r="H58" s="7"/>
      <c r="I58" s="2"/>
      <c r="J58" s="6">
        <f t="shared" si="49"/>
        <v>0</v>
      </c>
      <c r="K58" s="2"/>
      <c r="L58" s="7">
        <f t="shared" si="50"/>
        <v>23.9</v>
      </c>
      <c r="M58" s="2"/>
      <c r="N58" s="6">
        <f t="shared" si="51"/>
        <v>0</v>
      </c>
      <c r="O58" s="11"/>
      <c r="P58" s="7">
        <v>23.9</v>
      </c>
      <c r="Q58" s="2"/>
      <c r="R58" s="6">
        <f t="shared" si="52"/>
        <v>0</v>
      </c>
      <c r="S58" s="2"/>
      <c r="T58" s="7"/>
      <c r="U58" s="2"/>
      <c r="V58" s="6">
        <f t="shared" si="53"/>
        <v>0</v>
      </c>
      <c r="W58" s="2"/>
      <c r="X58" s="7">
        <f t="shared" si="54"/>
        <v>23.9</v>
      </c>
      <c r="Y58" s="2"/>
      <c r="Z58" s="6">
        <f t="shared" si="55"/>
        <v>0</v>
      </c>
    </row>
    <row r="59" spans="1:26" s="62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5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6" t="s">
        <v>3</v>
      </c>
      <c r="C62" s="26"/>
      <c r="D62" s="20">
        <f>+D16-D18+D60</f>
        <v>-56780.079999999994</v>
      </c>
      <c r="E62" s="13"/>
      <c r="F62" s="19">
        <f>IF(D$12=0,0,D62/D$12)</f>
        <v>0</v>
      </c>
      <c r="G62" s="13"/>
      <c r="H62" s="20">
        <f>+H16-H18+H60</f>
        <v>-57805.610000000008</v>
      </c>
      <c r="I62" s="13"/>
      <c r="J62" s="19">
        <f>IF(H$12=0,0,H62/H$12)</f>
        <v>0</v>
      </c>
      <c r="K62" s="15"/>
      <c r="L62" s="20">
        <f>+D62-H62</f>
        <v>1025.5300000000134</v>
      </c>
      <c r="M62" s="15"/>
      <c r="N62" s="19">
        <f>IF(H62=0,0,L62/H62)</f>
        <v>-1.7741011642295846E-2</v>
      </c>
      <c r="O62" s="25"/>
      <c r="P62" s="20">
        <f>+P16-P18+P60</f>
        <v>-124455.92999999998</v>
      </c>
      <c r="Q62" s="13"/>
      <c r="R62" s="19">
        <f>IF(P$12=0,0,P62/P$12)</f>
        <v>0</v>
      </c>
      <c r="S62" s="13"/>
      <c r="T62" s="20">
        <f>+T16-T18+T60</f>
        <v>-113416.61000000003</v>
      </c>
      <c r="U62" s="13"/>
      <c r="V62" s="19">
        <f>IF(T$12=0,0,T62/T$12)</f>
        <v>0</v>
      </c>
      <c r="W62" s="15"/>
      <c r="X62" s="20">
        <f>+P62-T62</f>
        <v>-11039.319999999949</v>
      </c>
      <c r="Y62" s="15"/>
      <c r="Z62" s="19">
        <f>IF(T62=0,0,X62/T62)</f>
        <v>9.7334244075889295E-2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13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/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6" t="s">
        <v>4</v>
      </c>
      <c r="C66" s="26"/>
      <c r="D66" s="31">
        <f>+D62-D64</f>
        <v>-56780.079999999994</v>
      </c>
      <c r="E66" s="13"/>
      <c r="F66" s="36">
        <f>IF(D$12=0,0,D66/D$12)</f>
        <v>0</v>
      </c>
      <c r="G66" s="13"/>
      <c r="H66" s="31">
        <f>+H62-H64</f>
        <v>-57805.610000000008</v>
      </c>
      <c r="I66" s="13"/>
      <c r="J66" s="36">
        <f>IF(H$12=0,0,H66/H$12)</f>
        <v>0</v>
      </c>
      <c r="K66" s="15"/>
      <c r="L66" s="31">
        <f>D66-H66</f>
        <v>1025.5300000000134</v>
      </c>
      <c r="M66" s="15"/>
      <c r="N66" s="36">
        <f>IF(H66=0,0,L66/H66)</f>
        <v>-1.7741011642295846E-2</v>
      </c>
      <c r="O66" s="25"/>
      <c r="P66" s="31">
        <f>+P62-P64</f>
        <v>-124455.92999999998</v>
      </c>
      <c r="Q66" s="13"/>
      <c r="R66" s="36">
        <f>IF(P$12=0,0,P66/P$12)</f>
        <v>0</v>
      </c>
      <c r="S66" s="13"/>
      <c r="T66" s="31">
        <f>+T62-T64</f>
        <v>-113416.61000000003</v>
      </c>
      <c r="U66" s="13"/>
      <c r="V66" s="36">
        <f>IF(T$12=0,0,T66/T$12)</f>
        <v>0</v>
      </c>
      <c r="W66" s="15"/>
      <c r="X66" s="31">
        <f>P66-T66</f>
        <v>-11039.319999999949</v>
      </c>
      <c r="Y66" s="15"/>
      <c r="Z66" s="36">
        <f>IF(T66=0,0,X66/T66)</f>
        <v>9.7334244075889295E-2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6" t="s">
        <v>5</v>
      </c>
      <c r="C69" s="26"/>
      <c r="D69" s="32">
        <f>SUM(D66:D68)</f>
        <v>-56780.079999999994</v>
      </c>
      <c r="E69" s="13"/>
      <c r="F69" s="30">
        <f>IF(D$12=0,0,D69/D$12)</f>
        <v>0</v>
      </c>
      <c r="G69" s="13"/>
      <c r="H69" s="32">
        <f>SUM(H66:H68)</f>
        <v>-57805.610000000008</v>
      </c>
      <c r="I69" s="13"/>
      <c r="J69" s="30">
        <f>IF(H$12=0,0,H69/H$12)</f>
        <v>0</v>
      </c>
      <c r="K69" s="15"/>
      <c r="L69" s="32">
        <f>+D69-H69</f>
        <v>1025.5300000000134</v>
      </c>
      <c r="M69" s="15"/>
      <c r="N69" s="30">
        <f>IF(H69=0,0,L69/H69)</f>
        <v>-1.7741011642295846E-2</v>
      </c>
      <c r="O69" s="25"/>
      <c r="P69" s="32">
        <f>SUM(P66:P68)</f>
        <v>-124455.92999999998</v>
      </c>
      <c r="Q69" s="13"/>
      <c r="R69" s="30">
        <f>IF(P$12=0,0,P69/P$12)</f>
        <v>0</v>
      </c>
      <c r="S69" s="13"/>
      <c r="T69" s="32">
        <f>SUM(T66:T68)</f>
        <v>-113416.61000000003</v>
      </c>
      <c r="U69" s="13"/>
      <c r="V69" s="30">
        <f>IF(T$12=0,0,T69/T$12)</f>
        <v>0</v>
      </c>
      <c r="W69" s="15"/>
      <c r="X69" s="32">
        <f>+P69-T69</f>
        <v>-11039.319999999949</v>
      </c>
      <c r="Y69" s="15"/>
      <c r="Z69" s="30">
        <f>IF(T69=0,0,X69/T69)</f>
        <v>9.7334244075889295E-2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7">
        <v>43732.709483101855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60" t="s">
        <v>313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6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","205", " - ", "Maintenance")</f>
        <v>Department 205 - Maintenance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9278.51</v>
      </c>
      <c r="E18" s="22"/>
      <c r="F18" s="33">
        <f t="shared" ref="F18:F27" si="0">IF(D$12=0,0,D18/D$12)</f>
        <v>0</v>
      </c>
      <c r="G18" s="22"/>
      <c r="H18" s="22">
        <f>SUM(OSRRefH22x_0)</f>
        <v>8955.3000000000011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323.20999999999913</v>
      </c>
      <c r="M18" s="4"/>
      <c r="N18" s="33">
        <f t="shared" ref="N18:N27" si="3">IF(H18=0,0,L18/H18)</f>
        <v>3.6091476555782508E-2</v>
      </c>
      <c r="O18" s="10"/>
      <c r="P18" s="22">
        <f>SUM(OSRRefP22x_0)</f>
        <v>17460.419999999998</v>
      </c>
      <c r="Q18" s="22"/>
      <c r="R18" s="33">
        <f t="shared" ref="R18:R27" si="4">IF(P$12=0,0,P18/P$12)</f>
        <v>0</v>
      </c>
      <c r="S18" s="22"/>
      <c r="T18" s="22">
        <f>SUM(OSRRefT22x_0)</f>
        <v>16513.3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947.11999999999898</v>
      </c>
      <c r="Y18" s="4"/>
      <c r="Z18" s="33">
        <f t="shared" ref="Z18:Z27" si="7">IF(T18=0,0,X18/T18)</f>
        <v>5.7354980530844778E-2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2521.2799999999997</v>
      </c>
      <c r="E19" s="1"/>
      <c r="F19" s="5">
        <f t="shared" si="0"/>
        <v>0</v>
      </c>
      <c r="G19" s="1"/>
      <c r="H19" s="1">
        <f>SUM(OSRRefH22_0x_0)</f>
        <v>2302.7700000000004</v>
      </c>
      <c r="I19" s="1"/>
      <c r="J19" s="5">
        <f t="shared" si="1"/>
        <v>0</v>
      </c>
      <c r="K19" s="1"/>
      <c r="L19" s="1">
        <f t="shared" si="2"/>
        <v>218.50999999999931</v>
      </c>
      <c r="M19" s="1"/>
      <c r="N19" s="5">
        <f t="shared" si="3"/>
        <v>9.4890067179961207E-2</v>
      </c>
      <c r="O19" s="14"/>
      <c r="P19" s="1">
        <f>SUM(OSRRefP22_0x_0)</f>
        <v>6104.7400000000007</v>
      </c>
      <c r="Q19" s="1"/>
      <c r="R19" s="5">
        <f t="shared" si="4"/>
        <v>0</v>
      </c>
      <c r="S19" s="1"/>
      <c r="T19" s="1">
        <f>SUM(OSRRefT22_0x_0)</f>
        <v>5508.5499999999993</v>
      </c>
      <c r="U19" s="1"/>
      <c r="V19" s="5">
        <f t="shared" si="5"/>
        <v>0</v>
      </c>
      <c r="W19" s="1"/>
      <c r="X19" s="1">
        <f t="shared" si="6"/>
        <v>596.19000000000142</v>
      </c>
      <c r="Y19" s="1"/>
      <c r="Z19" s="5">
        <f t="shared" si="7"/>
        <v>0.10822993346706511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352.41</v>
      </c>
      <c r="E20" s="2"/>
      <c r="F20" s="6">
        <f t="shared" si="0"/>
        <v>0</v>
      </c>
      <c r="G20" s="2"/>
      <c r="H20" s="7">
        <v>319.68</v>
      </c>
      <c r="I20" s="2"/>
      <c r="J20" s="6">
        <f t="shared" si="1"/>
        <v>0</v>
      </c>
      <c r="K20" s="2"/>
      <c r="L20" s="7">
        <f t="shared" si="2"/>
        <v>32.730000000000018</v>
      </c>
      <c r="M20" s="2"/>
      <c r="N20" s="6">
        <f t="shared" si="3"/>
        <v>0.10238363363363369</v>
      </c>
      <c r="O20" s="11"/>
      <c r="P20" s="7">
        <v>668.67</v>
      </c>
      <c r="Q20" s="2"/>
      <c r="R20" s="6">
        <f t="shared" si="4"/>
        <v>0</v>
      </c>
      <c r="S20" s="2"/>
      <c r="T20" s="7">
        <v>624.74</v>
      </c>
      <c r="U20" s="2"/>
      <c r="V20" s="6">
        <f t="shared" si="5"/>
        <v>0</v>
      </c>
      <c r="W20" s="2"/>
      <c r="X20" s="7">
        <f t="shared" si="6"/>
        <v>43.92999999999995</v>
      </c>
      <c r="Y20" s="2"/>
      <c r="Z20" s="6">
        <f t="shared" si="7"/>
        <v>7.0317251976822273E-2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301.22000000000003</v>
      </c>
      <c r="E21" s="2"/>
      <c r="F21" s="6">
        <f t="shared" si="0"/>
        <v>0</v>
      </c>
      <c r="G21" s="2"/>
      <c r="H21" s="7">
        <v>179.84</v>
      </c>
      <c r="I21" s="2"/>
      <c r="J21" s="6">
        <f t="shared" si="1"/>
        <v>0</v>
      </c>
      <c r="K21" s="2"/>
      <c r="L21" s="7">
        <f t="shared" si="2"/>
        <v>121.38000000000002</v>
      </c>
      <c r="M21" s="2"/>
      <c r="N21" s="6">
        <f t="shared" si="3"/>
        <v>0.67493327402135239</v>
      </c>
      <c r="O21" s="11"/>
      <c r="P21" s="7">
        <v>581.11</v>
      </c>
      <c r="Q21" s="2"/>
      <c r="R21" s="6">
        <f t="shared" si="4"/>
        <v>0</v>
      </c>
      <c r="S21" s="2"/>
      <c r="T21" s="7">
        <v>438.65</v>
      </c>
      <c r="U21" s="2"/>
      <c r="V21" s="6">
        <f t="shared" si="5"/>
        <v>0</v>
      </c>
      <c r="W21" s="2"/>
      <c r="X21" s="7">
        <f t="shared" si="6"/>
        <v>142.46000000000004</v>
      </c>
      <c r="Y21" s="2"/>
      <c r="Z21" s="6">
        <f t="shared" si="7"/>
        <v>0.32476917816026457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695.14</v>
      </c>
      <c r="E22" s="2"/>
      <c r="F22" s="6">
        <f t="shared" si="0"/>
        <v>0</v>
      </c>
      <c r="G22" s="2"/>
      <c r="H22" s="7">
        <v>695.14</v>
      </c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1390.28</v>
      </c>
      <c r="Q22" s="2"/>
      <c r="R22" s="6">
        <f t="shared" si="4"/>
        <v>0</v>
      </c>
      <c r="S22" s="2"/>
      <c r="T22" s="7">
        <v>963.85</v>
      </c>
      <c r="U22" s="2"/>
      <c r="V22" s="6">
        <f t="shared" si="5"/>
        <v>0</v>
      </c>
      <c r="W22" s="2"/>
      <c r="X22" s="7">
        <f t="shared" si="6"/>
        <v>426.42999999999995</v>
      </c>
      <c r="Y22" s="2"/>
      <c r="Z22" s="6">
        <f t="shared" si="7"/>
        <v>0.44242361363282662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11.57</v>
      </c>
      <c r="E23" s="2"/>
      <c r="F23" s="6">
        <f t="shared" si="0"/>
        <v>0</v>
      </c>
      <c r="G23" s="2"/>
      <c r="H23" s="7">
        <v>10.7</v>
      </c>
      <c r="I23" s="2"/>
      <c r="J23" s="6">
        <f t="shared" si="1"/>
        <v>0</v>
      </c>
      <c r="K23" s="2"/>
      <c r="L23" s="7">
        <f t="shared" si="2"/>
        <v>0.87000000000000099</v>
      </c>
      <c r="M23" s="2"/>
      <c r="N23" s="6">
        <f t="shared" si="3"/>
        <v>8.1308411214953372E-2</v>
      </c>
      <c r="O23" s="11"/>
      <c r="P23" s="7">
        <v>22.32</v>
      </c>
      <c r="Q23" s="2"/>
      <c r="R23" s="6">
        <f t="shared" si="4"/>
        <v>0</v>
      </c>
      <c r="S23" s="2"/>
      <c r="T23" s="7">
        <v>26.1</v>
      </c>
      <c r="U23" s="2"/>
      <c r="V23" s="6">
        <f t="shared" si="5"/>
        <v>0</v>
      </c>
      <c r="W23" s="2"/>
      <c r="X23" s="7">
        <f t="shared" si="6"/>
        <v>-3.7800000000000011</v>
      </c>
      <c r="Y23" s="2"/>
      <c r="Z23" s="6">
        <f t="shared" si="7"/>
        <v>-0.14482758620689659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429.26</v>
      </c>
      <c r="E24" s="2"/>
      <c r="F24" s="6">
        <f t="shared" si="0"/>
        <v>0</v>
      </c>
      <c r="G24" s="2"/>
      <c r="H24" s="7">
        <v>383.64</v>
      </c>
      <c r="I24" s="2"/>
      <c r="J24" s="6">
        <f t="shared" si="1"/>
        <v>0</v>
      </c>
      <c r="K24" s="2"/>
      <c r="L24" s="7">
        <f t="shared" si="2"/>
        <v>45.620000000000005</v>
      </c>
      <c r="M24" s="2"/>
      <c r="N24" s="6">
        <f t="shared" si="3"/>
        <v>0.11891356480033366</v>
      </c>
      <c r="O24" s="11"/>
      <c r="P24" s="7">
        <v>858.52</v>
      </c>
      <c r="Q24" s="2"/>
      <c r="R24" s="6">
        <f t="shared" si="4"/>
        <v>0</v>
      </c>
      <c r="S24" s="2"/>
      <c r="T24" s="7">
        <v>953.52</v>
      </c>
      <c r="U24" s="2"/>
      <c r="V24" s="6">
        <f t="shared" si="5"/>
        <v>0</v>
      </c>
      <c r="W24" s="2"/>
      <c r="X24" s="7">
        <f t="shared" si="6"/>
        <v>-95</v>
      </c>
      <c r="Y24" s="2"/>
      <c r="Z24" s="6">
        <f t="shared" si="7"/>
        <v>-9.9630841513549798E-2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387.96</v>
      </c>
      <c r="E25" s="2"/>
      <c r="F25" s="6">
        <f t="shared" si="0"/>
        <v>0</v>
      </c>
      <c r="G25" s="2"/>
      <c r="H25" s="7">
        <v>376.66</v>
      </c>
      <c r="I25" s="2"/>
      <c r="J25" s="6">
        <f t="shared" si="1"/>
        <v>0</v>
      </c>
      <c r="K25" s="2"/>
      <c r="L25" s="7">
        <f t="shared" si="2"/>
        <v>11.299999999999955</v>
      </c>
      <c r="M25" s="2"/>
      <c r="N25" s="6">
        <f t="shared" si="3"/>
        <v>3.0000530982849133E-2</v>
      </c>
      <c r="O25" s="11"/>
      <c r="P25" s="7">
        <v>1091.1500000000001</v>
      </c>
      <c r="Q25" s="2"/>
      <c r="R25" s="6">
        <f t="shared" si="4"/>
        <v>0</v>
      </c>
      <c r="S25" s="2"/>
      <c r="T25" s="7">
        <v>1077.4000000000001</v>
      </c>
      <c r="U25" s="2"/>
      <c r="V25" s="6">
        <f t="shared" si="5"/>
        <v>0</v>
      </c>
      <c r="W25" s="2"/>
      <c r="X25" s="7">
        <f t="shared" si="6"/>
        <v>13.75</v>
      </c>
      <c r="Y25" s="2"/>
      <c r="Z25" s="6">
        <f t="shared" si="7"/>
        <v>1.2762205309077408E-2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193.72</v>
      </c>
      <c r="E26" s="2"/>
      <c r="F26" s="6">
        <f t="shared" si="0"/>
        <v>0</v>
      </c>
      <c r="G26" s="2"/>
      <c r="H26" s="7">
        <v>188.08</v>
      </c>
      <c r="I26" s="2"/>
      <c r="J26" s="6">
        <f t="shared" si="1"/>
        <v>0</v>
      </c>
      <c r="K26" s="2"/>
      <c r="L26" s="7">
        <f t="shared" si="2"/>
        <v>5.6399999999999864</v>
      </c>
      <c r="M26" s="2"/>
      <c r="N26" s="6">
        <f t="shared" si="3"/>
        <v>2.9987239472564792E-2</v>
      </c>
      <c r="O26" s="11"/>
      <c r="P26" s="7">
        <v>1232.48</v>
      </c>
      <c r="Q26" s="2"/>
      <c r="R26" s="6">
        <f t="shared" si="4"/>
        <v>0</v>
      </c>
      <c r="S26" s="2"/>
      <c r="T26" s="7">
        <v>1157.31</v>
      </c>
      <c r="U26" s="2"/>
      <c r="V26" s="6">
        <f t="shared" si="5"/>
        <v>0</v>
      </c>
      <c r="W26" s="2"/>
      <c r="X26" s="7">
        <f t="shared" si="6"/>
        <v>75.170000000000073</v>
      </c>
      <c r="Y26" s="2"/>
      <c r="Z26" s="6">
        <f t="shared" si="7"/>
        <v>6.4952346389472199E-2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150</v>
      </c>
      <c r="E27" s="2"/>
      <c r="F27" s="6">
        <f t="shared" si="0"/>
        <v>0</v>
      </c>
      <c r="G27" s="2"/>
      <c r="H27" s="7">
        <v>149.03</v>
      </c>
      <c r="I27" s="2"/>
      <c r="J27" s="6">
        <f t="shared" si="1"/>
        <v>0</v>
      </c>
      <c r="K27" s="2"/>
      <c r="L27" s="7">
        <f t="shared" si="2"/>
        <v>0.96999999999999886</v>
      </c>
      <c r="M27" s="2"/>
      <c r="N27" s="6">
        <f t="shared" si="3"/>
        <v>6.5087566261826397E-3</v>
      </c>
      <c r="O27" s="11"/>
      <c r="P27" s="7">
        <v>260.20999999999998</v>
      </c>
      <c r="Q27" s="2"/>
      <c r="R27" s="6">
        <f t="shared" si="4"/>
        <v>0</v>
      </c>
      <c r="S27" s="2"/>
      <c r="T27" s="7">
        <v>266.98</v>
      </c>
      <c r="U27" s="2"/>
      <c r="V27" s="6">
        <f t="shared" si="5"/>
        <v>0</v>
      </c>
      <c r="W27" s="2"/>
      <c r="X27" s="7">
        <f t="shared" si="6"/>
        <v>-6.7700000000000387</v>
      </c>
      <c r="Y27" s="2"/>
      <c r="Z27" s="6">
        <f t="shared" si="7"/>
        <v>-2.535770469698119E-2</v>
      </c>
    </row>
    <row r="28" spans="1:26" s="27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4462.25</v>
      </c>
      <c r="E28" s="1"/>
      <c r="F28" s="5">
        <f t="shared" ref="F28:F36" si="8">IF(D$12=0,0,D28/D$12)</f>
        <v>0</v>
      </c>
      <c r="G28" s="1"/>
      <c r="H28" s="1">
        <f>SUM(OSRRefH22_1x_0)</f>
        <v>4192.07</v>
      </c>
      <c r="I28" s="1"/>
      <c r="J28" s="5">
        <f t="shared" ref="J28:J36" si="9">IF(H$12=0,0,H28/H$12)</f>
        <v>0</v>
      </c>
      <c r="K28" s="1"/>
      <c r="L28" s="1">
        <f t="shared" ref="L28:L36" si="10">+D28-H28</f>
        <v>270.18000000000029</v>
      </c>
      <c r="M28" s="1"/>
      <c r="N28" s="5">
        <f t="shared" ref="N28:N36" si="11">IF(H28=0,0,L28/H28)</f>
        <v>6.4450259656923747E-2</v>
      </c>
      <c r="O28" s="14"/>
      <c r="P28" s="1">
        <f>SUM(OSRRefP22_1x_0)</f>
        <v>7822.11</v>
      </c>
      <c r="Q28" s="1"/>
      <c r="R28" s="5">
        <f t="shared" ref="R28:R36" si="12">IF(P$12=0,0,P28/P$12)</f>
        <v>0</v>
      </c>
      <c r="S28" s="1"/>
      <c r="T28" s="1">
        <f>SUM(OSRRefT22_1x_0)</f>
        <v>7453.65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368.46000000000004</v>
      </c>
      <c r="Y28" s="1"/>
      <c r="Z28" s="5">
        <f t="shared" ref="Z28:Z36" si="15">IF(T28=0,0,X28/T28)</f>
        <v>4.9433499023968132E-2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7">
        <v>4462.25</v>
      </c>
      <c r="E29" s="2"/>
      <c r="F29" s="6">
        <f t="shared" si="8"/>
        <v>0</v>
      </c>
      <c r="G29" s="2"/>
      <c r="H29" s="7">
        <v>4192.07</v>
      </c>
      <c r="I29" s="2"/>
      <c r="J29" s="6">
        <f t="shared" si="9"/>
        <v>0</v>
      </c>
      <c r="K29" s="2"/>
      <c r="L29" s="7">
        <f t="shared" si="10"/>
        <v>270.18000000000029</v>
      </c>
      <c r="M29" s="2"/>
      <c r="N29" s="6">
        <f t="shared" si="11"/>
        <v>6.4450259656923747E-2</v>
      </c>
      <c r="O29" s="11"/>
      <c r="P29" s="7">
        <v>7822.11</v>
      </c>
      <c r="Q29" s="2"/>
      <c r="R29" s="6">
        <f t="shared" si="12"/>
        <v>0</v>
      </c>
      <c r="S29" s="2"/>
      <c r="T29" s="7">
        <v>7453.65</v>
      </c>
      <c r="U29" s="2"/>
      <c r="V29" s="6">
        <f t="shared" si="13"/>
        <v>0</v>
      </c>
      <c r="W29" s="2"/>
      <c r="X29" s="7">
        <f t="shared" si="14"/>
        <v>368.46000000000004</v>
      </c>
      <c r="Y29" s="2"/>
      <c r="Z29" s="6">
        <f t="shared" si="15"/>
        <v>4.9433499023968132E-2</v>
      </c>
    </row>
    <row r="30" spans="1:26" s="27" customFormat="1" outlineLevel="1" collapsed="1" x14ac:dyDescent="0.25">
      <c r="A30" s="28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-291.89999999999998</v>
      </c>
      <c r="U30" s="1"/>
      <c r="V30" s="5">
        <f t="shared" si="13"/>
        <v>0</v>
      </c>
      <c r="W30" s="1"/>
      <c r="X30" s="1">
        <f t="shared" si="14"/>
        <v>291.89999999999998</v>
      </c>
      <c r="Y30" s="1"/>
      <c r="Z30" s="5">
        <f t="shared" si="15"/>
        <v>-1</v>
      </c>
    </row>
    <row r="31" spans="1:26" s="24" customFormat="1" hidden="1" outlineLevel="2" x14ac:dyDescent="0.25">
      <c r="A31" s="29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-291.89999999999998</v>
      </c>
      <c r="U31" s="2"/>
      <c r="V31" s="6">
        <f t="shared" si="13"/>
        <v>0</v>
      </c>
      <c r="W31" s="2"/>
      <c r="X31" s="7">
        <f t="shared" si="14"/>
        <v>291.89999999999998</v>
      </c>
      <c r="Y31" s="2"/>
      <c r="Z31" s="6">
        <f t="shared" si="15"/>
        <v>-1</v>
      </c>
    </row>
    <row r="32" spans="1:26" s="27" customFormat="1" outlineLevel="1" collapsed="1" x14ac:dyDescent="0.25">
      <c r="A32" s="28"/>
      <c r="B32" s="14" t="str">
        <f>CONCATENATE("     ","Insurance                                         ")</f>
        <v xml:space="preserve">     Insurance                                         </v>
      </c>
      <c r="C32" s="14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23.14</v>
      </c>
      <c r="I32" s="1"/>
      <c r="J32" s="5">
        <f t="shared" si="9"/>
        <v>0</v>
      </c>
      <c r="K32" s="1"/>
      <c r="L32" s="1">
        <f t="shared" si="10"/>
        <v>1.4199999999999982</v>
      </c>
      <c r="M32" s="1"/>
      <c r="N32" s="5">
        <f t="shared" si="11"/>
        <v>6.1365600691443305E-2</v>
      </c>
      <c r="O32" s="14"/>
      <c r="P32" s="1">
        <f>SUM(OSRRefP22_3x_0)</f>
        <v>49.12</v>
      </c>
      <c r="Q32" s="1"/>
      <c r="R32" s="5">
        <f t="shared" si="12"/>
        <v>0</v>
      </c>
      <c r="S32" s="1"/>
      <c r="T32" s="1">
        <f>SUM(OSRRefT22_3x_0)</f>
        <v>46.28</v>
      </c>
      <c r="U32" s="1"/>
      <c r="V32" s="5">
        <f t="shared" si="13"/>
        <v>0</v>
      </c>
      <c r="W32" s="1"/>
      <c r="X32" s="1">
        <f t="shared" si="14"/>
        <v>2.8399999999999963</v>
      </c>
      <c r="Y32" s="1"/>
      <c r="Z32" s="5">
        <f t="shared" si="15"/>
        <v>6.1365600691443305E-2</v>
      </c>
    </row>
    <row r="33" spans="1:26" s="24" customFormat="1" hidden="1" outlineLevel="2" x14ac:dyDescent="0.25">
      <c r="A33" s="29"/>
      <c r="B33" s="11" t="str">
        <f>CONCATENATE("          ", "6314", " - ", "LIABILITY INSURANCE")</f>
        <v xml:space="preserve">          6314 - LIABILITY INSURANCE</v>
      </c>
      <c r="C33" s="11"/>
      <c r="D33" s="7">
        <v>24.56</v>
      </c>
      <c r="E33" s="2"/>
      <c r="F33" s="6">
        <f t="shared" si="8"/>
        <v>0</v>
      </c>
      <c r="G33" s="2"/>
      <c r="H33" s="7">
        <v>23.14</v>
      </c>
      <c r="I33" s="2"/>
      <c r="J33" s="6">
        <f t="shared" si="9"/>
        <v>0</v>
      </c>
      <c r="K33" s="2"/>
      <c r="L33" s="7">
        <f t="shared" si="10"/>
        <v>1.4199999999999982</v>
      </c>
      <c r="M33" s="2"/>
      <c r="N33" s="6">
        <f t="shared" si="11"/>
        <v>6.1365600691443305E-2</v>
      </c>
      <c r="O33" s="11"/>
      <c r="P33" s="7">
        <v>49.12</v>
      </c>
      <c r="Q33" s="2"/>
      <c r="R33" s="6">
        <f t="shared" si="12"/>
        <v>0</v>
      </c>
      <c r="S33" s="2"/>
      <c r="T33" s="7">
        <v>46.28</v>
      </c>
      <c r="U33" s="2"/>
      <c r="V33" s="6">
        <f t="shared" si="13"/>
        <v>0</v>
      </c>
      <c r="W33" s="2"/>
      <c r="X33" s="7">
        <f t="shared" si="14"/>
        <v>2.8399999999999963</v>
      </c>
      <c r="Y33" s="2"/>
      <c r="Z33" s="6">
        <f t="shared" si="15"/>
        <v>6.1365600691443305E-2</v>
      </c>
    </row>
    <row r="34" spans="1:26" s="27" customFormat="1" outlineLevel="1" collapsed="1" x14ac:dyDescent="0.25">
      <c r="A34" s="28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1405.95</v>
      </c>
      <c r="E34" s="1"/>
      <c r="F34" s="5">
        <f t="shared" si="8"/>
        <v>0</v>
      </c>
      <c r="G34" s="1"/>
      <c r="H34" s="1">
        <f>SUM(OSRRefH22_4x_0)</f>
        <v>1368.11</v>
      </c>
      <c r="I34" s="1"/>
      <c r="J34" s="5">
        <f t="shared" si="9"/>
        <v>0</v>
      </c>
      <c r="K34" s="1"/>
      <c r="L34" s="1">
        <f t="shared" si="10"/>
        <v>37.840000000000146</v>
      </c>
      <c r="M34" s="1"/>
      <c r="N34" s="5">
        <f t="shared" si="11"/>
        <v>2.7658594703642358E-2</v>
      </c>
      <c r="O34" s="14"/>
      <c r="P34" s="1">
        <f>SUM(OSRRefP22_4x_0)</f>
        <v>2811.9</v>
      </c>
      <c r="Q34" s="1"/>
      <c r="R34" s="5">
        <f t="shared" si="12"/>
        <v>0</v>
      </c>
      <c r="S34" s="1"/>
      <c r="T34" s="1">
        <f>SUM(OSRRefT22_4x_0)</f>
        <v>2707.11</v>
      </c>
      <c r="U34" s="1"/>
      <c r="V34" s="5">
        <f t="shared" si="13"/>
        <v>0</v>
      </c>
      <c r="W34" s="1"/>
      <c r="X34" s="1">
        <f t="shared" si="14"/>
        <v>104.78999999999996</v>
      </c>
      <c r="Y34" s="1"/>
      <c r="Z34" s="5">
        <f t="shared" si="15"/>
        <v>3.8709176945155521E-2</v>
      </c>
    </row>
    <row r="35" spans="1:26" s="24" customFormat="1" hidden="1" outlineLevel="2" x14ac:dyDescent="0.25">
      <c r="A35" s="29"/>
      <c r="B35" s="11" t="str">
        <f>CONCATENATE("          ", "6373", " - ", "MAINTENANCE CONTRACTS")</f>
        <v xml:space="preserve">          6373 - MAINTENANCE CONTRACTS</v>
      </c>
      <c r="C35" s="11"/>
      <c r="D35" s="7">
        <v>1405.95</v>
      </c>
      <c r="E35" s="2"/>
      <c r="F35" s="6">
        <f t="shared" si="8"/>
        <v>0</v>
      </c>
      <c r="G35" s="2"/>
      <c r="H35" s="7">
        <v>1339</v>
      </c>
      <c r="I35" s="2"/>
      <c r="J35" s="6">
        <f t="shared" si="9"/>
        <v>0</v>
      </c>
      <c r="K35" s="2"/>
      <c r="L35" s="7">
        <f t="shared" si="10"/>
        <v>66.950000000000045</v>
      </c>
      <c r="M35" s="2"/>
      <c r="N35" s="6">
        <f t="shared" si="11"/>
        <v>5.0000000000000031E-2</v>
      </c>
      <c r="O35" s="11"/>
      <c r="P35" s="7">
        <v>2811.9</v>
      </c>
      <c r="Q35" s="2"/>
      <c r="R35" s="6">
        <f t="shared" si="12"/>
        <v>0</v>
      </c>
      <c r="S35" s="2"/>
      <c r="T35" s="7">
        <v>2678</v>
      </c>
      <c r="U35" s="2"/>
      <c r="V35" s="6">
        <f t="shared" si="13"/>
        <v>0</v>
      </c>
      <c r="W35" s="2"/>
      <c r="X35" s="7">
        <f t="shared" si="14"/>
        <v>133.90000000000009</v>
      </c>
      <c r="Y35" s="2"/>
      <c r="Z35" s="6">
        <f t="shared" si="15"/>
        <v>5.0000000000000031E-2</v>
      </c>
    </row>
    <row r="36" spans="1:26" s="24" customFormat="1" hidden="1" outlineLevel="2" x14ac:dyDescent="0.25">
      <c r="A36" s="29"/>
      <c r="B36" s="11" t="str">
        <f>CONCATENATE("          ", "6375", " - ", "OUTSIDE REPAIRS &amp; MAINTENANCE")</f>
        <v xml:space="preserve">          6375 - OUTSIDE REPAIRS &amp; MAINTENANCE</v>
      </c>
      <c r="C36" s="11"/>
      <c r="D36" s="7"/>
      <c r="E36" s="2"/>
      <c r="F36" s="6">
        <f t="shared" si="8"/>
        <v>0</v>
      </c>
      <c r="G36" s="2"/>
      <c r="H36" s="7">
        <v>29.11</v>
      </c>
      <c r="I36" s="2"/>
      <c r="J36" s="6">
        <f t="shared" si="9"/>
        <v>0</v>
      </c>
      <c r="K36" s="2"/>
      <c r="L36" s="7">
        <f t="shared" si="10"/>
        <v>-29.11</v>
      </c>
      <c r="M36" s="2"/>
      <c r="N36" s="6">
        <f t="shared" si="11"/>
        <v>-1</v>
      </c>
      <c r="O36" s="11"/>
      <c r="P36" s="7"/>
      <c r="Q36" s="2"/>
      <c r="R36" s="6">
        <f t="shared" si="12"/>
        <v>0</v>
      </c>
      <c r="S36" s="2"/>
      <c r="T36" s="7">
        <v>29.11</v>
      </c>
      <c r="U36" s="2"/>
      <c r="V36" s="6">
        <f t="shared" si="13"/>
        <v>0</v>
      </c>
      <c r="W36" s="2"/>
      <c r="X36" s="7">
        <f t="shared" si="14"/>
        <v>-29.11</v>
      </c>
      <c r="Y36" s="2"/>
      <c r="Z36" s="6">
        <f t="shared" si="15"/>
        <v>-1</v>
      </c>
    </row>
    <row r="37" spans="1:26" s="27" customFormat="1" outlineLevel="1" collapsed="1" x14ac:dyDescent="0.25">
      <c r="A37" s="28"/>
      <c r="B37" s="14" t="str">
        <f>CONCATENATE("     ","Services                                          ")</f>
        <v xml:space="preserve">     Services                                          </v>
      </c>
      <c r="C37" s="14"/>
      <c r="D37" s="1">
        <f>SUM(OSRRefD22_5x_0)</f>
        <v>4.42</v>
      </c>
      <c r="E37" s="1"/>
      <c r="F37" s="5">
        <f t="shared" ref="F37:F41" si="16">IF(D$12=0,0,D37/D$12)</f>
        <v>0</v>
      </c>
      <c r="G37" s="1"/>
      <c r="H37" s="1">
        <f>SUM(OSRRefH22_5x_0)</f>
        <v>14.16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-9.74</v>
      </c>
      <c r="M37" s="1"/>
      <c r="N37" s="5">
        <f t="shared" ref="N37:N41" si="19">IF(H37=0,0,L37/H37)</f>
        <v>-0.68785310734463279</v>
      </c>
      <c r="O37" s="14"/>
      <c r="P37" s="1">
        <f>SUM(OSRRefP22_5x_0)</f>
        <v>13.26</v>
      </c>
      <c r="Q37" s="1"/>
      <c r="R37" s="5">
        <f t="shared" ref="R37:R41" si="20">IF(P$12=0,0,P37/P$12)</f>
        <v>0</v>
      </c>
      <c r="S37" s="1"/>
      <c r="T37" s="1">
        <f>SUM(OSRRefT22_5x_0)</f>
        <v>24.78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-11.520000000000001</v>
      </c>
      <c r="Y37" s="1"/>
      <c r="Z37" s="5">
        <f t="shared" ref="Z37:Z41" si="23">IF(T37=0,0,X37/T37)</f>
        <v>-0.46489104116222763</v>
      </c>
    </row>
    <row r="38" spans="1:26" s="24" customFormat="1" hidden="1" outlineLevel="2" x14ac:dyDescent="0.25">
      <c r="A38" s="29"/>
      <c r="B38" s="11" t="str">
        <f>CONCATENATE("          ", "6286", " - ", "LAUNDRY EXPENSE")</f>
        <v xml:space="preserve">          6286 - LAUNDRY EXPENSE</v>
      </c>
      <c r="C38" s="11"/>
      <c r="D38" s="7">
        <v>4.42</v>
      </c>
      <c r="E38" s="2"/>
      <c r="F38" s="6">
        <f t="shared" si="16"/>
        <v>0</v>
      </c>
      <c r="G38" s="2"/>
      <c r="H38" s="7">
        <v>14.16</v>
      </c>
      <c r="I38" s="2"/>
      <c r="J38" s="6">
        <f t="shared" si="17"/>
        <v>0</v>
      </c>
      <c r="K38" s="2"/>
      <c r="L38" s="7">
        <f t="shared" si="18"/>
        <v>-9.74</v>
      </c>
      <c r="M38" s="2"/>
      <c r="N38" s="6">
        <f t="shared" si="19"/>
        <v>-0.68785310734463279</v>
      </c>
      <c r="O38" s="11"/>
      <c r="P38" s="7">
        <v>13.26</v>
      </c>
      <c r="Q38" s="2"/>
      <c r="R38" s="6">
        <f t="shared" si="20"/>
        <v>0</v>
      </c>
      <c r="S38" s="2"/>
      <c r="T38" s="7">
        <v>24.78</v>
      </c>
      <c r="U38" s="2"/>
      <c r="V38" s="6">
        <f t="shared" si="21"/>
        <v>0</v>
      </c>
      <c r="W38" s="2"/>
      <c r="X38" s="7">
        <f t="shared" si="22"/>
        <v>-11.520000000000001</v>
      </c>
      <c r="Y38" s="2"/>
      <c r="Z38" s="6">
        <f t="shared" si="23"/>
        <v>-0.46489104116222763</v>
      </c>
    </row>
    <row r="39" spans="1:26" s="27" customFormat="1" outlineLevel="1" collapsed="1" x14ac:dyDescent="0.25">
      <c r="A39" s="28"/>
      <c r="B39" s="14" t="str">
        <f>CONCATENATE("     ","Supplies                                          ")</f>
        <v xml:space="preserve">     Supplies                                          </v>
      </c>
      <c r="C39" s="14"/>
      <c r="D39" s="1">
        <f>SUM(OSRRefD22_6x_0)</f>
        <v>785.75</v>
      </c>
      <c r="E39" s="1"/>
      <c r="F39" s="5">
        <f t="shared" si="16"/>
        <v>0</v>
      </c>
      <c r="G39" s="1"/>
      <c r="H39" s="1">
        <f>SUM(OSRRefH22_6x_0)</f>
        <v>997.12</v>
      </c>
      <c r="I39" s="1"/>
      <c r="J39" s="5">
        <f t="shared" si="17"/>
        <v>0</v>
      </c>
      <c r="K39" s="1"/>
      <c r="L39" s="1">
        <f t="shared" si="18"/>
        <v>-211.37</v>
      </c>
      <c r="M39" s="1"/>
      <c r="N39" s="5">
        <f t="shared" si="19"/>
        <v>-0.21198050385109116</v>
      </c>
      <c r="O39" s="14"/>
      <c r="P39" s="1">
        <f>SUM(OSRRefP22_6x_0)</f>
        <v>559.94000000000005</v>
      </c>
      <c r="Q39" s="1"/>
      <c r="R39" s="5">
        <f t="shared" si="20"/>
        <v>0</v>
      </c>
      <c r="S39" s="1"/>
      <c r="T39" s="1">
        <f>SUM(OSRRefT22_6x_0)</f>
        <v>1000.42</v>
      </c>
      <c r="U39" s="1"/>
      <c r="V39" s="5">
        <f t="shared" si="21"/>
        <v>0</v>
      </c>
      <c r="W39" s="1"/>
      <c r="X39" s="1">
        <f t="shared" si="22"/>
        <v>-440.4799999999999</v>
      </c>
      <c r="Y39" s="1"/>
      <c r="Z39" s="5">
        <f t="shared" si="23"/>
        <v>-0.44029507606805135</v>
      </c>
    </row>
    <row r="40" spans="1:26" s="24" customFormat="1" hidden="1" outlineLevel="2" x14ac:dyDescent="0.25">
      <c r="A40" s="29"/>
      <c r="B40" s="11" t="str">
        <f>CONCATENATE("          ", "6234", " - ", "EXPENDABLE SUPPLIES &amp; EQUIPMEN")</f>
        <v xml:space="preserve">          6234 - EXPENDABLE SUPPLIES &amp; EQUIPMEN</v>
      </c>
      <c r="C40" s="11"/>
      <c r="D40" s="7">
        <v>785.75</v>
      </c>
      <c r="E40" s="2"/>
      <c r="F40" s="6">
        <f t="shared" si="16"/>
        <v>0</v>
      </c>
      <c r="G40" s="2"/>
      <c r="H40" s="7">
        <v>997.12</v>
      </c>
      <c r="I40" s="2"/>
      <c r="J40" s="6">
        <f t="shared" si="17"/>
        <v>0</v>
      </c>
      <c r="K40" s="2"/>
      <c r="L40" s="7">
        <f t="shared" si="18"/>
        <v>-211.37</v>
      </c>
      <c r="M40" s="2"/>
      <c r="N40" s="6">
        <f t="shared" si="19"/>
        <v>-0.21198050385109116</v>
      </c>
      <c r="O40" s="11"/>
      <c r="P40" s="7">
        <v>559.94000000000005</v>
      </c>
      <c r="Q40" s="2"/>
      <c r="R40" s="6">
        <f t="shared" si="20"/>
        <v>0</v>
      </c>
      <c r="S40" s="2"/>
      <c r="T40" s="7">
        <v>997.12</v>
      </c>
      <c r="U40" s="2"/>
      <c r="V40" s="6">
        <f t="shared" si="21"/>
        <v>0</v>
      </c>
      <c r="W40" s="2"/>
      <c r="X40" s="7">
        <f t="shared" si="22"/>
        <v>-437.17999999999995</v>
      </c>
      <c r="Y40" s="2"/>
      <c r="Z40" s="6">
        <f t="shared" si="23"/>
        <v>-0.43844271501925541</v>
      </c>
    </row>
    <row r="41" spans="1:26" s="24" customFormat="1" hidden="1" outlineLevel="2" x14ac:dyDescent="0.25">
      <c r="A41" s="29"/>
      <c r="B41" s="11" t="str">
        <f>CONCATENATE("          ", "6241", " - ", "OFFICE EXPENSE")</f>
        <v xml:space="preserve">          6241 - OFFICE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3.3</v>
      </c>
      <c r="U41" s="2"/>
      <c r="V41" s="6">
        <f t="shared" si="21"/>
        <v>0</v>
      </c>
      <c r="W41" s="2"/>
      <c r="X41" s="7">
        <f t="shared" si="22"/>
        <v>-3.3</v>
      </c>
      <c r="Y41" s="2"/>
      <c r="Z41" s="6">
        <f t="shared" si="23"/>
        <v>-1</v>
      </c>
    </row>
    <row r="42" spans="1:26" s="27" customFormat="1" outlineLevel="1" collapsed="1" x14ac:dyDescent="0.25">
      <c r="A42" s="28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SUM(OSRRefD22_7x_0)</f>
        <v>74.3</v>
      </c>
      <c r="E42" s="1"/>
      <c r="F42" s="5">
        <f t="shared" ref="F42:F43" si="24">IF(D$12=0,0,D42/D$12)</f>
        <v>0</v>
      </c>
      <c r="G42" s="1"/>
      <c r="H42" s="1">
        <f>SUM(OSRRefH22_7x_0)</f>
        <v>57.93</v>
      </c>
      <c r="I42" s="1"/>
      <c r="J42" s="5">
        <f t="shared" ref="J42:J43" si="25">IF(H$12=0,0,H42/H$12)</f>
        <v>0</v>
      </c>
      <c r="K42" s="1"/>
      <c r="L42" s="1">
        <f t="shared" ref="L42:L43" si="26">+D42-H42</f>
        <v>16.369999999999997</v>
      </c>
      <c r="M42" s="1"/>
      <c r="N42" s="5">
        <f t="shared" ref="N42:N43" si="27">IF(H42=0,0,L42/H42)</f>
        <v>0.28258242706714998</v>
      </c>
      <c r="O42" s="14"/>
      <c r="P42" s="1">
        <f>SUM(OSRRefP22_7x_0)</f>
        <v>99.35</v>
      </c>
      <c r="Q42" s="1"/>
      <c r="R42" s="5">
        <f t="shared" ref="R42:R43" si="28">IF(P$12=0,0,P42/P$12)</f>
        <v>0</v>
      </c>
      <c r="S42" s="1"/>
      <c r="T42" s="1">
        <f>SUM(OSRRefT22_7x_0)</f>
        <v>64.41</v>
      </c>
      <c r="U42" s="1"/>
      <c r="V42" s="5">
        <f t="shared" ref="V42:V43" si="29">IF(T$12=0,0,T42/T$12)</f>
        <v>0</v>
      </c>
      <c r="W42" s="1"/>
      <c r="X42" s="1">
        <f t="shared" ref="X42:X43" si="30">+P42-T42</f>
        <v>34.94</v>
      </c>
      <c r="Y42" s="1"/>
      <c r="Z42" s="5">
        <f t="shared" ref="Z42:Z43" si="31">IF(T42=0,0,X42/T42)</f>
        <v>0.54246235056668224</v>
      </c>
    </row>
    <row r="43" spans="1:26" s="24" customFormat="1" hidden="1" outlineLevel="2" x14ac:dyDescent="0.25">
      <c r="A43" s="29"/>
      <c r="B43" s="11" t="str">
        <f>CONCATENATE("          ", "6309", " - ", "TELEPHONE")</f>
        <v xml:space="preserve">          6309 - TELEPHONE</v>
      </c>
      <c r="C43" s="11"/>
      <c r="D43" s="7">
        <v>74.3</v>
      </c>
      <c r="E43" s="2"/>
      <c r="F43" s="6">
        <f t="shared" si="24"/>
        <v>0</v>
      </c>
      <c r="G43" s="2"/>
      <c r="H43" s="7">
        <v>57.93</v>
      </c>
      <c r="I43" s="2"/>
      <c r="J43" s="6">
        <f t="shared" si="25"/>
        <v>0</v>
      </c>
      <c r="K43" s="2"/>
      <c r="L43" s="7">
        <f t="shared" si="26"/>
        <v>16.369999999999997</v>
      </c>
      <c r="M43" s="2"/>
      <c r="N43" s="6">
        <f t="shared" si="27"/>
        <v>0.28258242706714998</v>
      </c>
      <c r="O43" s="11"/>
      <c r="P43" s="7">
        <v>99.35</v>
      </c>
      <c r="Q43" s="2"/>
      <c r="R43" s="6">
        <f t="shared" si="28"/>
        <v>0</v>
      </c>
      <c r="S43" s="2"/>
      <c r="T43" s="7">
        <v>64.41</v>
      </c>
      <c r="U43" s="2"/>
      <c r="V43" s="6">
        <f t="shared" si="29"/>
        <v>0</v>
      </c>
      <c r="W43" s="2"/>
      <c r="X43" s="7">
        <f t="shared" si="30"/>
        <v>34.94</v>
      </c>
      <c r="Y43" s="2"/>
      <c r="Z43" s="6">
        <f t="shared" si="31"/>
        <v>0.54246235056668224</v>
      </c>
    </row>
    <row r="44" spans="1:26" s="62" customFormat="1" x14ac:dyDescent="0.25">
      <c r="A44" s="37"/>
      <c r="B44" s="37"/>
      <c r="C44" s="37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7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25">
      <c r="A45" s="10"/>
      <c r="B45" s="25" t="s">
        <v>0</v>
      </c>
      <c r="C45" s="10"/>
      <c r="D45" s="4">
        <f>SUM(0)</f>
        <v>0</v>
      </c>
      <c r="E45" s="4"/>
      <c r="F45" s="12">
        <f>IF(D$12=0,0,D45/D$12)</f>
        <v>0</v>
      </c>
      <c r="G45" s="4"/>
      <c r="H45" s="4">
        <f>SUM(0)</f>
        <v>0</v>
      </c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>
        <f>SUM(0)</f>
        <v>0</v>
      </c>
      <c r="Q45" s="4"/>
      <c r="R45" s="12">
        <f>IF(P$12=0,0,P45/P$12)</f>
        <v>0</v>
      </c>
      <c r="S45" s="4"/>
      <c r="T45" s="4">
        <f>SUM(0)</f>
        <v>0</v>
      </c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6" t="s">
        <v>3</v>
      </c>
      <c r="C47" s="26"/>
      <c r="D47" s="20">
        <f>+D16-D18+D45</f>
        <v>-9278.51</v>
      </c>
      <c r="E47" s="13"/>
      <c r="F47" s="19">
        <f>IF(D$12=0,0,D47/D$12)</f>
        <v>0</v>
      </c>
      <c r="G47" s="13"/>
      <c r="H47" s="20">
        <f>+H16-H18+H45</f>
        <v>-8955.3000000000011</v>
      </c>
      <c r="I47" s="13"/>
      <c r="J47" s="19">
        <f>IF(H$12=0,0,H47/H$12)</f>
        <v>0</v>
      </c>
      <c r="K47" s="15"/>
      <c r="L47" s="20">
        <f>+D47-H47</f>
        <v>-323.20999999999913</v>
      </c>
      <c r="M47" s="15"/>
      <c r="N47" s="19">
        <f>IF(H47=0,0,L47/H47)</f>
        <v>3.6091476555782508E-2</v>
      </c>
      <c r="O47" s="25"/>
      <c r="P47" s="20">
        <f>+P16-P18+P45</f>
        <v>-17460.419999999998</v>
      </c>
      <c r="Q47" s="13"/>
      <c r="R47" s="19">
        <f>IF(P$12=0,0,P47/P$12)</f>
        <v>0</v>
      </c>
      <c r="S47" s="13"/>
      <c r="T47" s="20">
        <f>+T16-T18+T45</f>
        <v>-16513.3</v>
      </c>
      <c r="U47" s="13"/>
      <c r="V47" s="19">
        <f>IF(T$12=0,0,T47/T$12)</f>
        <v>0</v>
      </c>
      <c r="W47" s="15"/>
      <c r="X47" s="20">
        <f>+P47-T47</f>
        <v>-947.11999999999898</v>
      </c>
      <c r="Y47" s="15"/>
      <c r="Z47" s="19">
        <f>IF(T47=0,0,X47/T47)</f>
        <v>5.7354980530844778E-2</v>
      </c>
    </row>
    <row r="48" spans="1:26" x14ac:dyDescent="0.25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51"/>
      <c r="B49" s="10" t="s">
        <v>13</v>
      </c>
      <c r="C49" s="10"/>
      <c r="D49" s="4"/>
      <c r="E49" s="4"/>
      <c r="F49" s="12">
        <f>IF(D$12=0,0,D49/D$12)</f>
        <v>0</v>
      </c>
      <c r="G49" s="4"/>
      <c r="H49" s="4"/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/>
      <c r="Q49" s="4"/>
      <c r="R49" s="12">
        <f>IF(P$12=0,0,P49/P$12)</f>
        <v>0</v>
      </c>
      <c r="S49" s="4"/>
      <c r="T49" s="4"/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6" t="s">
        <v>4</v>
      </c>
      <c r="C51" s="26"/>
      <c r="D51" s="31">
        <f>+D47-D49</f>
        <v>-9278.51</v>
      </c>
      <c r="E51" s="13"/>
      <c r="F51" s="36">
        <f>IF(D$12=0,0,D51/D$12)</f>
        <v>0</v>
      </c>
      <c r="G51" s="13"/>
      <c r="H51" s="31">
        <f>+H47-H49</f>
        <v>-8955.3000000000011</v>
      </c>
      <c r="I51" s="13"/>
      <c r="J51" s="36">
        <f>IF(H$12=0,0,H51/H$12)</f>
        <v>0</v>
      </c>
      <c r="K51" s="15"/>
      <c r="L51" s="31">
        <f>D51-H51</f>
        <v>-323.20999999999913</v>
      </c>
      <c r="M51" s="15"/>
      <c r="N51" s="36">
        <f>IF(H51=0,0,L51/H51)</f>
        <v>3.6091476555782508E-2</v>
      </c>
      <c r="O51" s="25"/>
      <c r="P51" s="31">
        <f>+P47-P49</f>
        <v>-17460.419999999998</v>
      </c>
      <c r="Q51" s="13"/>
      <c r="R51" s="36">
        <f>IF(P$12=0,0,P51/P$12)</f>
        <v>0</v>
      </c>
      <c r="S51" s="13"/>
      <c r="T51" s="31">
        <f>+T47-T49</f>
        <v>-16513.3</v>
      </c>
      <c r="U51" s="13"/>
      <c r="V51" s="36">
        <f>IF(T$12=0,0,T51/T$12)</f>
        <v>0</v>
      </c>
      <c r="W51" s="15"/>
      <c r="X51" s="31">
        <f>P51-T51</f>
        <v>-947.11999999999898</v>
      </c>
      <c r="Y51" s="15"/>
      <c r="Z51" s="36">
        <f>IF(T51=0,0,X51/T51)</f>
        <v>5.7354980530844778E-2</v>
      </c>
    </row>
    <row r="52" spans="1:26" ht="15.75" thickTop="1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6" t="s">
        <v>5</v>
      </c>
      <c r="C54" s="26"/>
      <c r="D54" s="32">
        <f>SUM(D51:D53)</f>
        <v>-9278.51</v>
      </c>
      <c r="E54" s="13"/>
      <c r="F54" s="30">
        <f>IF(D$12=0,0,D54/D$12)</f>
        <v>0</v>
      </c>
      <c r="G54" s="13"/>
      <c r="H54" s="32">
        <f>SUM(H51:H53)</f>
        <v>-8955.3000000000011</v>
      </c>
      <c r="I54" s="13"/>
      <c r="J54" s="30">
        <f>IF(H$12=0,0,H54/H$12)</f>
        <v>0</v>
      </c>
      <c r="K54" s="15"/>
      <c r="L54" s="32">
        <f>+D54-H54</f>
        <v>-323.20999999999913</v>
      </c>
      <c r="M54" s="15"/>
      <c r="N54" s="30">
        <f>IF(H54=0,0,L54/H54)</f>
        <v>3.6091476555782508E-2</v>
      </c>
      <c r="O54" s="25"/>
      <c r="P54" s="32">
        <f>SUM(P51:P53)</f>
        <v>-17460.419999999998</v>
      </c>
      <c r="Q54" s="13"/>
      <c r="R54" s="30">
        <f>IF(P$12=0,0,P54/P$12)</f>
        <v>0</v>
      </c>
      <c r="S54" s="13"/>
      <c r="T54" s="32">
        <f>SUM(T51:T53)</f>
        <v>-16513.3</v>
      </c>
      <c r="U54" s="13"/>
      <c r="V54" s="30">
        <f>IF(T$12=0,0,T54/T$12)</f>
        <v>0</v>
      </c>
      <c r="W54" s="15"/>
      <c r="X54" s="32">
        <f>+P54-T54</f>
        <v>-947.11999999999898</v>
      </c>
      <c r="Y54" s="15"/>
      <c r="Z54" s="30">
        <f>IF(T54=0,0,X54/T54)</f>
        <v>5.7354980530844778E-2</v>
      </c>
    </row>
    <row r="55" spans="1:26" ht="15.75" thickTop="1" x14ac:dyDescent="0.25">
      <c r="A55" s="9"/>
      <c r="C55" s="9"/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57">
        <v>43732.70950636574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60" t="s">
        <v>313</v>
      </c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A58" s="9"/>
      <c r="B58" s="56"/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","206", " - ", "Graphics")</f>
        <v>Department 206 - Graphics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6888.33</v>
      </c>
      <c r="E18" s="22"/>
      <c r="F18" s="33">
        <f t="shared" ref="F18:F27" si="0">IF(D$12=0,0,D18/D$12)</f>
        <v>0</v>
      </c>
      <c r="G18" s="22"/>
      <c r="H18" s="22">
        <f>SUM(OSRRefH22x_0)</f>
        <v>5778.49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1109.8400000000001</v>
      </c>
      <c r="M18" s="4"/>
      <c r="N18" s="33">
        <f t="shared" ref="N18:N27" si="3">IF(H18=0,0,L18/H18)</f>
        <v>0.19206401672409232</v>
      </c>
      <c r="O18" s="10"/>
      <c r="P18" s="22">
        <f>SUM(OSRRefP22x_0)</f>
        <v>13947.900000000001</v>
      </c>
      <c r="Q18" s="22"/>
      <c r="R18" s="33">
        <f t="shared" ref="R18:R27" si="4">IF(P$12=0,0,P18/P$12)</f>
        <v>0</v>
      </c>
      <c r="S18" s="22"/>
      <c r="T18" s="22">
        <f>SUM(OSRRefT22x_0)</f>
        <v>15400.519999999997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-1452.6199999999953</v>
      </c>
      <c r="Y18" s="4"/>
      <c r="Z18" s="33">
        <f t="shared" ref="Z18:Z27" si="7">IF(T18=0,0,X18/T18)</f>
        <v>-9.4322789100627483E-2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2105.2600000000002</v>
      </c>
      <c r="E19" s="1"/>
      <c r="F19" s="5">
        <f t="shared" si="0"/>
        <v>0</v>
      </c>
      <c r="G19" s="1"/>
      <c r="H19" s="1">
        <f>SUM(OSRRefH22_0x_0)</f>
        <v>6869.02</v>
      </c>
      <c r="I19" s="1"/>
      <c r="J19" s="5">
        <f t="shared" si="1"/>
        <v>0</v>
      </c>
      <c r="K19" s="1"/>
      <c r="L19" s="1">
        <f t="shared" si="2"/>
        <v>-4763.76</v>
      </c>
      <c r="M19" s="1"/>
      <c r="N19" s="5">
        <f t="shared" si="3"/>
        <v>-0.69351377634655309</v>
      </c>
      <c r="O19" s="14"/>
      <c r="P19" s="1">
        <f>SUM(OSRRefP22_0x_0)</f>
        <v>4106.76</v>
      </c>
      <c r="Q19" s="1"/>
      <c r="R19" s="5">
        <f t="shared" si="4"/>
        <v>0</v>
      </c>
      <c r="S19" s="1"/>
      <c r="T19" s="1">
        <f>SUM(OSRRefT22_0x_0)</f>
        <v>12387.050000000001</v>
      </c>
      <c r="U19" s="1"/>
      <c r="V19" s="5">
        <f t="shared" si="5"/>
        <v>0</v>
      </c>
      <c r="W19" s="1"/>
      <c r="X19" s="1">
        <f t="shared" si="6"/>
        <v>-8280.2900000000009</v>
      </c>
      <c r="Y19" s="1"/>
      <c r="Z19" s="5">
        <f t="shared" si="7"/>
        <v>-0.66846343560411881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796.27</v>
      </c>
      <c r="E20" s="2"/>
      <c r="F20" s="6">
        <f t="shared" si="0"/>
        <v>0</v>
      </c>
      <c r="G20" s="2"/>
      <c r="H20" s="7">
        <v>1255.9100000000001</v>
      </c>
      <c r="I20" s="2"/>
      <c r="J20" s="6">
        <f t="shared" si="1"/>
        <v>0</v>
      </c>
      <c r="K20" s="2"/>
      <c r="L20" s="7">
        <f t="shared" si="2"/>
        <v>-459.6400000000001</v>
      </c>
      <c r="M20" s="2"/>
      <c r="N20" s="6">
        <f t="shared" si="3"/>
        <v>-0.36598163881169837</v>
      </c>
      <c r="O20" s="11"/>
      <c r="P20" s="7">
        <v>1489.16</v>
      </c>
      <c r="Q20" s="2"/>
      <c r="R20" s="6">
        <f t="shared" si="4"/>
        <v>0</v>
      </c>
      <c r="S20" s="2"/>
      <c r="T20" s="7">
        <v>2444.4</v>
      </c>
      <c r="U20" s="2"/>
      <c r="V20" s="6">
        <f t="shared" si="5"/>
        <v>0</v>
      </c>
      <c r="W20" s="2"/>
      <c r="X20" s="7">
        <f t="shared" si="6"/>
        <v>-955.24</v>
      </c>
      <c r="Y20" s="2"/>
      <c r="Z20" s="6">
        <f t="shared" si="7"/>
        <v>-0.39078710522009491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34.450000000000003</v>
      </c>
      <c r="E21" s="2"/>
      <c r="F21" s="6">
        <f t="shared" si="0"/>
        <v>0</v>
      </c>
      <c r="G21" s="2"/>
      <c r="H21" s="7">
        <v>49.29</v>
      </c>
      <c r="I21" s="2"/>
      <c r="J21" s="6">
        <f t="shared" si="1"/>
        <v>0</v>
      </c>
      <c r="K21" s="2"/>
      <c r="L21" s="7">
        <f t="shared" si="2"/>
        <v>-14.839999999999996</v>
      </c>
      <c r="M21" s="2"/>
      <c r="N21" s="6">
        <f t="shared" si="3"/>
        <v>-0.30107526881720426</v>
      </c>
      <c r="O21" s="11"/>
      <c r="P21" s="7">
        <v>64.56</v>
      </c>
      <c r="Q21" s="2"/>
      <c r="R21" s="6">
        <f t="shared" si="4"/>
        <v>0</v>
      </c>
      <c r="S21" s="2"/>
      <c r="T21" s="7">
        <v>116.37</v>
      </c>
      <c r="U21" s="2"/>
      <c r="V21" s="6">
        <f t="shared" si="5"/>
        <v>0</v>
      </c>
      <c r="W21" s="2"/>
      <c r="X21" s="7">
        <f t="shared" si="6"/>
        <v>-51.81</v>
      </c>
      <c r="Y21" s="2"/>
      <c r="Z21" s="6">
        <f t="shared" si="7"/>
        <v>-0.44521783964939415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700.91</v>
      </c>
      <c r="E22" s="2"/>
      <c r="F22" s="6">
        <f t="shared" si="0"/>
        <v>0</v>
      </c>
      <c r="G22" s="2"/>
      <c r="H22" s="7">
        <v>3488.68</v>
      </c>
      <c r="I22" s="2"/>
      <c r="J22" s="6">
        <f t="shared" si="1"/>
        <v>0</v>
      </c>
      <c r="K22" s="2"/>
      <c r="L22" s="7">
        <f t="shared" si="2"/>
        <v>-2787.77</v>
      </c>
      <c r="M22" s="2"/>
      <c r="N22" s="6">
        <f t="shared" si="3"/>
        <v>-0.79909020030498645</v>
      </c>
      <c r="O22" s="11"/>
      <c r="P22" s="7">
        <v>1401.82</v>
      </c>
      <c r="Q22" s="2"/>
      <c r="R22" s="6">
        <f t="shared" si="4"/>
        <v>0</v>
      </c>
      <c r="S22" s="2"/>
      <c r="T22" s="7">
        <v>4803.83</v>
      </c>
      <c r="U22" s="2"/>
      <c r="V22" s="6">
        <f t="shared" si="5"/>
        <v>0</v>
      </c>
      <c r="W22" s="2"/>
      <c r="X22" s="7">
        <f t="shared" si="6"/>
        <v>-3402.01</v>
      </c>
      <c r="Y22" s="2"/>
      <c r="Z22" s="6">
        <f t="shared" si="7"/>
        <v>-0.70818700911564325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26.35</v>
      </c>
      <c r="E23" s="2"/>
      <c r="F23" s="6">
        <f t="shared" si="0"/>
        <v>0</v>
      </c>
      <c r="G23" s="2"/>
      <c r="H23" s="7">
        <v>41.34</v>
      </c>
      <c r="I23" s="2"/>
      <c r="J23" s="6">
        <f t="shared" si="1"/>
        <v>0</v>
      </c>
      <c r="K23" s="2"/>
      <c r="L23" s="7">
        <f t="shared" si="2"/>
        <v>-14.990000000000002</v>
      </c>
      <c r="M23" s="2"/>
      <c r="N23" s="6">
        <f t="shared" si="3"/>
        <v>-0.36260280599903244</v>
      </c>
      <c r="O23" s="11"/>
      <c r="P23" s="7">
        <v>49.37</v>
      </c>
      <c r="Q23" s="2"/>
      <c r="R23" s="6">
        <f t="shared" si="4"/>
        <v>0</v>
      </c>
      <c r="S23" s="2"/>
      <c r="T23" s="7">
        <v>97.6</v>
      </c>
      <c r="U23" s="2"/>
      <c r="V23" s="6">
        <f t="shared" si="5"/>
        <v>0</v>
      </c>
      <c r="W23" s="2"/>
      <c r="X23" s="7">
        <f t="shared" si="6"/>
        <v>-48.23</v>
      </c>
      <c r="Y23" s="2"/>
      <c r="Z23" s="6">
        <f t="shared" si="7"/>
        <v>-0.49415983606557379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463.29</v>
      </c>
      <c r="I24" s="2"/>
      <c r="J24" s="6">
        <f t="shared" si="1"/>
        <v>0</v>
      </c>
      <c r="K24" s="2"/>
      <c r="L24" s="7">
        <f t="shared" si="2"/>
        <v>-463.29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1151.48</v>
      </c>
      <c r="U24" s="2"/>
      <c r="V24" s="6">
        <f t="shared" si="5"/>
        <v>0</v>
      </c>
      <c r="W24" s="2"/>
      <c r="X24" s="7">
        <f t="shared" si="6"/>
        <v>-1151.48</v>
      </c>
      <c r="Y24" s="2"/>
      <c r="Z24" s="6">
        <f t="shared" si="7"/>
        <v>-1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184.8</v>
      </c>
      <c r="E25" s="2"/>
      <c r="F25" s="6">
        <f t="shared" si="0"/>
        <v>0</v>
      </c>
      <c r="G25" s="2"/>
      <c r="H25" s="7">
        <v>777.78</v>
      </c>
      <c r="I25" s="2"/>
      <c r="J25" s="6">
        <f t="shared" si="1"/>
        <v>0</v>
      </c>
      <c r="K25" s="2"/>
      <c r="L25" s="7">
        <f t="shared" si="2"/>
        <v>-592.98</v>
      </c>
      <c r="M25" s="2"/>
      <c r="N25" s="6">
        <f t="shared" si="3"/>
        <v>-0.76240067885520335</v>
      </c>
      <c r="O25" s="11"/>
      <c r="P25" s="7">
        <v>369.6</v>
      </c>
      <c r="Q25" s="2"/>
      <c r="R25" s="6">
        <f t="shared" si="4"/>
        <v>0</v>
      </c>
      <c r="S25" s="2"/>
      <c r="T25" s="7">
        <v>1875.24</v>
      </c>
      <c r="U25" s="2"/>
      <c r="V25" s="6">
        <f t="shared" si="5"/>
        <v>0</v>
      </c>
      <c r="W25" s="2"/>
      <c r="X25" s="7">
        <f t="shared" si="6"/>
        <v>-1505.6399999999999</v>
      </c>
      <c r="Y25" s="2"/>
      <c r="Z25" s="6">
        <f t="shared" si="7"/>
        <v>-0.80290522813079923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221.4</v>
      </c>
      <c r="E26" s="2"/>
      <c r="F26" s="6">
        <f t="shared" si="0"/>
        <v>0</v>
      </c>
      <c r="G26" s="2"/>
      <c r="H26" s="7">
        <v>494.76</v>
      </c>
      <c r="I26" s="2"/>
      <c r="J26" s="6">
        <f t="shared" si="1"/>
        <v>0</v>
      </c>
      <c r="K26" s="2"/>
      <c r="L26" s="7">
        <f t="shared" si="2"/>
        <v>-273.36</v>
      </c>
      <c r="M26" s="2"/>
      <c r="N26" s="6">
        <f t="shared" si="3"/>
        <v>-0.55251030802813494</v>
      </c>
      <c r="O26" s="11"/>
      <c r="P26" s="7">
        <v>442.8</v>
      </c>
      <c r="Q26" s="2"/>
      <c r="R26" s="6">
        <f t="shared" si="4"/>
        <v>0</v>
      </c>
      <c r="S26" s="2"/>
      <c r="T26" s="7">
        <v>1302.78</v>
      </c>
      <c r="U26" s="2"/>
      <c r="V26" s="6">
        <f t="shared" si="5"/>
        <v>0</v>
      </c>
      <c r="W26" s="2"/>
      <c r="X26" s="7">
        <f t="shared" si="6"/>
        <v>-859.98</v>
      </c>
      <c r="Y26" s="2"/>
      <c r="Z26" s="6">
        <f t="shared" si="7"/>
        <v>-0.66011145396766913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141.08000000000001</v>
      </c>
      <c r="E27" s="2"/>
      <c r="F27" s="6">
        <f t="shared" si="0"/>
        <v>0</v>
      </c>
      <c r="G27" s="2"/>
      <c r="H27" s="7">
        <v>297.97000000000003</v>
      </c>
      <c r="I27" s="2"/>
      <c r="J27" s="6">
        <f t="shared" si="1"/>
        <v>0</v>
      </c>
      <c r="K27" s="2"/>
      <c r="L27" s="7">
        <f t="shared" si="2"/>
        <v>-156.89000000000001</v>
      </c>
      <c r="M27" s="2"/>
      <c r="N27" s="6">
        <f t="shared" si="3"/>
        <v>-0.52652951639426793</v>
      </c>
      <c r="O27" s="11"/>
      <c r="P27" s="7">
        <v>289.45</v>
      </c>
      <c r="Q27" s="2"/>
      <c r="R27" s="6">
        <f t="shared" si="4"/>
        <v>0</v>
      </c>
      <c r="S27" s="2"/>
      <c r="T27" s="7">
        <v>595.35</v>
      </c>
      <c r="U27" s="2"/>
      <c r="V27" s="6">
        <f t="shared" si="5"/>
        <v>0</v>
      </c>
      <c r="W27" s="2"/>
      <c r="X27" s="7">
        <f t="shared" si="6"/>
        <v>-305.90000000000003</v>
      </c>
      <c r="Y27" s="2"/>
      <c r="Z27" s="6">
        <f t="shared" si="7"/>
        <v>-0.5138154027042916</v>
      </c>
    </row>
    <row r="28" spans="1:26" s="27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10665.94</v>
      </c>
      <c r="E28" s="1"/>
      <c r="F28" s="5">
        <f t="shared" ref="F28:F34" si="8">IF(D$12=0,0,D28/D$12)</f>
        <v>0</v>
      </c>
      <c r="G28" s="1"/>
      <c r="H28" s="1">
        <f>SUM(OSRRefH22_1x_0)</f>
        <v>15570.579999999998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-4904.6399999999976</v>
      </c>
      <c r="M28" s="1"/>
      <c r="N28" s="5">
        <f t="shared" ref="N28:N34" si="11">IF(H28=0,0,L28/H28)</f>
        <v>-0.31499404646455031</v>
      </c>
      <c r="O28" s="14"/>
      <c r="P28" s="1">
        <f>SUM(OSRRefP22_1x_0)</f>
        <v>22289.079999999998</v>
      </c>
      <c r="Q28" s="1"/>
      <c r="R28" s="5">
        <f t="shared" ref="R28:R34" si="12">IF(P$12=0,0,P28/P$12)</f>
        <v>0</v>
      </c>
      <c r="S28" s="1"/>
      <c r="T28" s="1">
        <f>SUM(OSRRefT22_1x_0)</f>
        <v>34169.47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-11880.390000000003</v>
      </c>
      <c r="Y28" s="1"/>
      <c r="Z28" s="5">
        <f t="shared" ref="Z28:Z34" si="15">IF(T28=0,0,X28/T28)</f>
        <v>-0.34769020415007906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5755.55</v>
      </c>
      <c r="I29" s="2"/>
      <c r="J29" s="6">
        <f t="shared" si="9"/>
        <v>0</v>
      </c>
      <c r="K29" s="2"/>
      <c r="L29" s="7">
        <f t="shared" si="10"/>
        <v>-5755.55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12526.98</v>
      </c>
      <c r="U29" s="2"/>
      <c r="V29" s="6">
        <f t="shared" si="13"/>
        <v>0</v>
      </c>
      <c r="W29" s="2"/>
      <c r="X29" s="7">
        <f t="shared" si="14"/>
        <v>-12526.98</v>
      </c>
      <c r="Y29" s="2"/>
      <c r="Z29" s="6">
        <f t="shared" si="15"/>
        <v>-1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-338.56</v>
      </c>
      <c r="I30" s="2"/>
      <c r="J30" s="6">
        <f t="shared" si="9"/>
        <v>0</v>
      </c>
      <c r="K30" s="2"/>
      <c r="L30" s="7">
        <f t="shared" si="10"/>
        <v>338.56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-338.56</v>
      </c>
      <c r="U30" s="2"/>
      <c r="V30" s="6">
        <f t="shared" si="13"/>
        <v>0</v>
      </c>
      <c r="W30" s="2"/>
      <c r="X30" s="7">
        <f t="shared" si="14"/>
        <v>338.56</v>
      </c>
      <c r="Y30" s="2"/>
      <c r="Z30" s="6">
        <f t="shared" si="15"/>
        <v>-1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>
        <v>4766.25</v>
      </c>
      <c r="E31" s="2"/>
      <c r="F31" s="6">
        <f t="shared" si="8"/>
        <v>0</v>
      </c>
      <c r="G31" s="2"/>
      <c r="H31" s="7">
        <v>3930.48</v>
      </c>
      <c r="I31" s="2"/>
      <c r="J31" s="6">
        <f t="shared" si="9"/>
        <v>0</v>
      </c>
      <c r="K31" s="2"/>
      <c r="L31" s="7">
        <f t="shared" si="10"/>
        <v>835.77</v>
      </c>
      <c r="M31" s="2"/>
      <c r="N31" s="6">
        <f t="shared" si="11"/>
        <v>0.2126381510655187</v>
      </c>
      <c r="O31" s="11"/>
      <c r="P31" s="7">
        <v>10121.25</v>
      </c>
      <c r="Q31" s="2"/>
      <c r="R31" s="6">
        <f t="shared" si="12"/>
        <v>0</v>
      </c>
      <c r="S31" s="2"/>
      <c r="T31" s="7">
        <v>7870.23</v>
      </c>
      <c r="U31" s="2"/>
      <c r="V31" s="6">
        <f t="shared" si="13"/>
        <v>0</v>
      </c>
      <c r="W31" s="2"/>
      <c r="X31" s="7">
        <f t="shared" si="14"/>
        <v>2251.0200000000004</v>
      </c>
      <c r="Y31" s="2"/>
      <c r="Z31" s="6">
        <f t="shared" si="15"/>
        <v>0.28601705413945977</v>
      </c>
    </row>
    <row r="32" spans="1:26" s="24" customFormat="1" hidden="1" outlineLevel="2" x14ac:dyDescent="0.25">
      <c r="A32" s="29"/>
      <c r="B32" s="11" t="str">
        <f>CONCATENATE("          ", "6006", " - ", "TEMPORARY PART TIME")</f>
        <v xml:space="preserve">          6006 - TEMPORARY PART TIME</v>
      </c>
      <c r="C32" s="11"/>
      <c r="D32" s="7">
        <v>1153.93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1153.93</v>
      </c>
      <c r="M32" s="2"/>
      <c r="N32" s="6">
        <f t="shared" si="11"/>
        <v>0</v>
      </c>
      <c r="O32" s="11"/>
      <c r="P32" s="7">
        <v>1862.68</v>
      </c>
      <c r="Q32" s="2"/>
      <c r="R32" s="6">
        <f t="shared" si="12"/>
        <v>0</v>
      </c>
      <c r="S32" s="2"/>
      <c r="T32" s="7">
        <v>247.86</v>
      </c>
      <c r="U32" s="2"/>
      <c r="V32" s="6">
        <f t="shared" si="13"/>
        <v>0</v>
      </c>
      <c r="W32" s="2"/>
      <c r="X32" s="7">
        <f t="shared" si="14"/>
        <v>1614.8200000000002</v>
      </c>
      <c r="Y32" s="2"/>
      <c r="Z32" s="6">
        <f t="shared" si="15"/>
        <v>6.5150488178810626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4436.57</v>
      </c>
      <c r="E33" s="2"/>
      <c r="F33" s="6">
        <f t="shared" si="8"/>
        <v>0</v>
      </c>
      <c r="G33" s="2"/>
      <c r="H33" s="7">
        <v>6223.11</v>
      </c>
      <c r="I33" s="2"/>
      <c r="J33" s="6">
        <f t="shared" si="9"/>
        <v>0</v>
      </c>
      <c r="K33" s="2"/>
      <c r="L33" s="7">
        <f t="shared" si="10"/>
        <v>-1786.54</v>
      </c>
      <c r="M33" s="2"/>
      <c r="N33" s="6">
        <f t="shared" si="11"/>
        <v>-0.2870815396160441</v>
      </c>
      <c r="O33" s="11"/>
      <c r="P33" s="7">
        <v>9995.9599999999991</v>
      </c>
      <c r="Q33" s="2"/>
      <c r="R33" s="6">
        <f t="shared" si="12"/>
        <v>0</v>
      </c>
      <c r="S33" s="2"/>
      <c r="T33" s="7">
        <v>13862.96</v>
      </c>
      <c r="U33" s="2"/>
      <c r="V33" s="6">
        <f t="shared" si="13"/>
        <v>0</v>
      </c>
      <c r="W33" s="2"/>
      <c r="X33" s="7">
        <f t="shared" si="14"/>
        <v>-3867</v>
      </c>
      <c r="Y33" s="2"/>
      <c r="Z33" s="6">
        <f t="shared" si="15"/>
        <v>-0.27894475638680344</v>
      </c>
    </row>
    <row r="34" spans="1:26" s="24" customFormat="1" hidden="1" outlineLevel="2" x14ac:dyDescent="0.25">
      <c r="A34" s="29"/>
      <c r="B34" s="11" t="str">
        <f>CONCATENATE("          ", "6008", " - ", "STUDENT HOURLY-FICA EXEMPT")</f>
        <v xml:space="preserve">          6008 - STUDENT HOURLY-FICA EXEMPT</v>
      </c>
      <c r="C34" s="11"/>
      <c r="D34" s="7">
        <v>309.19</v>
      </c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309.19</v>
      </c>
      <c r="M34" s="2"/>
      <c r="N34" s="6">
        <f t="shared" si="11"/>
        <v>0</v>
      </c>
      <c r="O34" s="11"/>
      <c r="P34" s="7">
        <v>309.19</v>
      </c>
      <c r="Q34" s="2"/>
      <c r="R34" s="6">
        <f t="shared" si="12"/>
        <v>0</v>
      </c>
      <c r="S34" s="2"/>
      <c r="T34" s="7"/>
      <c r="U34" s="2"/>
      <c r="V34" s="6">
        <f t="shared" si="13"/>
        <v>0</v>
      </c>
      <c r="W34" s="2"/>
      <c r="X34" s="7">
        <f t="shared" si="14"/>
        <v>309.19</v>
      </c>
      <c r="Y34" s="2"/>
      <c r="Z34" s="6">
        <f t="shared" si="15"/>
        <v>0</v>
      </c>
    </row>
    <row r="35" spans="1:26" s="27" customFormat="1" outlineLevel="1" collapsed="1" x14ac:dyDescent="0.25">
      <c r="A35" s="28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-6441.84</v>
      </c>
      <c r="E35" s="1"/>
      <c r="F35" s="5">
        <f t="shared" ref="F35:F41" si="16">IF(D$12=0,0,D35/D$12)</f>
        <v>0</v>
      </c>
      <c r="G35" s="1"/>
      <c r="H35" s="1">
        <f>SUM(OSRRefH22_2x_0)</f>
        <v>-17300.37</v>
      </c>
      <c r="I35" s="1"/>
      <c r="J35" s="5">
        <f t="shared" ref="J35:J41" si="17">IF(H$12=0,0,H35/H$12)</f>
        <v>0</v>
      </c>
      <c r="K35" s="1"/>
      <c r="L35" s="1">
        <f t="shared" ref="L35:L41" si="18">+D35-H35</f>
        <v>10858.529999999999</v>
      </c>
      <c r="M35" s="1"/>
      <c r="N35" s="5">
        <f t="shared" ref="N35:N41" si="19">IF(H35=0,0,L35/H35)</f>
        <v>-0.62764726997168263</v>
      </c>
      <c r="O35" s="14"/>
      <c r="P35" s="1">
        <f>SUM(OSRRefP22_2x_0)</f>
        <v>-13724.24</v>
      </c>
      <c r="Q35" s="1"/>
      <c r="R35" s="5">
        <f t="shared" ref="R35:R41" si="20">IF(P$12=0,0,P35/P$12)</f>
        <v>0</v>
      </c>
      <c r="S35" s="1"/>
      <c r="T35" s="1">
        <f>SUM(OSRRefT22_2x_0)</f>
        <v>-32318.47</v>
      </c>
      <c r="U35" s="1"/>
      <c r="V35" s="5">
        <f t="shared" ref="V35:V41" si="21">IF(T$12=0,0,T35/T$12)</f>
        <v>0</v>
      </c>
      <c r="W35" s="1"/>
      <c r="X35" s="1">
        <f t="shared" ref="X35:X41" si="22">+P35-T35</f>
        <v>18594.230000000003</v>
      </c>
      <c r="Y35" s="1"/>
      <c r="Z35" s="5">
        <f t="shared" ref="Z35:Z41" si="23">IF(T35=0,0,X35/T35)</f>
        <v>-0.5753437585380744</v>
      </c>
    </row>
    <row r="36" spans="1:26" s="24" customFormat="1" hidden="1" outlineLevel="2" x14ac:dyDescent="0.25">
      <c r="A36" s="29"/>
      <c r="B36" s="11" t="str">
        <f>CONCATENATE("          ", "6362", " - ", "ADVERTISING EXPENSE")</f>
        <v xml:space="preserve">          6362 - ADVERTISING EXPENSE</v>
      </c>
      <c r="C36" s="11"/>
      <c r="D36" s="7">
        <v>-6441.84</v>
      </c>
      <c r="E36" s="2"/>
      <c r="F36" s="6">
        <f t="shared" si="16"/>
        <v>0</v>
      </c>
      <c r="G36" s="2"/>
      <c r="H36" s="7">
        <v>-17300.37</v>
      </c>
      <c r="I36" s="2"/>
      <c r="J36" s="6">
        <f t="shared" si="17"/>
        <v>0</v>
      </c>
      <c r="K36" s="2"/>
      <c r="L36" s="7">
        <f t="shared" si="18"/>
        <v>10858.529999999999</v>
      </c>
      <c r="M36" s="2"/>
      <c r="N36" s="6">
        <f t="shared" si="19"/>
        <v>-0.62764726997168263</v>
      </c>
      <c r="O36" s="11"/>
      <c r="P36" s="7">
        <v>-13724.24</v>
      </c>
      <c r="Q36" s="2"/>
      <c r="R36" s="6">
        <f t="shared" si="20"/>
        <v>0</v>
      </c>
      <c r="S36" s="2"/>
      <c r="T36" s="7">
        <v>-32318.47</v>
      </c>
      <c r="U36" s="2"/>
      <c r="V36" s="6">
        <f t="shared" si="21"/>
        <v>0</v>
      </c>
      <c r="W36" s="2"/>
      <c r="X36" s="7">
        <f t="shared" si="22"/>
        <v>18594.230000000003</v>
      </c>
      <c r="Y36" s="2"/>
      <c r="Z36" s="6">
        <f t="shared" si="23"/>
        <v>-0.5753437585380744</v>
      </c>
    </row>
    <row r="37" spans="1:26" s="27" customFormat="1" outlineLevel="1" collapsed="1" x14ac:dyDescent="0.25">
      <c r="A37" s="28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SUM(OSRRefD22_3x_0)</f>
        <v>295.67</v>
      </c>
      <c r="E37" s="1"/>
      <c r="F37" s="5">
        <f t="shared" si="16"/>
        <v>0</v>
      </c>
      <c r="G37" s="1"/>
      <c r="H37" s="1">
        <f>SUM(OSRRefH22_3x_0)</f>
        <v>295.68</v>
      </c>
      <c r="I37" s="1"/>
      <c r="J37" s="5">
        <f t="shared" si="17"/>
        <v>0</v>
      </c>
      <c r="K37" s="1"/>
      <c r="L37" s="1">
        <f t="shared" si="18"/>
        <v>-9.9999999999909051E-3</v>
      </c>
      <c r="M37" s="1"/>
      <c r="N37" s="5">
        <f t="shared" si="19"/>
        <v>-3.3820346320315563E-5</v>
      </c>
      <c r="O37" s="14"/>
      <c r="P37" s="1">
        <f>SUM(OSRRefP22_3x_0)</f>
        <v>591.34</v>
      </c>
      <c r="Q37" s="1"/>
      <c r="R37" s="5">
        <f t="shared" si="20"/>
        <v>0</v>
      </c>
      <c r="S37" s="1"/>
      <c r="T37" s="1">
        <f>SUM(OSRRefT22_3x_0)</f>
        <v>591.36</v>
      </c>
      <c r="U37" s="1"/>
      <c r="V37" s="5">
        <f t="shared" si="21"/>
        <v>0</v>
      </c>
      <c r="W37" s="1"/>
      <c r="X37" s="1">
        <f t="shared" si="22"/>
        <v>-1.999999999998181E-2</v>
      </c>
      <c r="Y37" s="1"/>
      <c r="Z37" s="5">
        <f t="shared" si="23"/>
        <v>-3.3820346320315563E-5</v>
      </c>
    </row>
    <row r="38" spans="1:26" s="24" customFormat="1" hidden="1" outlineLevel="2" x14ac:dyDescent="0.25">
      <c r="A38" s="29"/>
      <c r="B38" s="11" t="str">
        <f>CONCATENATE("          ", "6322", " - ", "EQUIPMENT DEPRECIATION EXPENSE")</f>
        <v xml:space="preserve">          6322 - EQUIPMENT DEPRECIATION EXPENSE</v>
      </c>
      <c r="C38" s="11"/>
      <c r="D38" s="7">
        <v>295.67</v>
      </c>
      <c r="E38" s="2"/>
      <c r="F38" s="6">
        <f t="shared" si="16"/>
        <v>0</v>
      </c>
      <c r="G38" s="2"/>
      <c r="H38" s="7">
        <v>295.68</v>
      </c>
      <c r="I38" s="2"/>
      <c r="J38" s="6">
        <f t="shared" si="17"/>
        <v>0</v>
      </c>
      <c r="K38" s="2"/>
      <c r="L38" s="7">
        <f t="shared" si="18"/>
        <v>-9.9999999999909051E-3</v>
      </c>
      <c r="M38" s="2"/>
      <c r="N38" s="6">
        <f t="shared" si="19"/>
        <v>-3.3820346320315563E-5</v>
      </c>
      <c r="O38" s="11"/>
      <c r="P38" s="7">
        <v>591.34</v>
      </c>
      <c r="Q38" s="2"/>
      <c r="R38" s="6">
        <f t="shared" si="20"/>
        <v>0</v>
      </c>
      <c r="S38" s="2"/>
      <c r="T38" s="7">
        <v>591.36</v>
      </c>
      <c r="U38" s="2"/>
      <c r="V38" s="6">
        <f t="shared" si="21"/>
        <v>0</v>
      </c>
      <c r="W38" s="2"/>
      <c r="X38" s="7">
        <f t="shared" si="22"/>
        <v>-1.999999999998181E-2</v>
      </c>
      <c r="Y38" s="2"/>
      <c r="Z38" s="6">
        <f t="shared" si="23"/>
        <v>-3.3820346320315563E-5</v>
      </c>
    </row>
    <row r="39" spans="1:26" s="27" customFormat="1" outlineLevel="1" collapsed="1" x14ac:dyDescent="0.25">
      <c r="A39" s="28"/>
      <c r="B39" s="14" t="str">
        <f>CONCATENATE("     ","Supplies                                          ")</f>
        <v xml:space="preserve">     Supplies                                          </v>
      </c>
      <c r="C39" s="14"/>
      <c r="D39" s="1">
        <f>SUM(OSRRefD22_4x_0)</f>
        <v>63.83</v>
      </c>
      <c r="E39" s="1"/>
      <c r="F39" s="5">
        <f t="shared" si="16"/>
        <v>0</v>
      </c>
      <c r="G39" s="1"/>
      <c r="H39" s="1">
        <f>SUM(OSRRefH22_4x_0)</f>
        <v>102.7</v>
      </c>
      <c r="I39" s="1"/>
      <c r="J39" s="5">
        <f t="shared" si="17"/>
        <v>0</v>
      </c>
      <c r="K39" s="1"/>
      <c r="L39" s="1">
        <f t="shared" si="18"/>
        <v>-38.870000000000005</v>
      </c>
      <c r="M39" s="1"/>
      <c r="N39" s="5">
        <f t="shared" si="19"/>
        <v>-0.37848101265822787</v>
      </c>
      <c r="O39" s="14"/>
      <c r="P39" s="1">
        <f>SUM(OSRRefP22_4x_0)</f>
        <v>491.19000000000005</v>
      </c>
      <c r="Q39" s="1"/>
      <c r="R39" s="5">
        <f t="shared" si="20"/>
        <v>0</v>
      </c>
      <c r="S39" s="1"/>
      <c r="T39" s="1">
        <f>SUM(OSRRefT22_4x_0)</f>
        <v>134.83000000000001</v>
      </c>
      <c r="U39" s="1"/>
      <c r="V39" s="5">
        <f t="shared" si="21"/>
        <v>0</v>
      </c>
      <c r="W39" s="1"/>
      <c r="X39" s="1">
        <f t="shared" si="22"/>
        <v>356.36</v>
      </c>
      <c r="Y39" s="1"/>
      <c r="Z39" s="5">
        <f t="shared" si="23"/>
        <v>2.6430319661796333</v>
      </c>
    </row>
    <row r="40" spans="1:26" s="24" customFormat="1" hidden="1" outlineLevel="2" x14ac:dyDescent="0.25">
      <c r="A40" s="29"/>
      <c r="B40" s="11" t="str">
        <f>CONCATENATE("          ", "6241", " - ", "OFFICE EXPENSE")</f>
        <v xml:space="preserve">          6241 - OFFICE EXPENSE</v>
      </c>
      <c r="C40" s="11"/>
      <c r="D40" s="7">
        <v>63.83</v>
      </c>
      <c r="E40" s="2"/>
      <c r="F40" s="6">
        <f t="shared" si="16"/>
        <v>0</v>
      </c>
      <c r="G40" s="2"/>
      <c r="H40" s="7">
        <v>102.7</v>
      </c>
      <c r="I40" s="2"/>
      <c r="J40" s="6">
        <f t="shared" si="17"/>
        <v>0</v>
      </c>
      <c r="K40" s="2"/>
      <c r="L40" s="7">
        <f t="shared" si="18"/>
        <v>-38.870000000000005</v>
      </c>
      <c r="M40" s="2"/>
      <c r="N40" s="6">
        <f t="shared" si="19"/>
        <v>-0.37848101265822787</v>
      </c>
      <c r="O40" s="11"/>
      <c r="P40" s="7">
        <v>144.77000000000001</v>
      </c>
      <c r="Q40" s="2"/>
      <c r="R40" s="6">
        <f t="shared" si="20"/>
        <v>0</v>
      </c>
      <c r="S40" s="2"/>
      <c r="T40" s="7">
        <v>134.83000000000001</v>
      </c>
      <c r="U40" s="2"/>
      <c r="V40" s="6">
        <f t="shared" si="21"/>
        <v>0</v>
      </c>
      <c r="W40" s="2"/>
      <c r="X40" s="7">
        <f t="shared" si="22"/>
        <v>9.9399999999999977</v>
      </c>
      <c r="Y40" s="2"/>
      <c r="Z40" s="6">
        <f t="shared" si="23"/>
        <v>7.3722465326707676E-2</v>
      </c>
    </row>
    <row r="41" spans="1:26" s="24" customFormat="1" hidden="1" outlineLevel="2" x14ac:dyDescent="0.25">
      <c r="A41" s="29"/>
      <c r="B41" s="11" t="str">
        <f>CONCATENATE("          ", "6245", " - ", "PRINTING")</f>
        <v xml:space="preserve">          6245 - PRINTING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346.42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346.42</v>
      </c>
      <c r="Y41" s="2"/>
      <c r="Z41" s="6">
        <f t="shared" si="23"/>
        <v>0</v>
      </c>
    </row>
    <row r="42" spans="1:26" s="27" customFormat="1" outlineLevel="1" collapsed="1" x14ac:dyDescent="0.25">
      <c r="A42" s="28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SUM(OSRRefD22_5x_0)</f>
        <v>81.150000000000006</v>
      </c>
      <c r="E42" s="1"/>
      <c r="F42" s="5">
        <f t="shared" ref="F42:F45" si="24">IF(D$12=0,0,D42/D$12)</f>
        <v>0</v>
      </c>
      <c r="G42" s="1"/>
      <c r="H42" s="1">
        <f>SUM(OSRRefH22_5x_0)</f>
        <v>145.35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-64.199999999999989</v>
      </c>
      <c r="M42" s="1"/>
      <c r="N42" s="5">
        <f t="shared" ref="N42:N45" si="27">IF(H42=0,0,L42/H42)</f>
        <v>-0.44169246646026827</v>
      </c>
      <c r="O42" s="14"/>
      <c r="P42" s="1">
        <f>SUM(OSRRefP22_5x_0)</f>
        <v>75.45</v>
      </c>
      <c r="Q42" s="1"/>
      <c r="R42" s="5">
        <f t="shared" ref="R42:R45" si="28">IF(P$12=0,0,P42/P$12)</f>
        <v>0</v>
      </c>
      <c r="S42" s="1"/>
      <c r="T42" s="1">
        <f>SUM(OSRRefT22_5x_0)</f>
        <v>170.5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-95.05</v>
      </c>
      <c r="Y42" s="1"/>
      <c r="Z42" s="5">
        <f t="shared" ref="Z42:Z45" si="31">IF(T42=0,0,X42/T42)</f>
        <v>-0.55747800586510265</v>
      </c>
    </row>
    <row r="43" spans="1:26" s="24" customFormat="1" hidden="1" outlineLevel="2" x14ac:dyDescent="0.25">
      <c r="A43" s="29"/>
      <c r="B43" s="11" t="str">
        <f>CONCATENATE("          ", "6309", " - ", "TELEPHONE")</f>
        <v xml:space="preserve">          6309 - TELEPHONE</v>
      </c>
      <c r="C43" s="11"/>
      <c r="D43" s="7">
        <v>81.150000000000006</v>
      </c>
      <c r="E43" s="2"/>
      <c r="F43" s="6">
        <f t="shared" si="24"/>
        <v>0</v>
      </c>
      <c r="G43" s="2"/>
      <c r="H43" s="7">
        <v>145.35</v>
      </c>
      <c r="I43" s="2"/>
      <c r="J43" s="6">
        <f t="shared" si="25"/>
        <v>0</v>
      </c>
      <c r="K43" s="2"/>
      <c r="L43" s="7">
        <f t="shared" si="26"/>
        <v>-64.199999999999989</v>
      </c>
      <c r="M43" s="2"/>
      <c r="N43" s="6">
        <f t="shared" si="27"/>
        <v>-0.44169246646026827</v>
      </c>
      <c r="O43" s="11"/>
      <c r="P43" s="7">
        <v>75.45</v>
      </c>
      <c r="Q43" s="2"/>
      <c r="R43" s="6">
        <f t="shared" si="28"/>
        <v>0</v>
      </c>
      <c r="S43" s="2"/>
      <c r="T43" s="7">
        <v>170.5</v>
      </c>
      <c r="U43" s="2"/>
      <c r="V43" s="6">
        <f t="shared" si="29"/>
        <v>0</v>
      </c>
      <c r="W43" s="2"/>
      <c r="X43" s="7">
        <f t="shared" si="30"/>
        <v>-95.05</v>
      </c>
      <c r="Y43" s="2"/>
      <c r="Z43" s="6">
        <f t="shared" si="31"/>
        <v>-0.55747800586510265</v>
      </c>
    </row>
    <row r="44" spans="1:26" s="27" customFormat="1" outlineLevel="1" collapsed="1" x14ac:dyDescent="0.25">
      <c r="A44" s="28"/>
      <c r="B44" s="14" t="str">
        <f>CONCATENATE("     ","Travel                                            ")</f>
        <v xml:space="preserve">     Travel                                            </v>
      </c>
      <c r="C44" s="14"/>
      <c r="D44" s="1">
        <f>SUM(OSRRefD22_6x_0)</f>
        <v>118.32</v>
      </c>
      <c r="E44" s="1"/>
      <c r="F44" s="5">
        <f t="shared" si="24"/>
        <v>0</v>
      </c>
      <c r="G44" s="1"/>
      <c r="H44" s="1">
        <f>SUM(OSRRefH22_6x_0)</f>
        <v>95.53</v>
      </c>
      <c r="I44" s="1"/>
      <c r="J44" s="5">
        <f t="shared" si="25"/>
        <v>0</v>
      </c>
      <c r="K44" s="1"/>
      <c r="L44" s="1">
        <f t="shared" si="26"/>
        <v>22.789999999999992</v>
      </c>
      <c r="M44" s="1"/>
      <c r="N44" s="5">
        <f t="shared" si="27"/>
        <v>0.23856380194703225</v>
      </c>
      <c r="O44" s="14"/>
      <c r="P44" s="1">
        <f>SUM(OSRRefP22_6x_0)</f>
        <v>118.32</v>
      </c>
      <c r="Q44" s="1"/>
      <c r="R44" s="5">
        <f t="shared" si="28"/>
        <v>0</v>
      </c>
      <c r="S44" s="1"/>
      <c r="T44" s="1">
        <f>SUM(OSRRefT22_6x_0)</f>
        <v>265.77999999999997</v>
      </c>
      <c r="U44" s="1"/>
      <c r="V44" s="5">
        <f t="shared" si="29"/>
        <v>0</v>
      </c>
      <c r="W44" s="1"/>
      <c r="X44" s="1">
        <f t="shared" si="30"/>
        <v>-147.45999999999998</v>
      </c>
      <c r="Y44" s="1"/>
      <c r="Z44" s="5">
        <f t="shared" si="31"/>
        <v>-0.55481977575438335</v>
      </c>
    </row>
    <row r="45" spans="1:26" s="24" customFormat="1" hidden="1" outlineLevel="2" x14ac:dyDescent="0.25">
      <c r="A45" s="29"/>
      <c r="B45" s="11" t="str">
        <f>CONCATENATE("          ", "6292", " - ", "TRAVEL/CONFERENCE")</f>
        <v xml:space="preserve">          6292 - TRAVEL/CONFERENCE</v>
      </c>
      <c r="C45" s="11"/>
      <c r="D45" s="7">
        <v>118.32</v>
      </c>
      <c r="E45" s="2"/>
      <c r="F45" s="6">
        <f t="shared" si="24"/>
        <v>0</v>
      </c>
      <c r="G45" s="2"/>
      <c r="H45" s="7">
        <v>95.53</v>
      </c>
      <c r="I45" s="2"/>
      <c r="J45" s="6">
        <f t="shared" si="25"/>
        <v>0</v>
      </c>
      <c r="K45" s="2"/>
      <c r="L45" s="7">
        <f t="shared" si="26"/>
        <v>22.789999999999992</v>
      </c>
      <c r="M45" s="2"/>
      <c r="N45" s="6">
        <f t="shared" si="27"/>
        <v>0.23856380194703225</v>
      </c>
      <c r="O45" s="11"/>
      <c r="P45" s="7">
        <v>118.32</v>
      </c>
      <c r="Q45" s="2"/>
      <c r="R45" s="6">
        <f t="shared" si="28"/>
        <v>0</v>
      </c>
      <c r="S45" s="2"/>
      <c r="T45" s="7">
        <v>265.77999999999997</v>
      </c>
      <c r="U45" s="2"/>
      <c r="V45" s="6">
        <f t="shared" si="29"/>
        <v>0</v>
      </c>
      <c r="W45" s="2"/>
      <c r="X45" s="7">
        <f t="shared" si="30"/>
        <v>-147.45999999999998</v>
      </c>
      <c r="Y45" s="2"/>
      <c r="Z45" s="6">
        <f t="shared" si="31"/>
        <v>-0.55481977575438335</v>
      </c>
    </row>
    <row r="46" spans="1:26" s="62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5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6" t="s">
        <v>3</v>
      </c>
      <c r="C49" s="26"/>
      <c r="D49" s="20">
        <f>+D16-D18+D47</f>
        <v>-6888.33</v>
      </c>
      <c r="E49" s="13"/>
      <c r="F49" s="19">
        <f>IF(D$12=0,0,D49/D$12)</f>
        <v>0</v>
      </c>
      <c r="G49" s="13"/>
      <c r="H49" s="20">
        <f>+H16-H18+H47</f>
        <v>-5778.49</v>
      </c>
      <c r="I49" s="13"/>
      <c r="J49" s="19">
        <f>IF(H$12=0,0,H49/H$12)</f>
        <v>0</v>
      </c>
      <c r="K49" s="15"/>
      <c r="L49" s="20">
        <f>+D49-H49</f>
        <v>-1109.8400000000001</v>
      </c>
      <c r="M49" s="15"/>
      <c r="N49" s="19">
        <f>IF(H49=0,0,L49/H49)</f>
        <v>0.19206401672409232</v>
      </c>
      <c r="O49" s="25"/>
      <c r="P49" s="20">
        <f>+P16-P18+P47</f>
        <v>-13947.900000000001</v>
      </c>
      <c r="Q49" s="13"/>
      <c r="R49" s="19">
        <f>IF(P$12=0,0,P49/P$12)</f>
        <v>0</v>
      </c>
      <c r="S49" s="13"/>
      <c r="T49" s="20">
        <f>+T16-T18+T47</f>
        <v>-15400.519999999997</v>
      </c>
      <c r="U49" s="13"/>
      <c r="V49" s="19">
        <f>IF(T$12=0,0,T49/T$12)</f>
        <v>0</v>
      </c>
      <c r="W49" s="15"/>
      <c r="X49" s="20">
        <f>+P49-T49</f>
        <v>1452.6199999999953</v>
      </c>
      <c r="Y49" s="15"/>
      <c r="Z49" s="19">
        <f>IF(T49=0,0,X49/T49)</f>
        <v>-9.4322789100627483E-2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6" t="s">
        <v>4</v>
      </c>
      <c r="C53" s="26"/>
      <c r="D53" s="31">
        <f>+D49-D51</f>
        <v>-6888.33</v>
      </c>
      <c r="E53" s="13"/>
      <c r="F53" s="36">
        <f>IF(D$12=0,0,D53/D$12)</f>
        <v>0</v>
      </c>
      <c r="G53" s="13"/>
      <c r="H53" s="31">
        <f>+H49-H51</f>
        <v>-5778.49</v>
      </c>
      <c r="I53" s="13"/>
      <c r="J53" s="36">
        <f>IF(H$12=0,0,H53/H$12)</f>
        <v>0</v>
      </c>
      <c r="K53" s="15"/>
      <c r="L53" s="31">
        <f>D53-H53</f>
        <v>-1109.8400000000001</v>
      </c>
      <c r="M53" s="15"/>
      <c r="N53" s="36">
        <f>IF(H53=0,0,L53/H53)</f>
        <v>0.19206401672409232</v>
      </c>
      <c r="O53" s="25"/>
      <c r="P53" s="31">
        <f>+P49-P51</f>
        <v>-13947.900000000001</v>
      </c>
      <c r="Q53" s="13"/>
      <c r="R53" s="36">
        <f>IF(P$12=0,0,P53/P$12)</f>
        <v>0</v>
      </c>
      <c r="S53" s="13"/>
      <c r="T53" s="31">
        <f>+T49-T51</f>
        <v>-15400.519999999997</v>
      </c>
      <c r="U53" s="13"/>
      <c r="V53" s="36">
        <f>IF(T$12=0,0,T53/T$12)</f>
        <v>0</v>
      </c>
      <c r="W53" s="15"/>
      <c r="X53" s="31">
        <f>P53-T53</f>
        <v>1452.6199999999953</v>
      </c>
      <c r="Y53" s="15"/>
      <c r="Z53" s="36">
        <f>IF(T53=0,0,X53/T53)</f>
        <v>-9.4322789100627483E-2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6" t="s">
        <v>5</v>
      </c>
      <c r="C56" s="26"/>
      <c r="D56" s="32">
        <f>SUM(D53:D55)</f>
        <v>-6888.33</v>
      </c>
      <c r="E56" s="13"/>
      <c r="F56" s="30">
        <f>IF(D$12=0,0,D56/D$12)</f>
        <v>0</v>
      </c>
      <c r="G56" s="13"/>
      <c r="H56" s="32">
        <f>SUM(H53:H55)</f>
        <v>-5778.49</v>
      </c>
      <c r="I56" s="13"/>
      <c r="J56" s="30">
        <f>IF(H$12=0,0,H56/H$12)</f>
        <v>0</v>
      </c>
      <c r="K56" s="15"/>
      <c r="L56" s="32">
        <f>+D56-H56</f>
        <v>-1109.8400000000001</v>
      </c>
      <c r="M56" s="15"/>
      <c r="N56" s="30">
        <f>IF(H56=0,0,L56/H56)</f>
        <v>0.19206401672409232</v>
      </c>
      <c r="O56" s="25"/>
      <c r="P56" s="32">
        <f>SUM(P53:P55)</f>
        <v>-13947.900000000001</v>
      </c>
      <c r="Q56" s="13"/>
      <c r="R56" s="30">
        <f>IF(P$12=0,0,P56/P$12)</f>
        <v>0</v>
      </c>
      <c r="S56" s="13"/>
      <c r="T56" s="32">
        <f>SUM(T53:T55)</f>
        <v>-15400.519999999997</v>
      </c>
      <c r="U56" s="13"/>
      <c r="V56" s="30">
        <f>IF(T$12=0,0,T56/T$12)</f>
        <v>0</v>
      </c>
      <c r="W56" s="15"/>
      <c r="X56" s="32">
        <f>+P56-T56</f>
        <v>1452.6199999999953</v>
      </c>
      <c r="Y56" s="15"/>
      <c r="Z56" s="30">
        <f>IF(T56=0,0,X56/T56)</f>
        <v>-9.4322789100627483E-2</v>
      </c>
    </row>
    <row r="57" spans="1:26" ht="15.75" thickTop="1" x14ac:dyDescent="0.25">
      <c r="A57" s="9"/>
      <c r="C57" s="9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A58" s="9"/>
      <c r="B58" s="57">
        <v>43732.709531944442</v>
      </c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60" t="s">
        <v>313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56"/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6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2831724.0500000003</v>
      </c>
      <c r="E12" s="4"/>
      <c r="F12" s="12"/>
      <c r="G12" s="4"/>
      <c r="H12" s="4">
        <f>SUM(OSRRefH13x_0)</f>
        <v>3165492.9999999995</v>
      </c>
      <c r="I12" s="4"/>
      <c r="J12" s="12"/>
      <c r="K12" s="4"/>
      <c r="L12" s="4">
        <f t="shared" ref="L12:L100" si="0">+D12-H12</f>
        <v>-333768.94999999925</v>
      </c>
      <c r="M12" s="4"/>
      <c r="N12" s="12">
        <f t="shared" ref="N12:N100" si="1">IF(H12=0,0,L12/H12)</f>
        <v>-0.10543980037232725</v>
      </c>
      <c r="O12" s="10"/>
      <c r="P12" s="4">
        <f>SUM(OSRRefP13x_0)</f>
        <v>3242487.370000001</v>
      </c>
      <c r="Q12" s="4"/>
      <c r="R12" s="12"/>
      <c r="S12" s="4"/>
      <c r="T12" s="4">
        <f>SUM(OSRRefT13x_0)</f>
        <v>3606184.8400000008</v>
      </c>
      <c r="U12" s="4"/>
      <c r="V12" s="12"/>
      <c r="W12" s="4"/>
      <c r="X12" s="4">
        <f t="shared" ref="X12:X100" si="2">+P12-T12</f>
        <v>-363697.46999999974</v>
      </c>
      <c r="Y12" s="4"/>
      <c r="Z12" s="12">
        <f t="shared" ref="Z12:Z100" si="3">IF(T12=0,0,X12/T12)</f>
        <v>-0.1008538070389092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--1090909.72</f>
        <v>1090909.72</v>
      </c>
      <c r="E13" s="2"/>
      <c r="F13" s="21"/>
      <c r="G13" s="2"/>
      <c r="H13" s="2">
        <f>--1329973.05</f>
        <v>1329973.05</v>
      </c>
      <c r="I13" s="2"/>
      <c r="J13" s="21"/>
      <c r="K13" s="2"/>
      <c r="L13" s="2">
        <f t="shared" si="0"/>
        <v>-239063.33000000007</v>
      </c>
      <c r="M13" s="2"/>
      <c r="N13" s="21">
        <f t="shared" si="1"/>
        <v>-0.17975050697455866</v>
      </c>
      <c r="O13" s="11"/>
      <c r="P13" s="2">
        <f>--1127221.97</f>
        <v>1127221.97</v>
      </c>
      <c r="Q13" s="2"/>
      <c r="R13" s="21"/>
      <c r="S13" s="2"/>
      <c r="T13" s="2">
        <f>--1403237.68</f>
        <v>1403237.68</v>
      </c>
      <c r="U13" s="2"/>
      <c r="V13" s="21"/>
      <c r="W13" s="2"/>
      <c r="X13" s="2">
        <f t="shared" si="2"/>
        <v>-276015.70999999996</v>
      </c>
      <c r="Y13" s="2"/>
      <c r="Z13" s="21">
        <f t="shared" si="3"/>
        <v>-0.1966991864129532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--533666.11</f>
        <v>533666.11</v>
      </c>
      <c r="E14" s="2"/>
      <c r="F14" s="21"/>
      <c r="G14" s="2"/>
      <c r="H14" s="2">
        <f>--590742.61</f>
        <v>590742.61</v>
      </c>
      <c r="I14" s="2"/>
      <c r="J14" s="21"/>
      <c r="K14" s="2"/>
      <c r="L14" s="2">
        <f t="shared" si="0"/>
        <v>-57076.5</v>
      </c>
      <c r="M14" s="2"/>
      <c r="N14" s="21">
        <f t="shared" si="1"/>
        <v>-9.661822092027525E-2</v>
      </c>
      <c r="O14" s="11"/>
      <c r="P14" s="2">
        <f>--555460.92</f>
        <v>555460.92000000004</v>
      </c>
      <c r="Q14" s="2"/>
      <c r="R14" s="21"/>
      <c r="S14" s="2"/>
      <c r="T14" s="2">
        <f>--617324.19</f>
        <v>617324.18999999994</v>
      </c>
      <c r="U14" s="2"/>
      <c r="V14" s="21"/>
      <c r="W14" s="2"/>
      <c r="X14" s="2">
        <f t="shared" si="2"/>
        <v>-61863.269999999902</v>
      </c>
      <c r="Y14" s="2"/>
      <c r="Z14" s="21">
        <f t="shared" si="3"/>
        <v>-0.10021196480248069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--12302.07</f>
        <v>12302.07</v>
      </c>
      <c r="E15" s="2"/>
      <c r="F15" s="21"/>
      <c r="G15" s="2"/>
      <c r="H15" s="2">
        <f>--5041.8</f>
        <v>5041.8</v>
      </c>
      <c r="I15" s="2"/>
      <c r="J15" s="21"/>
      <c r="K15" s="2"/>
      <c r="L15" s="2">
        <f t="shared" si="0"/>
        <v>7260.2699999999995</v>
      </c>
      <c r="M15" s="2"/>
      <c r="N15" s="21">
        <f t="shared" si="1"/>
        <v>1.4400154706652384</v>
      </c>
      <c r="O15" s="11"/>
      <c r="P15" s="2">
        <f>--12736.05</f>
        <v>12736.05</v>
      </c>
      <c r="Q15" s="2"/>
      <c r="R15" s="21"/>
      <c r="S15" s="2"/>
      <c r="T15" s="2">
        <f>--5525.8</f>
        <v>5525.8</v>
      </c>
      <c r="U15" s="2"/>
      <c r="V15" s="21"/>
      <c r="W15" s="2"/>
      <c r="X15" s="2">
        <f t="shared" si="2"/>
        <v>7210.2499999999991</v>
      </c>
      <c r="Y15" s="2"/>
      <c r="Z15" s="21">
        <f t="shared" si="3"/>
        <v>1.3048336892395669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--22276.72</f>
        <v>22276.720000000001</v>
      </c>
      <c r="E16" s="2"/>
      <c r="F16" s="21"/>
      <c r="G16" s="2"/>
      <c r="H16" s="2">
        <f>--37220.14</f>
        <v>37220.14</v>
      </c>
      <c r="I16" s="2"/>
      <c r="J16" s="21"/>
      <c r="K16" s="2"/>
      <c r="L16" s="2">
        <f t="shared" si="0"/>
        <v>-14943.419999999998</v>
      </c>
      <c r="M16" s="2"/>
      <c r="N16" s="21">
        <f t="shared" si="1"/>
        <v>-0.40148747425452991</v>
      </c>
      <c r="O16" s="11"/>
      <c r="P16" s="2">
        <f>--22410.07</f>
        <v>22410.07</v>
      </c>
      <c r="Q16" s="2"/>
      <c r="R16" s="21"/>
      <c r="S16" s="2"/>
      <c r="T16" s="2">
        <f>--37363.14</f>
        <v>37363.14</v>
      </c>
      <c r="U16" s="2"/>
      <c r="V16" s="21"/>
      <c r="W16" s="2"/>
      <c r="X16" s="2">
        <f t="shared" si="2"/>
        <v>-14953.07</v>
      </c>
      <c r="Y16" s="2"/>
      <c r="Z16" s="21">
        <f t="shared" si="3"/>
        <v>-0.40020913659826235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--70.86</f>
        <v>70.86</v>
      </c>
      <c r="E17" s="2"/>
      <c r="F17" s="21"/>
      <c r="G17" s="2"/>
      <c r="H17" s="2">
        <f>--1031.71</f>
        <v>1031.71</v>
      </c>
      <c r="I17" s="2"/>
      <c r="J17" s="21"/>
      <c r="K17" s="2"/>
      <c r="L17" s="2">
        <f t="shared" si="0"/>
        <v>-960.85</v>
      </c>
      <c r="M17" s="2"/>
      <c r="N17" s="21">
        <f t="shared" si="1"/>
        <v>-0.93131790910236401</v>
      </c>
      <c r="O17" s="11"/>
      <c r="P17" s="2">
        <f>--110.81</f>
        <v>110.81</v>
      </c>
      <c r="Q17" s="2"/>
      <c r="R17" s="21"/>
      <c r="S17" s="2"/>
      <c r="T17" s="2">
        <f>--1085.67</f>
        <v>1085.67</v>
      </c>
      <c r="U17" s="2"/>
      <c r="V17" s="21"/>
      <c r="W17" s="2"/>
      <c r="X17" s="2">
        <f t="shared" si="2"/>
        <v>-974.86000000000013</v>
      </c>
      <c r="Y17" s="2"/>
      <c r="Z17" s="21">
        <f t="shared" si="3"/>
        <v>-0.89793399467609869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--175</f>
        <v>175</v>
      </c>
      <c r="E18" s="2"/>
      <c r="F18" s="21"/>
      <c r="G18" s="2"/>
      <c r="H18" s="2">
        <f>--147.02</f>
        <v>147.02000000000001</v>
      </c>
      <c r="I18" s="2"/>
      <c r="J18" s="21"/>
      <c r="K18" s="2"/>
      <c r="L18" s="2">
        <f t="shared" si="0"/>
        <v>27.97999999999999</v>
      </c>
      <c r="M18" s="2"/>
      <c r="N18" s="21">
        <f t="shared" si="1"/>
        <v>0.19031424296014141</v>
      </c>
      <c r="O18" s="11"/>
      <c r="P18" s="2">
        <f>--425.65</f>
        <v>425.65</v>
      </c>
      <c r="Q18" s="2"/>
      <c r="R18" s="21"/>
      <c r="S18" s="2"/>
      <c r="T18" s="2">
        <f>--347.51</f>
        <v>347.51</v>
      </c>
      <c r="U18" s="2"/>
      <c r="V18" s="21"/>
      <c r="W18" s="2"/>
      <c r="X18" s="2">
        <f t="shared" si="2"/>
        <v>78.139999999999986</v>
      </c>
      <c r="Y18" s="2"/>
      <c r="Z18" s="21">
        <f t="shared" si="3"/>
        <v>0.22485683865212508</v>
      </c>
    </row>
    <row r="19" spans="1:26" s="24" customFormat="1" hidden="1" outlineLevel="1" x14ac:dyDescent="0.25">
      <c r="A19" s="50"/>
      <c r="B19" s="11" t="str">
        <f>CONCATENATE("          ", "4017", " - ", "TAXABLE SALES-DORM/HOUSEWARES")</f>
        <v xml:space="preserve">          4017 - TAXABLE SALES-DORM/HOUSEWARES</v>
      </c>
      <c r="C19" s="11"/>
      <c r="D19" s="2">
        <f>--152.83</f>
        <v>152.83000000000001</v>
      </c>
      <c r="E19" s="2"/>
      <c r="F19" s="21"/>
      <c r="G19" s="2"/>
      <c r="H19" s="2">
        <f>--335.74</f>
        <v>335.74</v>
      </c>
      <c r="I19" s="2"/>
      <c r="J19" s="21"/>
      <c r="K19" s="2"/>
      <c r="L19" s="2">
        <f t="shared" si="0"/>
        <v>-182.91</v>
      </c>
      <c r="M19" s="2"/>
      <c r="N19" s="21">
        <f t="shared" si="1"/>
        <v>-0.54479656877345561</v>
      </c>
      <c r="O19" s="11"/>
      <c r="P19" s="2">
        <f>--157.3</f>
        <v>157.30000000000001</v>
      </c>
      <c r="Q19" s="2"/>
      <c r="R19" s="21"/>
      <c r="S19" s="2"/>
      <c r="T19" s="2">
        <f>--600.35</f>
        <v>600.35</v>
      </c>
      <c r="U19" s="2"/>
      <c r="V19" s="21"/>
      <c r="W19" s="2"/>
      <c r="X19" s="2">
        <f t="shared" si="2"/>
        <v>-443.05</v>
      </c>
      <c r="Y19" s="2"/>
      <c r="Z19" s="21">
        <f t="shared" si="3"/>
        <v>-0.73798617473140671</v>
      </c>
    </row>
    <row r="20" spans="1:26" s="24" customFormat="1" hidden="1" outlineLevel="1" x14ac:dyDescent="0.25">
      <c r="A20" s="50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--1184.84</f>
        <v>1184.8399999999999</v>
      </c>
      <c r="E20" s="2"/>
      <c r="F20" s="21"/>
      <c r="G20" s="2"/>
      <c r="H20" s="2">
        <f>--1550.73</f>
        <v>1550.73</v>
      </c>
      <c r="I20" s="2"/>
      <c r="J20" s="21"/>
      <c r="K20" s="2"/>
      <c r="L20" s="2">
        <f t="shared" si="0"/>
        <v>-365.8900000000001</v>
      </c>
      <c r="M20" s="2"/>
      <c r="N20" s="21">
        <f t="shared" si="1"/>
        <v>-0.23594694111805414</v>
      </c>
      <c r="O20" s="11"/>
      <c r="P20" s="2">
        <f>--1364.13</f>
        <v>1364.13</v>
      </c>
      <c r="Q20" s="2"/>
      <c r="R20" s="21"/>
      <c r="S20" s="2"/>
      <c r="T20" s="2">
        <f>--2030.07</f>
        <v>2030.07</v>
      </c>
      <c r="U20" s="2"/>
      <c r="V20" s="21"/>
      <c r="W20" s="2"/>
      <c r="X20" s="2">
        <f t="shared" si="2"/>
        <v>-665.93999999999983</v>
      </c>
      <c r="Y20" s="2"/>
      <c r="Z20" s="21">
        <f t="shared" si="3"/>
        <v>-0.32803794943031511</v>
      </c>
    </row>
    <row r="21" spans="1:26" s="24" customFormat="1" hidden="1" outlineLevel="1" x14ac:dyDescent="0.25">
      <c r="A21" s="50"/>
      <c r="B21" s="11" t="str">
        <f>CONCATENATE("          ", "4019", " - ", "TAXABLE SALES-BOOK RELATED")</f>
        <v xml:space="preserve">          4019 - TAXABLE SALES-BOOK RELATED</v>
      </c>
      <c r="C21" s="11"/>
      <c r="D21" s="2">
        <f>--14.95</f>
        <v>14.95</v>
      </c>
      <c r="E21" s="2"/>
      <c r="F21" s="21"/>
      <c r="G21" s="2"/>
      <c r="H21" s="2">
        <f>0</f>
        <v>0</v>
      </c>
      <c r="I21" s="2"/>
      <c r="J21" s="21"/>
      <c r="K21" s="2"/>
      <c r="L21" s="2">
        <f t="shared" si="0"/>
        <v>14.95</v>
      </c>
      <c r="M21" s="2"/>
      <c r="N21" s="21">
        <f t="shared" si="1"/>
        <v>0</v>
      </c>
      <c r="O21" s="11"/>
      <c r="P21" s="2">
        <f>--14.95</f>
        <v>14.95</v>
      </c>
      <c r="Q21" s="2"/>
      <c r="R21" s="21"/>
      <c r="S21" s="2"/>
      <c r="T21" s="2">
        <f>--39.9</f>
        <v>39.9</v>
      </c>
      <c r="U21" s="2"/>
      <c r="V21" s="21"/>
      <c r="W21" s="2"/>
      <c r="X21" s="2">
        <f t="shared" si="2"/>
        <v>-24.95</v>
      </c>
      <c r="Y21" s="2"/>
      <c r="Z21" s="21">
        <f t="shared" si="3"/>
        <v>-0.62531328320802004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2">
        <f>--4066.24</f>
        <v>4066.24</v>
      </c>
      <c r="E22" s="2"/>
      <c r="F22" s="21"/>
      <c r="G22" s="2"/>
      <c r="H22" s="2">
        <f>--4267.77</f>
        <v>4267.7700000000004</v>
      </c>
      <c r="I22" s="2"/>
      <c r="J22" s="21"/>
      <c r="K22" s="2"/>
      <c r="L22" s="2">
        <f t="shared" si="0"/>
        <v>-201.53000000000065</v>
      </c>
      <c r="M22" s="2"/>
      <c r="N22" s="21">
        <f t="shared" si="1"/>
        <v>-4.7221382595594566E-2</v>
      </c>
      <c r="O22" s="11"/>
      <c r="P22" s="2">
        <f>--4458.53</f>
        <v>4458.53</v>
      </c>
      <c r="Q22" s="2"/>
      <c r="R22" s="21"/>
      <c r="S22" s="2"/>
      <c r="T22" s="2">
        <f>--4887.65</f>
        <v>4887.6499999999996</v>
      </c>
      <c r="U22" s="2"/>
      <c r="V22" s="21"/>
      <c r="W22" s="2"/>
      <c r="X22" s="2">
        <f t="shared" si="2"/>
        <v>-429.11999999999989</v>
      </c>
      <c r="Y22" s="2"/>
      <c r="Z22" s="21">
        <f t="shared" si="3"/>
        <v>-8.7796793960287653E-2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--10841.03</f>
        <v>10841.03</v>
      </c>
      <c r="E23" s="2"/>
      <c r="F23" s="21"/>
      <c r="G23" s="2"/>
      <c r="H23" s="2">
        <f>--10528.34</f>
        <v>10528.34</v>
      </c>
      <c r="I23" s="2"/>
      <c r="J23" s="21"/>
      <c r="K23" s="2"/>
      <c r="L23" s="2">
        <f t="shared" si="0"/>
        <v>312.69000000000051</v>
      </c>
      <c r="M23" s="2"/>
      <c r="N23" s="21">
        <f t="shared" si="1"/>
        <v>2.9699838721013998E-2</v>
      </c>
      <c r="O23" s="11"/>
      <c r="P23" s="2">
        <f>--12776.54</f>
        <v>12776.54</v>
      </c>
      <c r="Q23" s="2"/>
      <c r="R23" s="21"/>
      <c r="S23" s="2"/>
      <c r="T23" s="2">
        <f>--12602.86</f>
        <v>12602.86</v>
      </c>
      <c r="U23" s="2"/>
      <c r="V23" s="21"/>
      <c r="W23" s="2"/>
      <c r="X23" s="2">
        <f t="shared" si="2"/>
        <v>173.68000000000029</v>
      </c>
      <c r="Y23" s="2"/>
      <c r="Z23" s="21">
        <f t="shared" si="3"/>
        <v>1.3780998916119062E-2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--65949.25</f>
        <v>65949.25</v>
      </c>
      <c r="E24" s="2"/>
      <c r="F24" s="21"/>
      <c r="G24" s="2"/>
      <c r="H24" s="2">
        <f>--61380.88</f>
        <v>61380.88</v>
      </c>
      <c r="I24" s="2"/>
      <c r="J24" s="21"/>
      <c r="K24" s="2"/>
      <c r="L24" s="2">
        <f t="shared" si="0"/>
        <v>4568.3700000000026</v>
      </c>
      <c r="M24" s="2"/>
      <c r="N24" s="21">
        <f t="shared" si="1"/>
        <v>7.442659668613423E-2</v>
      </c>
      <c r="O24" s="11"/>
      <c r="P24" s="2">
        <f>--79099.25</f>
        <v>79099.25</v>
      </c>
      <c r="Q24" s="2"/>
      <c r="R24" s="21"/>
      <c r="S24" s="2"/>
      <c r="T24" s="2">
        <f>--73303.38</f>
        <v>73303.38</v>
      </c>
      <c r="U24" s="2"/>
      <c r="V24" s="21"/>
      <c r="W24" s="2"/>
      <c r="X24" s="2">
        <f t="shared" si="2"/>
        <v>5795.8699999999953</v>
      </c>
      <c r="Y24" s="2"/>
      <c r="Z24" s="21">
        <f t="shared" si="3"/>
        <v>7.90668861381289E-2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2">
        <f>--46631.39</f>
        <v>46631.39</v>
      </c>
      <c r="E25" s="2"/>
      <c r="F25" s="21"/>
      <c r="G25" s="2"/>
      <c r="H25" s="2">
        <f>--45686.16</f>
        <v>45686.16</v>
      </c>
      <c r="I25" s="2"/>
      <c r="J25" s="21"/>
      <c r="K25" s="2"/>
      <c r="L25" s="2">
        <f t="shared" si="0"/>
        <v>945.22999999999593</v>
      </c>
      <c r="M25" s="2"/>
      <c r="N25" s="21">
        <f t="shared" si="1"/>
        <v>2.0689635548270982E-2</v>
      </c>
      <c r="O25" s="11"/>
      <c r="P25" s="2">
        <f>--48915.55</f>
        <v>48915.55</v>
      </c>
      <c r="Q25" s="2"/>
      <c r="R25" s="21"/>
      <c r="S25" s="2"/>
      <c r="T25" s="2">
        <f>--47699.65</f>
        <v>47699.65</v>
      </c>
      <c r="U25" s="2"/>
      <c r="V25" s="21"/>
      <c r="W25" s="2"/>
      <c r="X25" s="2">
        <f t="shared" si="2"/>
        <v>1215.9000000000015</v>
      </c>
      <c r="Y25" s="2"/>
      <c r="Z25" s="21">
        <f t="shared" si="3"/>
        <v>2.5490753076804578E-2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2">
        <f>--30.82</f>
        <v>30.82</v>
      </c>
      <c r="E26" s="2"/>
      <c r="F26" s="21"/>
      <c r="G26" s="2"/>
      <c r="H26" s="2">
        <f>--43.71</f>
        <v>43.71</v>
      </c>
      <c r="I26" s="2"/>
      <c r="J26" s="21"/>
      <c r="K26" s="2"/>
      <c r="L26" s="2">
        <f t="shared" si="0"/>
        <v>-12.89</v>
      </c>
      <c r="M26" s="2"/>
      <c r="N26" s="21">
        <f t="shared" si="1"/>
        <v>-0.29489819263326472</v>
      </c>
      <c r="O26" s="11"/>
      <c r="P26" s="2">
        <f>--32.34</f>
        <v>32.340000000000003</v>
      </c>
      <c r="Q26" s="2"/>
      <c r="R26" s="21"/>
      <c r="S26" s="2"/>
      <c r="T26" s="2">
        <f>--44.94</f>
        <v>44.94</v>
      </c>
      <c r="U26" s="2"/>
      <c r="V26" s="21"/>
      <c r="W26" s="2"/>
      <c r="X26" s="2">
        <f t="shared" si="2"/>
        <v>-12.599999999999994</v>
      </c>
      <c r="Y26" s="2"/>
      <c r="Z26" s="21">
        <f t="shared" si="3"/>
        <v>-0.2803738317757008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2">
        <f>--17871.46</f>
        <v>17871.46</v>
      </c>
      <c r="E27" s="2"/>
      <c r="F27" s="21"/>
      <c r="G27" s="2"/>
      <c r="H27" s="2">
        <f>--18993.22</f>
        <v>18993.22</v>
      </c>
      <c r="I27" s="2"/>
      <c r="J27" s="21"/>
      <c r="K27" s="2"/>
      <c r="L27" s="2">
        <f t="shared" si="0"/>
        <v>-1121.760000000002</v>
      </c>
      <c r="M27" s="2"/>
      <c r="N27" s="21">
        <f t="shared" si="1"/>
        <v>-5.9061075478512963E-2</v>
      </c>
      <c r="O27" s="11"/>
      <c r="P27" s="2">
        <f>--24753.19</f>
        <v>24753.19</v>
      </c>
      <c r="Q27" s="2"/>
      <c r="R27" s="21"/>
      <c r="S27" s="2"/>
      <c r="T27" s="2">
        <f>--26215.18</f>
        <v>26215.18</v>
      </c>
      <c r="U27" s="2"/>
      <c r="V27" s="21"/>
      <c r="W27" s="2"/>
      <c r="X27" s="2">
        <f t="shared" si="2"/>
        <v>-1461.9900000000016</v>
      </c>
      <c r="Y27" s="2"/>
      <c r="Z27" s="21">
        <f t="shared" si="3"/>
        <v>-5.5768833172230803E-2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2">
        <f>--9.83</f>
        <v>9.83</v>
      </c>
      <c r="E28" s="2"/>
      <c r="F28" s="21"/>
      <c r="G28" s="2"/>
      <c r="H28" s="2">
        <f>--2.36</f>
        <v>2.36</v>
      </c>
      <c r="I28" s="2"/>
      <c r="J28" s="21"/>
      <c r="K28" s="2"/>
      <c r="L28" s="2">
        <f t="shared" si="0"/>
        <v>7.4700000000000006</v>
      </c>
      <c r="M28" s="2"/>
      <c r="N28" s="21">
        <f t="shared" si="1"/>
        <v>3.1652542372881358</v>
      </c>
      <c r="O28" s="11"/>
      <c r="P28" s="2">
        <f>--13</f>
        <v>13</v>
      </c>
      <c r="Q28" s="2"/>
      <c r="R28" s="21"/>
      <c r="S28" s="2"/>
      <c r="T28" s="2">
        <f>--3.04</f>
        <v>3.04</v>
      </c>
      <c r="U28" s="2"/>
      <c r="V28" s="21"/>
      <c r="W28" s="2"/>
      <c r="X28" s="2">
        <f t="shared" si="2"/>
        <v>9.9600000000000009</v>
      </c>
      <c r="Y28" s="2"/>
      <c r="Z28" s="21">
        <f t="shared" si="3"/>
        <v>3.2763157894736845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2">
        <f>--638.45</f>
        <v>638.45000000000005</v>
      </c>
      <c r="E29" s="2"/>
      <c r="F29" s="21"/>
      <c r="G29" s="2"/>
      <c r="H29" s="2">
        <f>--653.48</f>
        <v>653.48</v>
      </c>
      <c r="I29" s="2"/>
      <c r="J29" s="21"/>
      <c r="K29" s="2"/>
      <c r="L29" s="2">
        <f t="shared" si="0"/>
        <v>-15.029999999999973</v>
      </c>
      <c r="M29" s="2"/>
      <c r="N29" s="21">
        <f t="shared" si="1"/>
        <v>-2.2999938789251349E-2</v>
      </c>
      <c r="O29" s="11"/>
      <c r="P29" s="2">
        <f>--961.94</f>
        <v>961.94</v>
      </c>
      <c r="Q29" s="2"/>
      <c r="R29" s="21"/>
      <c r="S29" s="2"/>
      <c r="T29" s="2">
        <f>--895.79</f>
        <v>895.79</v>
      </c>
      <c r="U29" s="2"/>
      <c r="V29" s="21"/>
      <c r="W29" s="2"/>
      <c r="X29" s="2">
        <f t="shared" si="2"/>
        <v>66.150000000000091</v>
      </c>
      <c r="Y29" s="2"/>
      <c r="Z29" s="21">
        <f t="shared" si="3"/>
        <v>7.3845432523247739E-2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--92.48</f>
        <v>92.48</v>
      </c>
      <c r="E30" s="2"/>
      <c r="F30" s="21"/>
      <c r="G30" s="2"/>
      <c r="H30" s="2">
        <f>--97.58</f>
        <v>97.58</v>
      </c>
      <c r="I30" s="2"/>
      <c r="J30" s="21"/>
      <c r="K30" s="2"/>
      <c r="L30" s="2">
        <f t="shared" si="0"/>
        <v>-5.0999999999999943</v>
      </c>
      <c r="M30" s="2"/>
      <c r="N30" s="21">
        <f t="shared" si="1"/>
        <v>-5.2264808362369283E-2</v>
      </c>
      <c r="O30" s="11"/>
      <c r="P30" s="2">
        <f>--98.45</f>
        <v>98.45</v>
      </c>
      <c r="Q30" s="2"/>
      <c r="R30" s="21"/>
      <c r="S30" s="2"/>
      <c r="T30" s="2">
        <f>--145.63</f>
        <v>145.63</v>
      </c>
      <c r="U30" s="2"/>
      <c r="V30" s="21"/>
      <c r="W30" s="2"/>
      <c r="X30" s="2">
        <f t="shared" si="2"/>
        <v>-47.179999999999993</v>
      </c>
      <c r="Y30" s="2"/>
      <c r="Z30" s="21">
        <f t="shared" si="3"/>
        <v>-0.32397170912586687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2">
        <f>--36.88</f>
        <v>36.880000000000003</v>
      </c>
      <c r="E31" s="2"/>
      <c r="F31" s="21"/>
      <c r="G31" s="2"/>
      <c r="H31" s="2">
        <f>--27.96</f>
        <v>27.96</v>
      </c>
      <c r="I31" s="2"/>
      <c r="J31" s="21"/>
      <c r="K31" s="2"/>
      <c r="L31" s="2">
        <f t="shared" si="0"/>
        <v>8.9200000000000017</v>
      </c>
      <c r="M31" s="2"/>
      <c r="N31" s="21">
        <f t="shared" si="1"/>
        <v>0.31902718168812594</v>
      </c>
      <c r="O31" s="11"/>
      <c r="P31" s="2">
        <f>--42.17</f>
        <v>42.17</v>
      </c>
      <c r="Q31" s="2"/>
      <c r="R31" s="21"/>
      <c r="S31" s="2"/>
      <c r="T31" s="2">
        <f>--33.27</f>
        <v>33.270000000000003</v>
      </c>
      <c r="U31" s="2"/>
      <c r="V31" s="21"/>
      <c r="W31" s="2"/>
      <c r="X31" s="2">
        <f t="shared" si="2"/>
        <v>8.8999999999999986</v>
      </c>
      <c r="Y31" s="2"/>
      <c r="Z31" s="21">
        <f t="shared" si="3"/>
        <v>0.26750826570483915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2">
        <f>--219441.66</f>
        <v>219441.66</v>
      </c>
      <c r="E32" s="2"/>
      <c r="F32" s="21"/>
      <c r="G32" s="2"/>
      <c r="H32" s="2">
        <f>--183864.69</f>
        <v>183864.69</v>
      </c>
      <c r="I32" s="2"/>
      <c r="J32" s="21"/>
      <c r="K32" s="2"/>
      <c r="L32" s="2">
        <f t="shared" si="0"/>
        <v>35576.97</v>
      </c>
      <c r="M32" s="2"/>
      <c r="N32" s="21">
        <f t="shared" si="1"/>
        <v>0.19349539055051843</v>
      </c>
      <c r="O32" s="11"/>
      <c r="P32" s="2">
        <f>--389753.68</f>
        <v>389753.68</v>
      </c>
      <c r="Q32" s="2"/>
      <c r="R32" s="21"/>
      <c r="S32" s="2"/>
      <c r="T32" s="2">
        <f>--329836.35</f>
        <v>329836.34999999998</v>
      </c>
      <c r="U32" s="2"/>
      <c r="V32" s="21"/>
      <c r="W32" s="2"/>
      <c r="X32" s="2">
        <f t="shared" si="2"/>
        <v>59917.330000000016</v>
      </c>
      <c r="Y32" s="2"/>
      <c r="Z32" s="21">
        <f t="shared" si="3"/>
        <v>0.18165775239751478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2">
        <f>--120650.82</f>
        <v>120650.82</v>
      </c>
      <c r="E33" s="2"/>
      <c r="F33" s="21"/>
      <c r="G33" s="2"/>
      <c r="H33" s="2">
        <f>--114605.27</f>
        <v>114605.27</v>
      </c>
      <c r="I33" s="2"/>
      <c r="J33" s="21"/>
      <c r="K33" s="2"/>
      <c r="L33" s="2">
        <f t="shared" si="0"/>
        <v>6045.5500000000029</v>
      </c>
      <c r="M33" s="2"/>
      <c r="N33" s="21">
        <f t="shared" si="1"/>
        <v>5.2751064588914653E-2</v>
      </c>
      <c r="O33" s="11"/>
      <c r="P33" s="2">
        <f>--151692.41</f>
        <v>151692.41</v>
      </c>
      <c r="Q33" s="2"/>
      <c r="R33" s="21"/>
      <c r="S33" s="2"/>
      <c r="T33" s="2">
        <f>--149783.35</f>
        <v>149783.35</v>
      </c>
      <c r="U33" s="2"/>
      <c r="V33" s="21"/>
      <c r="W33" s="2"/>
      <c r="X33" s="2">
        <f t="shared" si="2"/>
        <v>1909.0599999999977</v>
      </c>
      <c r="Y33" s="2"/>
      <c r="Z33" s="21">
        <f t="shared" si="3"/>
        <v>1.2745475381609488E-2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--44445.92</f>
        <v>44445.919999999998</v>
      </c>
      <c r="E34" s="2"/>
      <c r="F34" s="21"/>
      <c r="G34" s="2"/>
      <c r="H34" s="2">
        <f>--29885.59</f>
        <v>29885.59</v>
      </c>
      <c r="I34" s="2"/>
      <c r="J34" s="21"/>
      <c r="K34" s="2"/>
      <c r="L34" s="2">
        <f t="shared" si="0"/>
        <v>14560.329999999998</v>
      </c>
      <c r="M34" s="2"/>
      <c r="N34" s="21">
        <f t="shared" si="1"/>
        <v>0.48720236073639495</v>
      </c>
      <c r="O34" s="11"/>
      <c r="P34" s="2">
        <f>--60038.97</f>
        <v>60038.97</v>
      </c>
      <c r="Q34" s="2"/>
      <c r="R34" s="21"/>
      <c r="S34" s="2"/>
      <c r="T34" s="2">
        <f>--43065.99</f>
        <v>43065.99</v>
      </c>
      <c r="U34" s="2"/>
      <c r="V34" s="21"/>
      <c r="W34" s="2"/>
      <c r="X34" s="2">
        <f t="shared" si="2"/>
        <v>16972.980000000003</v>
      </c>
      <c r="Y34" s="2"/>
      <c r="Z34" s="21">
        <f t="shared" si="3"/>
        <v>0.39411563509860109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2">
        <f>--129.05</f>
        <v>129.05000000000001</v>
      </c>
      <c r="E35" s="2"/>
      <c r="F35" s="21"/>
      <c r="G35" s="2"/>
      <c r="H35" s="2">
        <f>--203.26</f>
        <v>203.26</v>
      </c>
      <c r="I35" s="2"/>
      <c r="J35" s="21"/>
      <c r="K35" s="2"/>
      <c r="L35" s="2">
        <f t="shared" si="0"/>
        <v>-74.20999999999998</v>
      </c>
      <c r="M35" s="2"/>
      <c r="N35" s="21">
        <f t="shared" si="1"/>
        <v>-0.36509888812358549</v>
      </c>
      <c r="O35" s="11"/>
      <c r="P35" s="2">
        <f>--185.45</f>
        <v>185.45</v>
      </c>
      <c r="Q35" s="2"/>
      <c r="R35" s="21"/>
      <c r="S35" s="2"/>
      <c r="T35" s="2">
        <f>--413.48</f>
        <v>413.48</v>
      </c>
      <c r="U35" s="2"/>
      <c r="V35" s="21"/>
      <c r="W35" s="2"/>
      <c r="X35" s="2">
        <f t="shared" si="2"/>
        <v>-228.03000000000003</v>
      </c>
      <c r="Y35" s="2"/>
      <c r="Z35" s="21">
        <f t="shared" si="3"/>
        <v>-0.55148979394408437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2">
        <f>--19434.42</f>
        <v>19434.419999999998</v>
      </c>
      <c r="E36" s="2"/>
      <c r="F36" s="21"/>
      <c r="G36" s="2"/>
      <c r="H36" s="2">
        <f>--19647.94</f>
        <v>19647.939999999999</v>
      </c>
      <c r="I36" s="2"/>
      <c r="J36" s="21"/>
      <c r="K36" s="2"/>
      <c r="L36" s="2">
        <f t="shared" si="0"/>
        <v>-213.52000000000044</v>
      </c>
      <c r="M36" s="2"/>
      <c r="N36" s="21">
        <f t="shared" si="1"/>
        <v>-1.0867297029612288E-2</v>
      </c>
      <c r="O36" s="11"/>
      <c r="P36" s="2">
        <f>--21777.07</f>
        <v>21777.07</v>
      </c>
      <c r="Q36" s="2"/>
      <c r="R36" s="21"/>
      <c r="S36" s="2"/>
      <c r="T36" s="2">
        <f>--23405.78</f>
        <v>23405.78</v>
      </c>
      <c r="U36" s="2"/>
      <c r="V36" s="21"/>
      <c r="W36" s="2"/>
      <c r="X36" s="2">
        <f t="shared" si="2"/>
        <v>-1628.7099999999991</v>
      </c>
      <c r="Y36" s="2"/>
      <c r="Z36" s="21">
        <f t="shared" si="3"/>
        <v>-6.9585803164859239E-2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--6103.32</f>
        <v>6103.32</v>
      </c>
      <c r="E37" s="2"/>
      <c r="F37" s="21"/>
      <c r="G37" s="2"/>
      <c r="H37" s="2">
        <f>--17649.91</f>
        <v>17649.91</v>
      </c>
      <c r="I37" s="2"/>
      <c r="J37" s="21"/>
      <c r="K37" s="2"/>
      <c r="L37" s="2">
        <f t="shared" si="0"/>
        <v>-11546.59</v>
      </c>
      <c r="M37" s="2"/>
      <c r="N37" s="21">
        <f t="shared" si="1"/>
        <v>-0.65420106958052482</v>
      </c>
      <c r="O37" s="11"/>
      <c r="P37" s="2">
        <f>--25524.04</f>
        <v>25524.04</v>
      </c>
      <c r="Q37" s="2"/>
      <c r="R37" s="21"/>
      <c r="S37" s="2"/>
      <c r="T37" s="2">
        <f>--42959.48</f>
        <v>42959.48</v>
      </c>
      <c r="U37" s="2"/>
      <c r="V37" s="21"/>
      <c r="W37" s="2"/>
      <c r="X37" s="2">
        <f t="shared" si="2"/>
        <v>-17435.440000000002</v>
      </c>
      <c r="Y37" s="2"/>
      <c r="Z37" s="21">
        <f t="shared" si="3"/>
        <v>-0.40585779902363811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2">
        <f>--442.38</f>
        <v>442.38</v>
      </c>
      <c r="E38" s="2"/>
      <c r="F38" s="21"/>
      <c r="G38" s="2"/>
      <c r="H38" s="2">
        <f>--299.3</f>
        <v>299.3</v>
      </c>
      <c r="I38" s="2"/>
      <c r="J38" s="21"/>
      <c r="K38" s="2"/>
      <c r="L38" s="2">
        <f t="shared" si="0"/>
        <v>143.07999999999998</v>
      </c>
      <c r="M38" s="2"/>
      <c r="N38" s="21">
        <f t="shared" si="1"/>
        <v>0.4780487804878048</v>
      </c>
      <c r="O38" s="11"/>
      <c r="P38" s="2">
        <f>--482.38</f>
        <v>482.38</v>
      </c>
      <c r="Q38" s="2"/>
      <c r="R38" s="21"/>
      <c r="S38" s="2"/>
      <c r="T38" s="2">
        <f>--349.29</f>
        <v>349.29</v>
      </c>
      <c r="U38" s="2"/>
      <c r="V38" s="21"/>
      <c r="W38" s="2"/>
      <c r="X38" s="2">
        <f t="shared" si="2"/>
        <v>133.08999999999997</v>
      </c>
      <c r="Y38" s="2"/>
      <c r="Z38" s="21">
        <f t="shared" si="3"/>
        <v>0.38103008961035234</v>
      </c>
    </row>
    <row r="39" spans="1:26" s="24" customFormat="1" hidden="1" outlineLevel="1" x14ac:dyDescent="0.25">
      <c r="A39" s="50"/>
      <c r="B39" s="11" t="str">
        <f>CONCATENATE("          ", "4051", " - ", "TAXABLE SALES-FOOD")</f>
        <v xml:space="preserve">          4051 - TAXABLE SALES-FOOD</v>
      </c>
      <c r="C39" s="11"/>
      <c r="D39" s="2">
        <f>--7439.21</f>
        <v>7439.21</v>
      </c>
      <c r="E39" s="2"/>
      <c r="F39" s="21"/>
      <c r="G39" s="2"/>
      <c r="H39" s="2">
        <f>--9908.89</f>
        <v>9908.89</v>
      </c>
      <c r="I39" s="2"/>
      <c r="J39" s="21"/>
      <c r="K39" s="2"/>
      <c r="L39" s="2">
        <f t="shared" si="0"/>
        <v>-2469.6799999999994</v>
      </c>
      <c r="M39" s="2"/>
      <c r="N39" s="21">
        <f t="shared" si="1"/>
        <v>-0.24923881484202565</v>
      </c>
      <c r="O39" s="11"/>
      <c r="P39" s="2">
        <f>--11166.88</f>
        <v>11166.88</v>
      </c>
      <c r="Q39" s="2"/>
      <c r="R39" s="21"/>
      <c r="S39" s="2"/>
      <c r="T39" s="2">
        <f>--14103.72</f>
        <v>14103.72</v>
      </c>
      <c r="U39" s="2"/>
      <c r="V39" s="21"/>
      <c r="W39" s="2"/>
      <c r="X39" s="2">
        <f t="shared" si="2"/>
        <v>-2936.84</v>
      </c>
      <c r="Y39" s="2"/>
      <c r="Z39" s="21">
        <f t="shared" si="3"/>
        <v>-0.20823158712736783</v>
      </c>
    </row>
    <row r="40" spans="1:26" s="24" customFormat="1" hidden="1" outlineLevel="1" x14ac:dyDescent="0.25">
      <c r="A40" s="50"/>
      <c r="B40" s="11" t="str">
        <f>CONCATENATE("          ", "4081", " - ", "TAXABLE SALES-ELECTRONICS")</f>
        <v xml:space="preserve">          4081 - TAXABLE SALES-ELECTRONICS</v>
      </c>
      <c r="C40" s="11"/>
      <c r="D40" s="2">
        <f>--260.88</f>
        <v>260.88</v>
      </c>
      <c r="E40" s="2"/>
      <c r="F40" s="21"/>
      <c r="G40" s="2"/>
      <c r="H40" s="2">
        <f>--294.81</f>
        <v>294.81</v>
      </c>
      <c r="I40" s="2"/>
      <c r="J40" s="21"/>
      <c r="K40" s="2"/>
      <c r="L40" s="2">
        <f t="shared" si="0"/>
        <v>-33.930000000000007</v>
      </c>
      <c r="M40" s="2"/>
      <c r="N40" s="21">
        <f t="shared" si="1"/>
        <v>-0.11509107560801875</v>
      </c>
      <c r="O40" s="11"/>
      <c r="P40" s="2">
        <f>--268.86</f>
        <v>268.86</v>
      </c>
      <c r="Q40" s="2"/>
      <c r="R40" s="21"/>
      <c r="S40" s="2"/>
      <c r="T40" s="2">
        <f>--297.8</f>
        <v>297.8</v>
      </c>
      <c r="U40" s="2"/>
      <c r="V40" s="21"/>
      <c r="W40" s="2"/>
      <c r="X40" s="2">
        <f t="shared" si="2"/>
        <v>-28.939999999999998</v>
      </c>
      <c r="Y40" s="2"/>
      <c r="Z40" s="21">
        <f t="shared" si="3"/>
        <v>-9.7179314976494277E-2</v>
      </c>
    </row>
    <row r="41" spans="1:26" s="24" customFormat="1" hidden="1" outlineLevel="1" x14ac:dyDescent="0.25">
      <c r="A41" s="50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--19</f>
        <v>19</v>
      </c>
      <c r="E41" s="2"/>
      <c r="F41" s="21"/>
      <c r="G41" s="2"/>
      <c r="H41" s="2">
        <f>--29</f>
        <v>29</v>
      </c>
      <c r="I41" s="2"/>
      <c r="J41" s="21"/>
      <c r="K41" s="2"/>
      <c r="L41" s="2">
        <f t="shared" si="0"/>
        <v>-10</v>
      </c>
      <c r="M41" s="2"/>
      <c r="N41" s="21">
        <f t="shared" si="1"/>
        <v>-0.34482758620689657</v>
      </c>
      <c r="O41" s="11"/>
      <c r="P41" s="2">
        <f>--38</f>
        <v>38</v>
      </c>
      <c r="Q41" s="2"/>
      <c r="R41" s="21"/>
      <c r="S41" s="2"/>
      <c r="T41" s="2">
        <f>--29</f>
        <v>29</v>
      </c>
      <c r="U41" s="2"/>
      <c r="V41" s="21"/>
      <c r="W41" s="2"/>
      <c r="X41" s="2">
        <f t="shared" si="2"/>
        <v>9</v>
      </c>
      <c r="Y41" s="2"/>
      <c r="Z41" s="21">
        <f t="shared" si="3"/>
        <v>0.31034482758620691</v>
      </c>
    </row>
    <row r="42" spans="1:26" s="24" customFormat="1" hidden="1" outlineLevel="1" x14ac:dyDescent="0.25">
      <c r="A42" s="50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>--29.98</f>
        <v>29.98</v>
      </c>
      <c r="E42" s="2"/>
      <c r="F42" s="21"/>
      <c r="G42" s="2"/>
      <c r="H42" s="2">
        <f>--114.9</f>
        <v>114.9</v>
      </c>
      <c r="I42" s="2"/>
      <c r="J42" s="21"/>
      <c r="K42" s="2"/>
      <c r="L42" s="2">
        <f t="shared" si="0"/>
        <v>-84.92</v>
      </c>
      <c r="M42" s="2"/>
      <c r="N42" s="21">
        <f t="shared" si="1"/>
        <v>-0.73907745865970409</v>
      </c>
      <c r="O42" s="11"/>
      <c r="P42" s="2">
        <f>--29.98</f>
        <v>29.98</v>
      </c>
      <c r="Q42" s="2"/>
      <c r="R42" s="21"/>
      <c r="S42" s="2"/>
      <c r="T42" s="2">
        <f>--134.88</f>
        <v>134.88</v>
      </c>
      <c r="U42" s="2"/>
      <c r="V42" s="21"/>
      <c r="W42" s="2"/>
      <c r="X42" s="2">
        <f t="shared" si="2"/>
        <v>-104.89999999999999</v>
      </c>
      <c r="Y42" s="2"/>
      <c r="Z42" s="21">
        <f t="shared" si="3"/>
        <v>-0.77772835112692762</v>
      </c>
    </row>
    <row r="43" spans="1:26" s="24" customFormat="1" hidden="1" outlineLevel="1" x14ac:dyDescent="0.25">
      <c r="A43" s="50"/>
      <c r="B43" s="11" t="str">
        <f>CONCATENATE("          ", "4086", " - ", "TAXABLE SALES-COMPUTER SUPPLIE")</f>
        <v xml:space="preserve">          4086 - TAXABLE SALES-COMPUTER SUPPLIE</v>
      </c>
      <c r="C43" s="11"/>
      <c r="D43" s="2">
        <f>--93.96</f>
        <v>93.96</v>
      </c>
      <c r="E43" s="2"/>
      <c r="F43" s="21"/>
      <c r="G43" s="2"/>
      <c r="H43" s="2">
        <f>--144.93</f>
        <v>144.93</v>
      </c>
      <c r="I43" s="2"/>
      <c r="J43" s="21"/>
      <c r="K43" s="2"/>
      <c r="L43" s="2">
        <f t="shared" si="0"/>
        <v>-50.970000000000013</v>
      </c>
      <c r="M43" s="2"/>
      <c r="N43" s="21">
        <f t="shared" si="1"/>
        <v>-0.35168702132063762</v>
      </c>
      <c r="O43" s="11"/>
      <c r="P43" s="2">
        <f>--108.95</f>
        <v>108.95</v>
      </c>
      <c r="Q43" s="2"/>
      <c r="R43" s="21"/>
      <c r="S43" s="2"/>
      <c r="T43" s="2">
        <f>--169.91</f>
        <v>169.91</v>
      </c>
      <c r="U43" s="2"/>
      <c r="V43" s="21"/>
      <c r="W43" s="2"/>
      <c r="X43" s="2">
        <f t="shared" si="2"/>
        <v>-60.959999999999994</v>
      </c>
      <c r="Y43" s="2"/>
      <c r="Z43" s="21">
        <f t="shared" si="3"/>
        <v>-0.3587781766817727</v>
      </c>
    </row>
    <row r="44" spans="1:26" s="24" customFormat="1" hidden="1" outlineLevel="1" x14ac:dyDescent="0.25">
      <c r="A44" s="50"/>
      <c r="B44" s="11" t="str">
        <f>CONCATENATE("          ", "4092", " - ", "TAXABLE SALES-GRAD MERCH")</f>
        <v xml:space="preserve">          4092 - TAXABLE SALES-GRAD MERCH</v>
      </c>
      <c r="C44" s="11"/>
      <c r="D44" s="2">
        <f>--1694.1</f>
        <v>1694.1</v>
      </c>
      <c r="E44" s="2"/>
      <c r="F44" s="21"/>
      <c r="G44" s="2"/>
      <c r="H44" s="2">
        <f>--677.9</f>
        <v>677.9</v>
      </c>
      <c r="I44" s="2"/>
      <c r="J44" s="21"/>
      <c r="K44" s="2"/>
      <c r="L44" s="2">
        <f t="shared" si="0"/>
        <v>1016.1999999999999</v>
      </c>
      <c r="M44" s="2"/>
      <c r="N44" s="21">
        <f t="shared" si="1"/>
        <v>1.4990411565127599</v>
      </c>
      <c r="O44" s="11"/>
      <c r="P44" s="2">
        <f>--3822.73</f>
        <v>3822.73</v>
      </c>
      <c r="Q44" s="2"/>
      <c r="R44" s="21"/>
      <c r="S44" s="2"/>
      <c r="T44" s="2">
        <f>--4016.4</f>
        <v>4016.4</v>
      </c>
      <c r="U44" s="2"/>
      <c r="V44" s="21"/>
      <c r="W44" s="2"/>
      <c r="X44" s="2">
        <f t="shared" si="2"/>
        <v>-193.67000000000007</v>
      </c>
      <c r="Y44" s="2"/>
      <c r="Z44" s="21">
        <f t="shared" si="3"/>
        <v>-4.8219798824818264E-2</v>
      </c>
    </row>
    <row r="45" spans="1:26" s="24" customFormat="1" hidden="1" outlineLevel="1" x14ac:dyDescent="0.25">
      <c r="A45" s="50"/>
      <c r="B45" s="11" t="str">
        <f>CONCATENATE("          ", "4095", " - ", "TAXABLE SALES-CUSTOMER SERVICE")</f>
        <v xml:space="preserve">          4095 - TAXABLE SALES-CUSTOMER SERVICE</v>
      </c>
      <c r="C45" s="11"/>
      <c r="D45" s="2">
        <f>--127.49</f>
        <v>127.49</v>
      </c>
      <c r="E45" s="2"/>
      <c r="F45" s="21"/>
      <c r="G45" s="2"/>
      <c r="H45" s="2">
        <f>--326.7</f>
        <v>326.7</v>
      </c>
      <c r="I45" s="2"/>
      <c r="J45" s="21"/>
      <c r="K45" s="2"/>
      <c r="L45" s="2">
        <f t="shared" si="0"/>
        <v>-199.20999999999998</v>
      </c>
      <c r="M45" s="2"/>
      <c r="N45" s="21">
        <f t="shared" si="1"/>
        <v>-0.60976430976430973</v>
      </c>
      <c r="O45" s="11"/>
      <c r="P45" s="2">
        <f>--174.02</f>
        <v>174.02</v>
      </c>
      <c r="Q45" s="2"/>
      <c r="R45" s="21"/>
      <c r="S45" s="2"/>
      <c r="T45" s="2">
        <f>--513.81</f>
        <v>513.80999999999995</v>
      </c>
      <c r="U45" s="2"/>
      <c r="V45" s="21"/>
      <c r="W45" s="2"/>
      <c r="X45" s="2">
        <f t="shared" si="2"/>
        <v>-339.78999999999996</v>
      </c>
      <c r="Y45" s="2"/>
      <c r="Z45" s="21">
        <f t="shared" si="3"/>
        <v>-0.66131449368443584</v>
      </c>
    </row>
    <row r="46" spans="1:26" s="24" customFormat="1" hidden="1" outlineLevel="1" x14ac:dyDescent="0.25">
      <c r="A46" s="50"/>
      <c r="B46" s="11" t="str">
        <f>CONCATENATE("          ", "4100", " - ", "NON-TAXABLE SALES")</f>
        <v xml:space="preserve">          4100 - NON-TAXABLE SALES</v>
      </c>
      <c r="C46" s="11"/>
      <c r="D46" s="2">
        <f>--261252.23</f>
        <v>261252.23</v>
      </c>
      <c r="E46" s="2"/>
      <c r="F46" s="21"/>
      <c r="G46" s="2"/>
      <c r="H46" s="2">
        <f>--300198.31</f>
        <v>300198.31</v>
      </c>
      <c r="I46" s="2"/>
      <c r="J46" s="21"/>
      <c r="K46" s="2"/>
      <c r="L46" s="2">
        <f t="shared" si="0"/>
        <v>-38946.079999999987</v>
      </c>
      <c r="M46" s="2"/>
      <c r="N46" s="21">
        <f t="shared" si="1"/>
        <v>-0.12973450783250576</v>
      </c>
      <c r="O46" s="11"/>
      <c r="P46" s="2">
        <f>--265514.43</f>
        <v>265514.43</v>
      </c>
      <c r="Q46" s="2"/>
      <c r="R46" s="21"/>
      <c r="S46" s="2"/>
      <c r="T46" s="2">
        <f>--311059.16</f>
        <v>311059.15999999997</v>
      </c>
      <c r="U46" s="2"/>
      <c r="V46" s="21"/>
      <c r="W46" s="2"/>
      <c r="X46" s="2">
        <f t="shared" si="2"/>
        <v>-45544.729999999981</v>
      </c>
      <c r="Y46" s="2"/>
      <c r="Z46" s="21">
        <f t="shared" si="3"/>
        <v>-0.14641822475184457</v>
      </c>
    </row>
    <row r="47" spans="1:26" s="24" customFormat="1" hidden="1" outlineLevel="1" x14ac:dyDescent="0.25">
      <c r="A47" s="50"/>
      <c r="B47" s="11" t="str">
        <f>CONCATENATE("          ", "4101", " - ", "NON-TAXABLE SALES-NEW TEXT")</f>
        <v xml:space="preserve">          4101 - NON-TAXABLE SALES-NEW TEXT</v>
      </c>
      <c r="C47" s="11"/>
      <c r="D47" s="2">
        <f>--48156.44</f>
        <v>48156.44</v>
      </c>
      <c r="E47" s="2"/>
      <c r="F47" s="21"/>
      <c r="G47" s="2"/>
      <c r="H47" s="2">
        <f>--72613.98</f>
        <v>72613.98</v>
      </c>
      <c r="I47" s="2"/>
      <c r="J47" s="21"/>
      <c r="K47" s="2"/>
      <c r="L47" s="2">
        <f t="shared" si="0"/>
        <v>-24457.539999999994</v>
      </c>
      <c r="M47" s="2"/>
      <c r="N47" s="21">
        <f t="shared" si="1"/>
        <v>-0.33681585832370015</v>
      </c>
      <c r="O47" s="11"/>
      <c r="P47" s="2">
        <f>--55893.02</f>
        <v>55893.02</v>
      </c>
      <c r="Q47" s="2"/>
      <c r="R47" s="21"/>
      <c r="S47" s="2"/>
      <c r="T47" s="2">
        <f>--89447.21</f>
        <v>89447.21</v>
      </c>
      <c r="U47" s="2"/>
      <c r="V47" s="21"/>
      <c r="W47" s="2"/>
      <c r="X47" s="2">
        <f t="shared" si="2"/>
        <v>-33554.19000000001</v>
      </c>
      <c r="Y47" s="2"/>
      <c r="Z47" s="21">
        <f t="shared" si="3"/>
        <v>-0.3751284137314066</v>
      </c>
    </row>
    <row r="48" spans="1:26" s="24" customFormat="1" hidden="1" outlineLevel="1" x14ac:dyDescent="0.25">
      <c r="A48" s="50"/>
      <c r="B48" s="11" t="str">
        <f>CONCATENATE("          ", "4102", " - ", "NON-TAXABLE SALES-USED TEXT")</f>
        <v xml:space="preserve">          4102 - NON-TAXABLE SALES-USED TEXT</v>
      </c>
      <c r="C48" s="11"/>
      <c r="D48" s="2">
        <f>--27115.09</f>
        <v>27115.09</v>
      </c>
      <c r="E48" s="2"/>
      <c r="F48" s="21"/>
      <c r="G48" s="2"/>
      <c r="H48" s="2">
        <f>--38685.49</f>
        <v>38685.49</v>
      </c>
      <c r="I48" s="2"/>
      <c r="J48" s="21"/>
      <c r="K48" s="2"/>
      <c r="L48" s="2">
        <f t="shared" si="0"/>
        <v>-11570.399999999998</v>
      </c>
      <c r="M48" s="2"/>
      <c r="N48" s="21">
        <f t="shared" si="1"/>
        <v>-0.29908888319625776</v>
      </c>
      <c r="O48" s="11"/>
      <c r="P48" s="2">
        <f>--32474.33</f>
        <v>32474.33</v>
      </c>
      <c r="Q48" s="2"/>
      <c r="R48" s="21"/>
      <c r="S48" s="2"/>
      <c r="T48" s="2">
        <f>--41302.43</f>
        <v>41302.43</v>
      </c>
      <c r="U48" s="2"/>
      <c r="V48" s="21"/>
      <c r="W48" s="2"/>
      <c r="X48" s="2">
        <f t="shared" si="2"/>
        <v>-8828.0999999999985</v>
      </c>
      <c r="Y48" s="2"/>
      <c r="Z48" s="21">
        <f t="shared" si="3"/>
        <v>-0.21374287178744686</v>
      </c>
    </row>
    <row r="49" spans="1:26" s="24" customFormat="1" hidden="1" outlineLevel="1" x14ac:dyDescent="0.25">
      <c r="A49" s="50"/>
      <c r="B49" s="11" t="str">
        <f>CONCATENATE("          ", "4103", " - ", "NON-TAXABLE SALES-RENTAL TEXT")</f>
        <v xml:space="preserve">          4103 - NON-TAXABLE SALES-RENTAL TEXT</v>
      </c>
      <c r="C49" s="11"/>
      <c r="D49" s="2">
        <f>--474.97</f>
        <v>474.97</v>
      </c>
      <c r="E49" s="2"/>
      <c r="F49" s="21"/>
      <c r="G49" s="2"/>
      <c r="H49" s="2">
        <f>--169.95</f>
        <v>169.95</v>
      </c>
      <c r="I49" s="2"/>
      <c r="J49" s="21"/>
      <c r="K49" s="2"/>
      <c r="L49" s="2">
        <f t="shared" si="0"/>
        <v>305.02000000000004</v>
      </c>
      <c r="M49" s="2"/>
      <c r="N49" s="21">
        <f t="shared" si="1"/>
        <v>1.7947631656369525</v>
      </c>
      <c r="O49" s="11"/>
      <c r="P49" s="2">
        <f>--474.97</f>
        <v>474.97</v>
      </c>
      <c r="Q49" s="2"/>
      <c r="R49" s="21"/>
      <c r="S49" s="2"/>
      <c r="T49" s="2">
        <f>--169.95</f>
        <v>169.95</v>
      </c>
      <c r="U49" s="2"/>
      <c r="V49" s="21"/>
      <c r="W49" s="2"/>
      <c r="X49" s="2">
        <f t="shared" si="2"/>
        <v>305.02000000000004</v>
      </c>
      <c r="Y49" s="2"/>
      <c r="Z49" s="21">
        <f t="shared" si="3"/>
        <v>1.7947631656369525</v>
      </c>
    </row>
    <row r="50" spans="1:26" s="24" customFormat="1" hidden="1" outlineLevel="1" x14ac:dyDescent="0.25">
      <c r="A50" s="50"/>
      <c r="B50" s="11" t="str">
        <f>CONCATENATE("          ", "4104", " - ", "NON-TAXABLE SALES-DIGITAL TEXT")</f>
        <v xml:space="preserve">          4104 - NON-TAXABLE SALES-DIGITAL TEXT</v>
      </c>
      <c r="C50" s="11"/>
      <c r="D50" s="2">
        <f>--246443.9</f>
        <v>246443.9</v>
      </c>
      <c r="E50" s="2"/>
      <c r="F50" s="21"/>
      <c r="G50" s="2"/>
      <c r="H50" s="2">
        <f>--257792.9</f>
        <v>257792.9</v>
      </c>
      <c r="I50" s="2"/>
      <c r="J50" s="21"/>
      <c r="K50" s="2"/>
      <c r="L50" s="2">
        <f t="shared" si="0"/>
        <v>-11349</v>
      </c>
      <c r="M50" s="2"/>
      <c r="N50" s="21">
        <f t="shared" si="1"/>
        <v>-4.4023710505603532E-2</v>
      </c>
      <c r="O50" s="11"/>
      <c r="P50" s="2">
        <f>--259868.07</f>
        <v>259868.07</v>
      </c>
      <c r="Q50" s="2"/>
      <c r="R50" s="21"/>
      <c r="S50" s="2"/>
      <c r="T50" s="2">
        <f>--265140.56</f>
        <v>265140.56</v>
      </c>
      <c r="U50" s="2"/>
      <c r="V50" s="21"/>
      <c r="W50" s="2"/>
      <c r="X50" s="2">
        <f t="shared" si="2"/>
        <v>-5272.4899999999907</v>
      </c>
      <c r="Y50" s="2"/>
      <c r="Z50" s="21">
        <f t="shared" si="3"/>
        <v>-1.9885641035079622E-2</v>
      </c>
    </row>
    <row r="51" spans="1:26" s="24" customFormat="1" hidden="1" outlineLevel="1" x14ac:dyDescent="0.25">
      <c r="A51" s="50"/>
      <c r="B51" s="11" t="str">
        <f>CONCATENATE("          ", "4111", " - ", "NON-TAXABLE SALES-NO VALUE TEX")</f>
        <v xml:space="preserve">          4111 - NON-TAXABLE SALES-NO VALUE TEX</v>
      </c>
      <c r="C51" s="11"/>
      <c r="D51" s="2">
        <f>--3067.16</f>
        <v>3067.16</v>
      </c>
      <c r="E51" s="2"/>
      <c r="F51" s="21"/>
      <c r="G51" s="2"/>
      <c r="H51" s="2">
        <f>--3839.39</f>
        <v>3839.39</v>
      </c>
      <c r="I51" s="2"/>
      <c r="J51" s="21"/>
      <c r="K51" s="2"/>
      <c r="L51" s="2">
        <f t="shared" si="0"/>
        <v>-772.23</v>
      </c>
      <c r="M51" s="2"/>
      <c r="N51" s="21">
        <f t="shared" si="1"/>
        <v>-0.20113351339665939</v>
      </c>
      <c r="O51" s="11"/>
      <c r="P51" s="2">
        <f>--5748.11</f>
        <v>5748.11</v>
      </c>
      <c r="Q51" s="2"/>
      <c r="R51" s="21"/>
      <c r="S51" s="2"/>
      <c r="T51" s="2">
        <f>--6667.97</f>
        <v>6667.97</v>
      </c>
      <c r="U51" s="2"/>
      <c r="V51" s="21"/>
      <c r="W51" s="2"/>
      <c r="X51" s="2">
        <f t="shared" si="2"/>
        <v>-919.86000000000058</v>
      </c>
      <c r="Y51" s="2"/>
      <c r="Z51" s="21">
        <f t="shared" si="3"/>
        <v>-0.13795203037806117</v>
      </c>
    </row>
    <row r="52" spans="1:26" s="24" customFormat="1" hidden="1" outlineLevel="1" x14ac:dyDescent="0.25">
      <c r="A52" s="50"/>
      <c r="B52" s="11" t="str">
        <f>CONCATENATE("          ", "4113", " - ", "NON-TAXABLE SALES-TRADE BOOKS")</f>
        <v xml:space="preserve">          4113 - NON-TAXABLE SALES-TRADE BOOKS</v>
      </c>
      <c r="C52" s="11"/>
      <c r="D52" s="2">
        <f>--12.72</f>
        <v>12.72</v>
      </c>
      <c r="E52" s="2"/>
      <c r="F52" s="21"/>
      <c r="G52" s="2"/>
      <c r="H52" s="2">
        <f>--31.17</f>
        <v>31.17</v>
      </c>
      <c r="I52" s="2"/>
      <c r="J52" s="21"/>
      <c r="K52" s="2"/>
      <c r="L52" s="2">
        <f t="shared" si="0"/>
        <v>-18.450000000000003</v>
      </c>
      <c r="M52" s="2"/>
      <c r="N52" s="21">
        <f t="shared" si="1"/>
        <v>-0.59191530317613095</v>
      </c>
      <c r="O52" s="11"/>
      <c r="P52" s="2">
        <f>--1146.72</f>
        <v>1146.72</v>
      </c>
      <c r="Q52" s="2"/>
      <c r="R52" s="21"/>
      <c r="S52" s="2"/>
      <c r="T52" s="2">
        <f>--38.23</f>
        <v>38.229999999999997</v>
      </c>
      <c r="U52" s="2"/>
      <c r="V52" s="21"/>
      <c r="W52" s="2"/>
      <c r="X52" s="2">
        <f t="shared" si="2"/>
        <v>1108.49</v>
      </c>
      <c r="Y52" s="2"/>
      <c r="Z52" s="21">
        <f t="shared" si="3"/>
        <v>28.995291655767723</v>
      </c>
    </row>
    <row r="53" spans="1:26" s="24" customFormat="1" hidden="1" outlineLevel="1" x14ac:dyDescent="0.25">
      <c r="A53" s="50"/>
      <c r="B53" s="11" t="str">
        <f>CONCATENATE("          ", "4118", " - ", "NON-TAXABLE SALES-STUDY GUIDES")</f>
        <v xml:space="preserve">          4118 - NON-TAXABLE SALES-STUDY GUIDES</v>
      </c>
      <c r="C53" s="11"/>
      <c r="D53" s="2">
        <f>--7.02</f>
        <v>7.02</v>
      </c>
      <c r="E53" s="2"/>
      <c r="F53" s="21"/>
      <c r="G53" s="2"/>
      <c r="H53" s="2">
        <f>--75.48</f>
        <v>75.48</v>
      </c>
      <c r="I53" s="2"/>
      <c r="J53" s="21"/>
      <c r="K53" s="2"/>
      <c r="L53" s="2">
        <f t="shared" si="0"/>
        <v>-68.460000000000008</v>
      </c>
      <c r="M53" s="2"/>
      <c r="N53" s="21">
        <f t="shared" si="1"/>
        <v>-0.90699523052464237</v>
      </c>
      <c r="O53" s="11"/>
      <c r="P53" s="2">
        <f>--13.97</f>
        <v>13.97</v>
      </c>
      <c r="Q53" s="2"/>
      <c r="R53" s="21"/>
      <c r="S53" s="2"/>
      <c r="T53" s="2">
        <f>--111.41</f>
        <v>111.41</v>
      </c>
      <c r="U53" s="2"/>
      <c r="V53" s="21"/>
      <c r="W53" s="2"/>
      <c r="X53" s="2">
        <f t="shared" si="2"/>
        <v>-97.44</v>
      </c>
      <c r="Y53" s="2"/>
      <c r="Z53" s="21">
        <f t="shared" si="3"/>
        <v>-0.87460730634592943</v>
      </c>
    </row>
    <row r="54" spans="1:26" s="24" customFormat="1" hidden="1" outlineLevel="1" x14ac:dyDescent="0.25">
      <c r="A54" s="50"/>
      <c r="B54" s="11" t="str">
        <f>CONCATENATE("          ", "4125", " - ", "NON-TAXABLE SALES-TEST FORMS")</f>
        <v xml:space="preserve">          4125 - NON-TAXABLE SALES-TEST FORMS</v>
      </c>
      <c r="C54" s="11"/>
      <c r="D54" s="2">
        <f>--77.17</f>
        <v>77.17</v>
      </c>
      <c r="E54" s="2"/>
      <c r="F54" s="21"/>
      <c r="G54" s="2"/>
      <c r="H54" s="2">
        <f>--102.67</f>
        <v>102.67</v>
      </c>
      <c r="I54" s="2"/>
      <c r="J54" s="21"/>
      <c r="K54" s="2"/>
      <c r="L54" s="2">
        <f t="shared" si="0"/>
        <v>-25.5</v>
      </c>
      <c r="M54" s="2"/>
      <c r="N54" s="21">
        <f t="shared" si="1"/>
        <v>-0.24836855946235512</v>
      </c>
      <c r="O54" s="11"/>
      <c r="P54" s="2">
        <f>--82.15</f>
        <v>82.15</v>
      </c>
      <c r="Q54" s="2"/>
      <c r="R54" s="21"/>
      <c r="S54" s="2"/>
      <c r="T54" s="2">
        <f>--108.79</f>
        <v>108.79</v>
      </c>
      <c r="U54" s="2"/>
      <c r="V54" s="21"/>
      <c r="W54" s="2"/>
      <c r="X54" s="2">
        <f t="shared" si="2"/>
        <v>-26.64</v>
      </c>
      <c r="Y54" s="2"/>
      <c r="Z54" s="21">
        <f t="shared" si="3"/>
        <v>-0.24487544811103962</v>
      </c>
    </row>
    <row r="55" spans="1:26" s="24" customFormat="1" hidden="1" outlineLevel="1" x14ac:dyDescent="0.25">
      <c r="A55" s="50"/>
      <c r="B55" s="11" t="str">
        <f>CONCATENATE("          ", "4126", " - ", "NON-TAXABLE SALES-WRITING INST")</f>
        <v xml:space="preserve">          4126 - NON-TAXABLE SALES-WRITING INST</v>
      </c>
      <c r="C55" s="11"/>
      <c r="D55" s="2">
        <f>--844.09</f>
        <v>844.09</v>
      </c>
      <c r="E55" s="2"/>
      <c r="F55" s="21"/>
      <c r="G55" s="2"/>
      <c r="H55" s="2">
        <f>--916.07</f>
        <v>916.07</v>
      </c>
      <c r="I55" s="2"/>
      <c r="J55" s="21"/>
      <c r="K55" s="2"/>
      <c r="L55" s="2">
        <f t="shared" si="0"/>
        <v>-71.980000000000018</v>
      </c>
      <c r="M55" s="2"/>
      <c r="N55" s="21">
        <f t="shared" si="1"/>
        <v>-7.8574781403167898E-2</v>
      </c>
      <c r="O55" s="11"/>
      <c r="P55" s="2">
        <f>--1011.12</f>
        <v>1011.12</v>
      </c>
      <c r="Q55" s="2"/>
      <c r="R55" s="21"/>
      <c r="S55" s="2"/>
      <c r="T55" s="2">
        <f>--1180.97</f>
        <v>1180.97</v>
      </c>
      <c r="U55" s="2"/>
      <c r="V55" s="21"/>
      <c r="W55" s="2"/>
      <c r="X55" s="2">
        <f t="shared" si="2"/>
        <v>-169.85000000000002</v>
      </c>
      <c r="Y55" s="2"/>
      <c r="Z55" s="21">
        <f t="shared" si="3"/>
        <v>-0.14382245103601279</v>
      </c>
    </row>
    <row r="56" spans="1:26" s="24" customFormat="1" hidden="1" outlineLevel="1" x14ac:dyDescent="0.25">
      <c r="A56" s="50"/>
      <c r="B56" s="11" t="str">
        <f>CONCATENATE("          ", "4127", " - ", "NON-TAXABLE SALES-SCHOOL SUPPL")</f>
        <v xml:space="preserve">          4127 - NON-TAXABLE SALES-SCHOOL SUPPL</v>
      </c>
      <c r="C56" s="11"/>
      <c r="D56" s="2">
        <f>--1692.39</f>
        <v>1692.39</v>
      </c>
      <c r="E56" s="2"/>
      <c r="F56" s="21"/>
      <c r="G56" s="2"/>
      <c r="H56" s="2">
        <f>--1764.56</f>
        <v>1764.56</v>
      </c>
      <c r="I56" s="2"/>
      <c r="J56" s="21"/>
      <c r="K56" s="2"/>
      <c r="L56" s="2">
        <f t="shared" si="0"/>
        <v>-72.169999999999845</v>
      </c>
      <c r="M56" s="2"/>
      <c r="N56" s="21">
        <f t="shared" si="1"/>
        <v>-4.0899714376388362E-2</v>
      </c>
      <c r="O56" s="11"/>
      <c r="P56" s="2">
        <f>--1870.28</f>
        <v>1870.28</v>
      </c>
      <c r="Q56" s="2"/>
      <c r="R56" s="21"/>
      <c r="S56" s="2"/>
      <c r="T56" s="2">
        <f>--1899.72</f>
        <v>1899.72</v>
      </c>
      <c r="U56" s="2"/>
      <c r="V56" s="21"/>
      <c r="W56" s="2"/>
      <c r="X56" s="2">
        <f t="shared" si="2"/>
        <v>-29.440000000000055</v>
      </c>
      <c r="Y56" s="2"/>
      <c r="Z56" s="21">
        <f t="shared" si="3"/>
        <v>-1.5497020613564132E-2</v>
      </c>
    </row>
    <row r="57" spans="1:26" s="24" customFormat="1" hidden="1" outlineLevel="1" x14ac:dyDescent="0.25">
      <c r="A57" s="50"/>
      <c r="B57" s="11" t="str">
        <f>CONCATENATE("          ", "4128", " - ", "NON-TAXABLE SALES-ART/TECH")</f>
        <v xml:space="preserve">          4128 - NON-TAXABLE SALES-ART/TECH</v>
      </c>
      <c r="C57" s="11"/>
      <c r="D57" s="2">
        <f>--128.61</f>
        <v>128.61000000000001</v>
      </c>
      <c r="E57" s="2"/>
      <c r="F57" s="21"/>
      <c r="G57" s="2"/>
      <c r="H57" s="2">
        <f>--373.3</f>
        <v>373.3</v>
      </c>
      <c r="I57" s="2"/>
      <c r="J57" s="21"/>
      <c r="K57" s="2"/>
      <c r="L57" s="2">
        <f t="shared" si="0"/>
        <v>-244.69</v>
      </c>
      <c r="M57" s="2"/>
      <c r="N57" s="21">
        <f t="shared" si="1"/>
        <v>-0.65547816769354406</v>
      </c>
      <c r="O57" s="11"/>
      <c r="P57" s="2">
        <f>--130.1</f>
        <v>130.1</v>
      </c>
      <c r="Q57" s="2"/>
      <c r="R57" s="21"/>
      <c r="S57" s="2"/>
      <c r="T57" s="2">
        <f>--403.99</f>
        <v>403.99</v>
      </c>
      <c r="U57" s="2"/>
      <c r="V57" s="21"/>
      <c r="W57" s="2"/>
      <c r="X57" s="2">
        <f t="shared" si="2"/>
        <v>-273.89</v>
      </c>
      <c r="Y57" s="2"/>
      <c r="Z57" s="21">
        <f t="shared" si="3"/>
        <v>-0.67796232580014348</v>
      </c>
    </row>
    <row r="58" spans="1:26" s="24" customFormat="1" hidden="1" outlineLevel="1" x14ac:dyDescent="0.25">
      <c r="A58" s="50"/>
      <c r="B58" s="11" t="str">
        <f>CONCATENATE("          ", "4131", " - ", "NON-TAXABLE SALES-FOOD")</f>
        <v xml:space="preserve">          4131 - NON-TAXABLE SALES-FOOD</v>
      </c>
      <c r="C58" s="11"/>
      <c r="D58" s="2">
        <f>--2447.58</f>
        <v>2447.58</v>
      </c>
      <c r="E58" s="2"/>
      <c r="F58" s="21"/>
      <c r="G58" s="2"/>
      <c r="H58" s="2">
        <f>--2624.89</f>
        <v>2624.89</v>
      </c>
      <c r="I58" s="2"/>
      <c r="J58" s="21"/>
      <c r="K58" s="2"/>
      <c r="L58" s="2">
        <f t="shared" si="0"/>
        <v>-177.30999999999995</v>
      </c>
      <c r="M58" s="2"/>
      <c r="N58" s="21">
        <f t="shared" si="1"/>
        <v>-6.7549497312268308E-2</v>
      </c>
      <c r="O58" s="11"/>
      <c r="P58" s="2">
        <f>--2717.2</f>
        <v>2717.2</v>
      </c>
      <c r="Q58" s="2"/>
      <c r="R58" s="21"/>
      <c r="S58" s="2"/>
      <c r="T58" s="2">
        <f>--2954.45</f>
        <v>2954.45</v>
      </c>
      <c r="U58" s="2"/>
      <c r="V58" s="21"/>
      <c r="W58" s="2"/>
      <c r="X58" s="2">
        <f t="shared" si="2"/>
        <v>-237.25</v>
      </c>
      <c r="Y58" s="2"/>
      <c r="Z58" s="21">
        <f t="shared" si="3"/>
        <v>-8.030259439151112E-2</v>
      </c>
    </row>
    <row r="59" spans="1:26" s="24" customFormat="1" hidden="1" outlineLevel="1" x14ac:dyDescent="0.25">
      <c r="A59" s="50"/>
      <c r="B59" s="11" t="str">
        <f>CONCATENATE("          ", "4132", " - ", "NON-TAXABLE SALES-JUICE")</f>
        <v xml:space="preserve">          4132 - NON-TAXABLE SALES-JUICE</v>
      </c>
      <c r="C59" s="11"/>
      <c r="D59" s="2">
        <f>--62624.81</f>
        <v>62624.81</v>
      </c>
      <c r="E59" s="2"/>
      <c r="F59" s="21"/>
      <c r="G59" s="2"/>
      <c r="H59" s="2">
        <f>--64449.77</f>
        <v>64449.77</v>
      </c>
      <c r="I59" s="2"/>
      <c r="J59" s="21"/>
      <c r="K59" s="2"/>
      <c r="L59" s="2">
        <f t="shared" si="0"/>
        <v>-1824.9599999999991</v>
      </c>
      <c r="M59" s="2"/>
      <c r="N59" s="21">
        <f t="shared" si="1"/>
        <v>-2.8316004851530102E-2</v>
      </c>
      <c r="O59" s="11"/>
      <c r="P59" s="2">
        <f>--94757.75</f>
        <v>94757.75</v>
      </c>
      <c r="Q59" s="2"/>
      <c r="R59" s="21"/>
      <c r="S59" s="2"/>
      <c r="T59" s="2">
        <f>--93555.36</f>
        <v>93555.36</v>
      </c>
      <c r="U59" s="2"/>
      <c r="V59" s="21"/>
      <c r="W59" s="2"/>
      <c r="X59" s="2">
        <f t="shared" si="2"/>
        <v>1202.3899999999994</v>
      </c>
      <c r="Y59" s="2"/>
      <c r="Z59" s="21">
        <f t="shared" si="3"/>
        <v>1.285217650811241E-2</v>
      </c>
    </row>
    <row r="60" spans="1:26" s="24" customFormat="1" hidden="1" outlineLevel="1" x14ac:dyDescent="0.25">
      <c r="A60" s="50"/>
      <c r="B60" s="11" t="str">
        <f>CONCATENATE("          ", "4133", " - ", "NON-TAXABLE SALES-CANDY")</f>
        <v xml:space="preserve">          4133 - NON-TAXABLE SALES-CANDY</v>
      </c>
      <c r="C60" s="11"/>
      <c r="D60" s="2">
        <f>--900.13</f>
        <v>900.13</v>
      </c>
      <c r="E60" s="2"/>
      <c r="F60" s="21"/>
      <c r="G60" s="2"/>
      <c r="H60" s="2">
        <f>--824.26</f>
        <v>824.26</v>
      </c>
      <c r="I60" s="2"/>
      <c r="J60" s="21"/>
      <c r="K60" s="2"/>
      <c r="L60" s="2">
        <f t="shared" si="0"/>
        <v>75.87</v>
      </c>
      <c r="M60" s="2"/>
      <c r="N60" s="21">
        <f t="shared" si="1"/>
        <v>9.2046199014873958E-2</v>
      </c>
      <c r="O60" s="11"/>
      <c r="P60" s="2">
        <f>--1372.35</f>
        <v>1372.35</v>
      </c>
      <c r="Q60" s="2"/>
      <c r="R60" s="21"/>
      <c r="S60" s="2"/>
      <c r="T60" s="2">
        <f>--1192.81</f>
        <v>1192.81</v>
      </c>
      <c r="U60" s="2"/>
      <c r="V60" s="21"/>
      <c r="W60" s="2"/>
      <c r="X60" s="2">
        <f t="shared" si="2"/>
        <v>179.53999999999996</v>
      </c>
      <c r="Y60" s="2"/>
      <c r="Z60" s="21">
        <f t="shared" si="3"/>
        <v>0.15051852348655692</v>
      </c>
    </row>
    <row r="61" spans="1:26" s="24" customFormat="1" hidden="1" outlineLevel="1" x14ac:dyDescent="0.25">
      <c r="A61" s="50"/>
      <c r="B61" s="11" t="str">
        <f>CONCATENATE("          ", "4134", " - ", "NON-TAXABLE SALES-SODA")</f>
        <v xml:space="preserve">          4134 - NON-TAXABLE SALES-SODA</v>
      </c>
      <c r="C61" s="11"/>
      <c r="D61" s="2">
        <f>0</f>
        <v>0</v>
      </c>
      <c r="E61" s="2"/>
      <c r="F61" s="21"/>
      <c r="G61" s="2"/>
      <c r="H61" s="2">
        <f>--79.72</f>
        <v>79.72</v>
      </c>
      <c r="I61" s="2"/>
      <c r="J61" s="21"/>
      <c r="K61" s="2"/>
      <c r="L61" s="2">
        <f t="shared" si="0"/>
        <v>-79.72</v>
      </c>
      <c r="M61" s="2"/>
      <c r="N61" s="21">
        <f t="shared" si="1"/>
        <v>-1</v>
      </c>
      <c r="O61" s="11"/>
      <c r="P61" s="2">
        <f>-3.39</f>
        <v>-3.39</v>
      </c>
      <c r="Q61" s="2"/>
      <c r="R61" s="21"/>
      <c r="S61" s="2"/>
      <c r="T61" s="2">
        <f>--102.47</f>
        <v>102.47</v>
      </c>
      <c r="U61" s="2"/>
      <c r="V61" s="21"/>
      <c r="W61" s="2"/>
      <c r="X61" s="2">
        <f t="shared" si="2"/>
        <v>-105.86</v>
      </c>
      <c r="Y61" s="2"/>
      <c r="Z61" s="21">
        <f t="shared" si="3"/>
        <v>-1.0330828535181029</v>
      </c>
    </row>
    <row r="62" spans="1:26" s="24" customFormat="1" hidden="1" outlineLevel="1" x14ac:dyDescent="0.25">
      <c r="A62" s="50"/>
      <c r="B62" s="11" t="str">
        <f>CONCATENATE("          ", "4135", " - ", "NON-TAXABLE SALES")</f>
        <v xml:space="preserve">          4135 - NON-TAXABLE SALES</v>
      </c>
      <c r="C62" s="11"/>
      <c r="D62" s="2">
        <f>--32.21</f>
        <v>32.21</v>
      </c>
      <c r="E62" s="2"/>
      <c r="F62" s="21"/>
      <c r="G62" s="2"/>
      <c r="H62" s="2">
        <f>--9.41</f>
        <v>9.41</v>
      </c>
      <c r="I62" s="2"/>
      <c r="J62" s="21"/>
      <c r="K62" s="2"/>
      <c r="L62" s="2">
        <f t="shared" si="0"/>
        <v>22.8</v>
      </c>
      <c r="M62" s="2"/>
      <c r="N62" s="21">
        <f t="shared" si="1"/>
        <v>2.4229543039319874</v>
      </c>
      <c r="O62" s="11"/>
      <c r="P62" s="2">
        <f>--53.75</f>
        <v>53.75</v>
      </c>
      <c r="Q62" s="2"/>
      <c r="R62" s="21"/>
      <c r="S62" s="2"/>
      <c r="T62" s="2">
        <f>--16.59</f>
        <v>16.59</v>
      </c>
      <c r="U62" s="2"/>
      <c r="V62" s="21"/>
      <c r="W62" s="2"/>
      <c r="X62" s="2">
        <f t="shared" si="2"/>
        <v>37.159999999999997</v>
      </c>
      <c r="Y62" s="2"/>
      <c r="Z62" s="21">
        <f t="shared" si="3"/>
        <v>2.2399035563592524</v>
      </c>
    </row>
    <row r="63" spans="1:26" s="24" customFormat="1" hidden="1" outlineLevel="1" x14ac:dyDescent="0.25">
      <c r="A63" s="50"/>
      <c r="B63" s="11" t="str">
        <f>CONCATENATE("          ", "4137", " - ", "NON-TAXABLE SALES-WATER")</f>
        <v xml:space="preserve">          4137 - NON-TAXABLE SALES-WATER</v>
      </c>
      <c r="C63" s="11"/>
      <c r="D63" s="2">
        <f>--726.72</f>
        <v>726.72</v>
      </c>
      <c r="E63" s="2"/>
      <c r="F63" s="21"/>
      <c r="G63" s="2"/>
      <c r="H63" s="2">
        <f>--754.63</f>
        <v>754.63</v>
      </c>
      <c r="I63" s="2"/>
      <c r="J63" s="21"/>
      <c r="K63" s="2"/>
      <c r="L63" s="2">
        <f t="shared" si="0"/>
        <v>-27.909999999999968</v>
      </c>
      <c r="M63" s="2"/>
      <c r="N63" s="21">
        <f t="shared" si="1"/>
        <v>-3.6985012522693199E-2</v>
      </c>
      <c r="O63" s="11"/>
      <c r="P63" s="2">
        <f>--990.24</f>
        <v>990.24</v>
      </c>
      <c r="Q63" s="2"/>
      <c r="R63" s="21"/>
      <c r="S63" s="2"/>
      <c r="T63" s="2">
        <f>--999.69</f>
        <v>999.69</v>
      </c>
      <c r="U63" s="2"/>
      <c r="V63" s="21"/>
      <c r="W63" s="2"/>
      <c r="X63" s="2">
        <f t="shared" si="2"/>
        <v>-9.4500000000000455</v>
      </c>
      <c r="Y63" s="2"/>
      <c r="Z63" s="21">
        <f t="shared" si="3"/>
        <v>-9.4529304084266571E-3</v>
      </c>
    </row>
    <row r="64" spans="1:26" s="24" customFormat="1" hidden="1" outlineLevel="1" x14ac:dyDescent="0.25">
      <c r="A64" s="50"/>
      <c r="B64" s="11" t="str">
        <f>CONCATENATE("          ", "4140", " - ", "NON-TAXABLE SALES-LOGO CLOTHIN")</f>
        <v xml:space="preserve">          4140 - NON-TAXABLE SALES-LOGO CLOTHIN</v>
      </c>
      <c r="C64" s="11"/>
      <c r="D64" s="2">
        <f>--1979.29</f>
        <v>1979.29</v>
      </c>
      <c r="E64" s="2"/>
      <c r="F64" s="21"/>
      <c r="G64" s="2"/>
      <c r="H64" s="2">
        <f>--3444.26</f>
        <v>3444.26</v>
      </c>
      <c r="I64" s="2"/>
      <c r="J64" s="21"/>
      <c r="K64" s="2"/>
      <c r="L64" s="2">
        <f t="shared" si="0"/>
        <v>-1464.9700000000003</v>
      </c>
      <c r="M64" s="2"/>
      <c r="N64" s="21">
        <f t="shared" si="1"/>
        <v>-0.42533664705916513</v>
      </c>
      <c r="O64" s="11"/>
      <c r="P64" s="2">
        <f>--5142.96</f>
        <v>5142.96</v>
      </c>
      <c r="Q64" s="2"/>
      <c r="R64" s="21"/>
      <c r="S64" s="2"/>
      <c r="T64" s="2">
        <f>--5257.81</f>
        <v>5257.81</v>
      </c>
      <c r="U64" s="2"/>
      <c r="V64" s="21"/>
      <c r="W64" s="2"/>
      <c r="X64" s="2">
        <f t="shared" si="2"/>
        <v>-114.85000000000036</v>
      </c>
      <c r="Y64" s="2"/>
      <c r="Z64" s="21">
        <f t="shared" si="3"/>
        <v>-2.1843695378874543E-2</v>
      </c>
    </row>
    <row r="65" spans="1:26" s="24" customFormat="1" hidden="1" outlineLevel="1" x14ac:dyDescent="0.25">
      <c r="A65" s="50"/>
      <c r="B65" s="11" t="str">
        <f>CONCATENATE("          ", "4141", " - ", "NON-TAXABLE SALES-LOGO GIFTS")</f>
        <v xml:space="preserve">          4141 - NON-TAXABLE SALES-LOGO GIFTS</v>
      </c>
      <c r="C65" s="11"/>
      <c r="D65" s="2">
        <f>--432.15</f>
        <v>432.15</v>
      </c>
      <c r="E65" s="2"/>
      <c r="F65" s="21"/>
      <c r="G65" s="2"/>
      <c r="H65" s="2">
        <f>--926.4</f>
        <v>926.4</v>
      </c>
      <c r="I65" s="2"/>
      <c r="J65" s="21"/>
      <c r="K65" s="2"/>
      <c r="L65" s="2">
        <f t="shared" si="0"/>
        <v>-494.25</v>
      </c>
      <c r="M65" s="2"/>
      <c r="N65" s="21">
        <f t="shared" si="1"/>
        <v>-0.53351683937823835</v>
      </c>
      <c r="O65" s="11"/>
      <c r="P65" s="2">
        <f>--694.3</f>
        <v>694.3</v>
      </c>
      <c r="Q65" s="2"/>
      <c r="R65" s="21"/>
      <c r="S65" s="2"/>
      <c r="T65" s="2">
        <f>--1120</f>
        <v>1120</v>
      </c>
      <c r="U65" s="2"/>
      <c r="V65" s="21"/>
      <c r="W65" s="2"/>
      <c r="X65" s="2">
        <f t="shared" si="2"/>
        <v>-425.70000000000005</v>
      </c>
      <c r="Y65" s="2"/>
      <c r="Z65" s="21">
        <f t="shared" si="3"/>
        <v>-0.38008928571428574</v>
      </c>
    </row>
    <row r="66" spans="1:26" s="24" customFormat="1" hidden="1" outlineLevel="1" x14ac:dyDescent="0.25">
      <c r="A66" s="50"/>
      <c r="B66" s="11" t="str">
        <f>CONCATENATE("          ", "4142", " - ", "NON-TAXABLE SALES-EVERYDAY GIF")</f>
        <v xml:space="preserve">          4142 - NON-TAXABLE SALES-EVERYDAY GIF</v>
      </c>
      <c r="C66" s="11"/>
      <c r="D66" s="2">
        <f>--577.66</f>
        <v>577.66</v>
      </c>
      <c r="E66" s="2"/>
      <c r="F66" s="21"/>
      <c r="G66" s="2"/>
      <c r="H66" s="2">
        <f>--510.04</f>
        <v>510.04</v>
      </c>
      <c r="I66" s="2"/>
      <c r="J66" s="21"/>
      <c r="K66" s="2"/>
      <c r="L66" s="2">
        <f t="shared" si="0"/>
        <v>67.619999999999948</v>
      </c>
      <c r="M66" s="2"/>
      <c r="N66" s="21">
        <f t="shared" si="1"/>
        <v>0.13257783703238951</v>
      </c>
      <c r="O66" s="11"/>
      <c r="P66" s="2">
        <f>--920.1</f>
        <v>920.1</v>
      </c>
      <c r="Q66" s="2"/>
      <c r="R66" s="21"/>
      <c r="S66" s="2"/>
      <c r="T66" s="2">
        <f>--658.99</f>
        <v>658.99</v>
      </c>
      <c r="U66" s="2"/>
      <c r="V66" s="21"/>
      <c r="W66" s="2"/>
      <c r="X66" s="2">
        <f t="shared" si="2"/>
        <v>261.11</v>
      </c>
      <c r="Y66" s="2"/>
      <c r="Z66" s="21">
        <f t="shared" si="3"/>
        <v>0.39622756035751683</v>
      </c>
    </row>
    <row r="67" spans="1:26" s="24" customFormat="1" hidden="1" outlineLevel="1" x14ac:dyDescent="0.25">
      <c r="A67" s="50"/>
      <c r="B67" s="11" t="str">
        <f>CONCATENATE("          ", "4144", " - ", "NON-TAXABLE SALES-ACCESSORIES")</f>
        <v xml:space="preserve">          4144 - NON-TAXABLE SALES-ACCESSORIES</v>
      </c>
      <c r="C67" s="11"/>
      <c r="D67" s="2">
        <f>--117.86</f>
        <v>117.86</v>
      </c>
      <c r="E67" s="2"/>
      <c r="F67" s="21"/>
      <c r="G67" s="2"/>
      <c r="H67" s="2">
        <f>--39.95</f>
        <v>39.950000000000003</v>
      </c>
      <c r="I67" s="2"/>
      <c r="J67" s="21"/>
      <c r="K67" s="2"/>
      <c r="L67" s="2">
        <f t="shared" si="0"/>
        <v>77.91</v>
      </c>
      <c r="M67" s="2"/>
      <c r="N67" s="21">
        <f t="shared" si="1"/>
        <v>1.9501877346683352</v>
      </c>
      <c r="O67" s="11"/>
      <c r="P67" s="2">
        <f>--139.76</f>
        <v>139.76</v>
      </c>
      <c r="Q67" s="2"/>
      <c r="R67" s="21"/>
      <c r="S67" s="2"/>
      <c r="T67" s="2">
        <f>--84.9</f>
        <v>84.9</v>
      </c>
      <c r="U67" s="2"/>
      <c r="V67" s="21"/>
      <c r="W67" s="2"/>
      <c r="X67" s="2">
        <f t="shared" si="2"/>
        <v>54.859999999999985</v>
      </c>
      <c r="Y67" s="2"/>
      <c r="Z67" s="21">
        <f t="shared" si="3"/>
        <v>0.64617196702002333</v>
      </c>
    </row>
    <row r="68" spans="1:26" s="24" customFormat="1" hidden="1" outlineLevel="1" x14ac:dyDescent="0.25">
      <c r="A68" s="50"/>
      <c r="B68" s="11" t="str">
        <f>CONCATENATE("          ", "4145", " - ", "NON-TAXABLE SALES-SPECIAL ORDE")</f>
        <v xml:space="preserve">          4145 - NON-TAXABLE SALES-SPECIAL ORDE</v>
      </c>
      <c r="C68" s="11"/>
      <c r="D68" s="2">
        <f>--90</f>
        <v>90</v>
      </c>
      <c r="E68" s="2"/>
      <c r="F68" s="21"/>
      <c r="G68" s="2"/>
      <c r="H68" s="2">
        <f>--141.9</f>
        <v>141.9</v>
      </c>
      <c r="I68" s="2"/>
      <c r="J68" s="21"/>
      <c r="K68" s="2"/>
      <c r="L68" s="2">
        <f t="shared" si="0"/>
        <v>-51.900000000000006</v>
      </c>
      <c r="M68" s="2"/>
      <c r="N68" s="21">
        <f t="shared" si="1"/>
        <v>-0.36575052854122625</v>
      </c>
      <c r="O68" s="11"/>
      <c r="P68" s="2">
        <f>--90</f>
        <v>90</v>
      </c>
      <c r="Q68" s="2"/>
      <c r="R68" s="21"/>
      <c r="S68" s="2"/>
      <c r="T68" s="2">
        <f>--201.75</f>
        <v>201.75</v>
      </c>
      <c r="U68" s="2"/>
      <c r="V68" s="21"/>
      <c r="W68" s="2"/>
      <c r="X68" s="2">
        <f t="shared" si="2"/>
        <v>-111.75</v>
      </c>
      <c r="Y68" s="2"/>
      <c r="Z68" s="21">
        <f t="shared" si="3"/>
        <v>-0.55390334572490707</v>
      </c>
    </row>
    <row r="69" spans="1:26" s="24" customFormat="1" hidden="1" outlineLevel="1" x14ac:dyDescent="0.25">
      <c r="A69" s="50"/>
      <c r="B69" s="11" t="str">
        <f>CONCATENATE("          ", "4146", " - ", "NON-TAXABLE SALES-COIN OP MACH")</f>
        <v xml:space="preserve">          4146 - NON-TAXABLE SALES-COIN OP MACH</v>
      </c>
      <c r="C69" s="11"/>
      <c r="D69" s="2">
        <f>--13281.65</f>
        <v>13281.65</v>
      </c>
      <c r="E69" s="2"/>
      <c r="F69" s="21"/>
      <c r="G69" s="2"/>
      <c r="H69" s="2">
        <f>--12322.4</f>
        <v>12322.4</v>
      </c>
      <c r="I69" s="2"/>
      <c r="J69" s="21"/>
      <c r="K69" s="2"/>
      <c r="L69" s="2">
        <f t="shared" si="0"/>
        <v>959.25</v>
      </c>
      <c r="M69" s="2"/>
      <c r="N69" s="21">
        <f t="shared" si="1"/>
        <v>7.7846036486398762E-2</v>
      </c>
      <c r="O69" s="11"/>
      <c r="P69" s="2">
        <f>--15348.75</f>
        <v>15348.75</v>
      </c>
      <c r="Q69" s="2"/>
      <c r="R69" s="21"/>
      <c r="S69" s="2"/>
      <c r="T69" s="2">
        <f>--14703.05</f>
        <v>14703.05</v>
      </c>
      <c r="U69" s="2"/>
      <c r="V69" s="21"/>
      <c r="W69" s="2"/>
      <c r="X69" s="2">
        <f t="shared" si="2"/>
        <v>645.70000000000073</v>
      </c>
      <c r="Y69" s="2"/>
      <c r="Z69" s="21">
        <f t="shared" si="3"/>
        <v>4.3916058232815691E-2</v>
      </c>
    </row>
    <row r="70" spans="1:26" s="24" customFormat="1" hidden="1" outlineLevel="1" x14ac:dyDescent="0.25">
      <c r="A70" s="50"/>
      <c r="B70" s="11" t="str">
        <f>CONCATENATE("          ", "4147", " - ", "NON-TAXABLE SALES-MISC")</f>
        <v xml:space="preserve">          4147 - NON-TAXABLE SALES-MISC</v>
      </c>
      <c r="C70" s="11"/>
      <c r="D70" s="2">
        <f>--53.9</f>
        <v>53.9</v>
      </c>
      <c r="E70" s="2"/>
      <c r="F70" s="21"/>
      <c r="G70" s="2"/>
      <c r="H70" s="2">
        <f>--80</f>
        <v>80</v>
      </c>
      <c r="I70" s="2"/>
      <c r="J70" s="21"/>
      <c r="K70" s="2"/>
      <c r="L70" s="2">
        <f t="shared" si="0"/>
        <v>-26.1</v>
      </c>
      <c r="M70" s="2"/>
      <c r="N70" s="21">
        <f t="shared" si="1"/>
        <v>-0.32625000000000004</v>
      </c>
      <c r="O70" s="11"/>
      <c r="P70" s="2">
        <f>--70.4</f>
        <v>70.400000000000006</v>
      </c>
      <c r="Q70" s="2"/>
      <c r="R70" s="21"/>
      <c r="S70" s="2"/>
      <c r="T70" s="2">
        <f>--98</f>
        <v>98</v>
      </c>
      <c r="U70" s="2"/>
      <c r="V70" s="21"/>
      <c r="W70" s="2"/>
      <c r="X70" s="2">
        <f t="shared" si="2"/>
        <v>-27.599999999999994</v>
      </c>
      <c r="Y70" s="2"/>
      <c r="Z70" s="21">
        <f t="shared" si="3"/>
        <v>-0.28163265306122442</v>
      </c>
    </row>
    <row r="71" spans="1:26" s="24" customFormat="1" hidden="1" outlineLevel="1" x14ac:dyDescent="0.25">
      <c r="A71" s="50"/>
      <c r="B71" s="11" t="str">
        <f>CONCATENATE("          ", "4151", " - ", "NON-TAXABLE SALES-FOOD")</f>
        <v xml:space="preserve">          4151 - NON-TAXABLE SALES-FOOD</v>
      </c>
      <c r="C71" s="11"/>
      <c r="D71" s="2">
        <f>--40740.65</f>
        <v>40740.65</v>
      </c>
      <c r="E71" s="2"/>
      <c r="F71" s="21"/>
      <c r="G71" s="2"/>
      <c r="H71" s="2">
        <f>--40176.78</f>
        <v>40176.78</v>
      </c>
      <c r="I71" s="2"/>
      <c r="J71" s="21"/>
      <c r="K71" s="2"/>
      <c r="L71" s="2">
        <f t="shared" si="0"/>
        <v>563.87000000000262</v>
      </c>
      <c r="M71" s="2"/>
      <c r="N71" s="21">
        <f t="shared" si="1"/>
        <v>1.4034723539318049E-2</v>
      </c>
      <c r="O71" s="11"/>
      <c r="P71" s="2">
        <f>--56137.17</f>
        <v>56137.17</v>
      </c>
      <c r="Q71" s="2"/>
      <c r="R71" s="21"/>
      <c r="S71" s="2"/>
      <c r="T71" s="2">
        <f>--58091.92</f>
        <v>58091.92</v>
      </c>
      <c r="U71" s="2"/>
      <c r="V71" s="21"/>
      <c r="W71" s="2"/>
      <c r="X71" s="2">
        <f t="shared" si="2"/>
        <v>-1954.75</v>
      </c>
      <c r="Y71" s="2"/>
      <c r="Z71" s="21">
        <f t="shared" si="3"/>
        <v>-3.3649257934666305E-2</v>
      </c>
    </row>
    <row r="72" spans="1:26" s="24" customFormat="1" hidden="1" outlineLevel="1" x14ac:dyDescent="0.25">
      <c r="A72" s="50"/>
      <c r="B72" s="11" t="str">
        <f>CONCATENATE("          ", "4153", " - ", "NON-TAXABLE SALES-FOOD")</f>
        <v xml:space="preserve">          4153 - NON-TAXABLE SALES-FOOD</v>
      </c>
      <c r="C72" s="11"/>
      <c r="D72" s="2">
        <f>--227.5</f>
        <v>227.5</v>
      </c>
      <c r="E72" s="2"/>
      <c r="F72" s="21"/>
      <c r="G72" s="2"/>
      <c r="H72" s="2">
        <f>--340.25</f>
        <v>340.25</v>
      </c>
      <c r="I72" s="2"/>
      <c r="J72" s="21"/>
      <c r="K72" s="2"/>
      <c r="L72" s="2">
        <f t="shared" si="0"/>
        <v>-112.75</v>
      </c>
      <c r="M72" s="2"/>
      <c r="N72" s="21">
        <f t="shared" si="1"/>
        <v>-0.331373989713446</v>
      </c>
      <c r="O72" s="11"/>
      <c r="P72" s="2">
        <f>--464.5</f>
        <v>464.5</v>
      </c>
      <c r="Q72" s="2"/>
      <c r="R72" s="21"/>
      <c r="S72" s="2"/>
      <c r="T72" s="2">
        <f>--500.5</f>
        <v>500.5</v>
      </c>
      <c r="U72" s="2"/>
      <c r="V72" s="21"/>
      <c r="W72" s="2"/>
      <c r="X72" s="2">
        <f t="shared" si="2"/>
        <v>-36</v>
      </c>
      <c r="Y72" s="2"/>
      <c r="Z72" s="21">
        <f t="shared" si="3"/>
        <v>-7.1928071928071935E-2</v>
      </c>
    </row>
    <row r="73" spans="1:26" s="24" customFormat="1" hidden="1" outlineLevel="1" x14ac:dyDescent="0.25">
      <c r="A73" s="50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0</f>
        <v>0</v>
      </c>
      <c r="E73" s="2"/>
      <c r="F73" s="21"/>
      <c r="G73" s="2"/>
      <c r="H73" s="2">
        <f>0</f>
        <v>0</v>
      </c>
      <c r="I73" s="2"/>
      <c r="J73" s="21"/>
      <c r="K73" s="2"/>
      <c r="L73" s="2">
        <f t="shared" si="0"/>
        <v>0</v>
      </c>
      <c r="M73" s="2"/>
      <c r="N73" s="21">
        <f t="shared" si="1"/>
        <v>0</v>
      </c>
      <c r="O73" s="11"/>
      <c r="P73" s="2">
        <f>0</f>
        <v>0</v>
      </c>
      <c r="Q73" s="2"/>
      <c r="R73" s="21"/>
      <c r="S73" s="2"/>
      <c r="T73" s="2">
        <f>-14.99</f>
        <v>-14.99</v>
      </c>
      <c r="U73" s="2"/>
      <c r="V73" s="21"/>
      <c r="W73" s="2"/>
      <c r="X73" s="2">
        <f t="shared" si="2"/>
        <v>14.99</v>
      </c>
      <c r="Y73" s="2"/>
      <c r="Z73" s="21">
        <f t="shared" si="3"/>
        <v>-1</v>
      </c>
    </row>
    <row r="74" spans="1:26" s="24" customFormat="1" hidden="1" outlineLevel="1" x14ac:dyDescent="0.25">
      <c r="A74" s="50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-58563.26</f>
        <v>-58563.26</v>
      </c>
      <c r="E74" s="2"/>
      <c r="F74" s="21"/>
      <c r="G74" s="2"/>
      <c r="H74" s="2">
        <f>-73018.44</f>
        <v>-73018.44</v>
      </c>
      <c r="I74" s="2"/>
      <c r="J74" s="21"/>
      <c r="K74" s="2"/>
      <c r="L74" s="2">
        <f t="shared" si="0"/>
        <v>14455.18</v>
      </c>
      <c r="M74" s="2"/>
      <c r="N74" s="21">
        <f t="shared" si="1"/>
        <v>-0.19796615758978142</v>
      </c>
      <c r="O74" s="11"/>
      <c r="P74" s="2">
        <f>-59170.41</f>
        <v>-59170.41</v>
      </c>
      <c r="Q74" s="2"/>
      <c r="R74" s="21"/>
      <c r="S74" s="2"/>
      <c r="T74" s="2">
        <f>-74525.94</f>
        <v>-74525.94</v>
      </c>
      <c r="U74" s="2"/>
      <c r="V74" s="21"/>
      <c r="W74" s="2"/>
      <c r="X74" s="2">
        <f t="shared" si="2"/>
        <v>15355.529999999999</v>
      </c>
      <c r="Y74" s="2"/>
      <c r="Z74" s="21">
        <f t="shared" si="3"/>
        <v>-0.20604275504609534</v>
      </c>
    </row>
    <row r="75" spans="1:26" s="24" customFormat="1" hidden="1" outlineLevel="1" x14ac:dyDescent="0.25">
      <c r="A75" s="50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-20533</f>
        <v>-20533</v>
      </c>
      <c r="E75" s="2"/>
      <c r="F75" s="21"/>
      <c r="G75" s="2"/>
      <c r="H75" s="2">
        <f>-22848</f>
        <v>-22848</v>
      </c>
      <c r="I75" s="2"/>
      <c r="J75" s="21"/>
      <c r="K75" s="2"/>
      <c r="L75" s="2">
        <f t="shared" si="0"/>
        <v>2315</v>
      </c>
      <c r="M75" s="2"/>
      <c r="N75" s="21">
        <f t="shared" si="1"/>
        <v>-0.10132177871148459</v>
      </c>
      <c r="O75" s="11"/>
      <c r="P75" s="2">
        <f>-21254.45</f>
        <v>-21254.45</v>
      </c>
      <c r="Q75" s="2"/>
      <c r="R75" s="21"/>
      <c r="S75" s="2"/>
      <c r="T75" s="2">
        <f>-23427.25</f>
        <v>-23427.25</v>
      </c>
      <c r="U75" s="2"/>
      <c r="V75" s="21"/>
      <c r="W75" s="2"/>
      <c r="X75" s="2">
        <f t="shared" si="2"/>
        <v>2172.7999999999993</v>
      </c>
      <c r="Y75" s="2"/>
      <c r="Z75" s="21">
        <f t="shared" si="3"/>
        <v>-9.2746694554418432E-2</v>
      </c>
    </row>
    <row r="76" spans="1:26" s="24" customFormat="1" hidden="1" outlineLevel="1" x14ac:dyDescent="0.25">
      <c r="A76" s="50"/>
      <c r="B76" s="11" t="str">
        <f>CONCATENATE("          ", "4204", " - ", "SALES RETURN TAXABLE-DIGITAL T")</f>
        <v xml:space="preserve">          4204 - SALES RETURN TAXABLE-DIGITAL T</v>
      </c>
      <c r="C76" s="11"/>
      <c r="D76" s="2">
        <f>-6848.37</f>
        <v>-6848.37</v>
      </c>
      <c r="E76" s="2"/>
      <c r="F76" s="21"/>
      <c r="G76" s="2"/>
      <c r="H76" s="2">
        <f>-12818.73</f>
        <v>-12818.73</v>
      </c>
      <c r="I76" s="2"/>
      <c r="J76" s="21"/>
      <c r="K76" s="2"/>
      <c r="L76" s="2">
        <f t="shared" si="0"/>
        <v>5970.36</v>
      </c>
      <c r="M76" s="2"/>
      <c r="N76" s="21">
        <f t="shared" si="1"/>
        <v>-0.46575284759098601</v>
      </c>
      <c r="O76" s="11"/>
      <c r="P76" s="2">
        <f>-6848.37</f>
        <v>-6848.37</v>
      </c>
      <c r="Q76" s="2"/>
      <c r="R76" s="21"/>
      <c r="S76" s="2"/>
      <c r="T76" s="2">
        <f>-12903.73</f>
        <v>-12903.73</v>
      </c>
      <c r="U76" s="2"/>
      <c r="V76" s="21"/>
      <c r="W76" s="2"/>
      <c r="X76" s="2">
        <f t="shared" si="2"/>
        <v>6055.36</v>
      </c>
      <c r="Y76" s="2"/>
      <c r="Z76" s="21">
        <f t="shared" si="3"/>
        <v>-0.46927206319413067</v>
      </c>
    </row>
    <row r="77" spans="1:26" s="24" customFormat="1" hidden="1" outlineLevel="1" x14ac:dyDescent="0.25">
      <c r="A77" s="50"/>
      <c r="B77" s="11" t="str">
        <f>CONCATENATE("          ", "4213", " - ", "NON-TAXABLE SALES-TRADE BOOKS")</f>
        <v xml:space="preserve">          4213 - NON-TAXABLE SALES-TRADE BOOKS</v>
      </c>
      <c r="C77" s="11"/>
      <c r="D77" s="2">
        <f t="shared" ref="D77:D78" si="4">0</f>
        <v>0</v>
      </c>
      <c r="E77" s="2"/>
      <c r="F77" s="21"/>
      <c r="G77" s="2"/>
      <c r="H77" s="2">
        <f>-15</f>
        <v>-15</v>
      </c>
      <c r="I77" s="2"/>
      <c r="J77" s="21"/>
      <c r="K77" s="2"/>
      <c r="L77" s="2">
        <f t="shared" si="0"/>
        <v>15</v>
      </c>
      <c r="M77" s="2"/>
      <c r="N77" s="21">
        <f t="shared" si="1"/>
        <v>-1</v>
      </c>
      <c r="O77" s="11"/>
      <c r="P77" s="2">
        <f t="shared" ref="P77:P78" si="5">0</f>
        <v>0</v>
      </c>
      <c r="Q77" s="2"/>
      <c r="R77" s="21"/>
      <c r="S77" s="2"/>
      <c r="T77" s="2">
        <f>-15</f>
        <v>-15</v>
      </c>
      <c r="U77" s="2"/>
      <c r="V77" s="21"/>
      <c r="W77" s="2"/>
      <c r="X77" s="2">
        <f t="shared" si="2"/>
        <v>15</v>
      </c>
      <c r="Y77" s="2"/>
      <c r="Z77" s="21">
        <f t="shared" si="3"/>
        <v>-1</v>
      </c>
    </row>
    <row r="78" spans="1:26" s="24" customFormat="1" hidden="1" outlineLevel="1" x14ac:dyDescent="0.25">
      <c r="A78" s="50"/>
      <c r="B78" s="11" t="str">
        <f>CONCATENATE("          ", "4217", " - ", "NON-TAXABLE SALES-DORM/HOUSEWA")</f>
        <v xml:space="preserve">          4217 - NON-TAXABLE SALES-DORM/HOUSEWA</v>
      </c>
      <c r="C78" s="11"/>
      <c r="D78" s="2">
        <f t="shared" si="4"/>
        <v>0</v>
      </c>
      <c r="E78" s="2"/>
      <c r="F78" s="21"/>
      <c r="G78" s="2"/>
      <c r="H78" s="2">
        <f>-1.5</f>
        <v>-1.5</v>
      </c>
      <c r="I78" s="2"/>
      <c r="J78" s="21"/>
      <c r="K78" s="2"/>
      <c r="L78" s="2">
        <f t="shared" si="0"/>
        <v>1.5</v>
      </c>
      <c r="M78" s="2"/>
      <c r="N78" s="21">
        <f t="shared" si="1"/>
        <v>-1</v>
      </c>
      <c r="O78" s="11"/>
      <c r="P78" s="2">
        <f t="shared" si="5"/>
        <v>0</v>
      </c>
      <c r="Q78" s="2"/>
      <c r="R78" s="21"/>
      <c r="S78" s="2"/>
      <c r="T78" s="2">
        <f>-1.5</f>
        <v>-1.5</v>
      </c>
      <c r="U78" s="2"/>
      <c r="V78" s="21"/>
      <c r="W78" s="2"/>
      <c r="X78" s="2">
        <f t="shared" si="2"/>
        <v>1.5</v>
      </c>
      <c r="Y78" s="2"/>
      <c r="Z78" s="21">
        <f t="shared" si="3"/>
        <v>-1</v>
      </c>
    </row>
    <row r="79" spans="1:26" s="24" customFormat="1" hidden="1" outlineLevel="1" x14ac:dyDescent="0.25">
      <c r="A79" s="50"/>
      <c r="B79" s="11" t="str">
        <f>CONCATENATE("          ", "4218", " - ", "SALES RETURN TAXABLE-STUDY GUI")</f>
        <v xml:space="preserve">          4218 - SALES RETURN TAXABLE-STUDY GUI</v>
      </c>
      <c r="C79" s="11"/>
      <c r="D79" s="2">
        <f>-26.8</f>
        <v>-26.8</v>
      </c>
      <c r="E79" s="2"/>
      <c r="F79" s="21"/>
      <c r="G79" s="2"/>
      <c r="H79" s="2">
        <f>0</f>
        <v>0</v>
      </c>
      <c r="I79" s="2"/>
      <c r="J79" s="21"/>
      <c r="K79" s="2"/>
      <c r="L79" s="2">
        <f t="shared" si="0"/>
        <v>-26.8</v>
      </c>
      <c r="M79" s="2"/>
      <c r="N79" s="21">
        <f t="shared" si="1"/>
        <v>0</v>
      </c>
      <c r="O79" s="11"/>
      <c r="P79" s="2">
        <f>-26.8</f>
        <v>-26.8</v>
      </c>
      <c r="Q79" s="2"/>
      <c r="R79" s="21"/>
      <c r="S79" s="2"/>
      <c r="T79" s="2">
        <f>-15.95</f>
        <v>-15.95</v>
      </c>
      <c r="U79" s="2"/>
      <c r="V79" s="21"/>
      <c r="W79" s="2"/>
      <c r="X79" s="2">
        <f t="shared" si="2"/>
        <v>-10.850000000000001</v>
      </c>
      <c r="Y79" s="2"/>
      <c r="Z79" s="21">
        <f t="shared" si="3"/>
        <v>0.68025078369905967</v>
      </c>
    </row>
    <row r="80" spans="1:26" s="24" customFormat="1" hidden="1" outlineLevel="1" x14ac:dyDescent="0.25">
      <c r="A80" s="50"/>
      <c r="B80" s="11" t="str">
        <f>CONCATENATE("          ", "4225", " - ", "SALES RETURN TAXABLE-TEST FORM")</f>
        <v xml:space="preserve">          4225 - SALES RETURN TAXABLE-TEST FORM</v>
      </c>
      <c r="C80" s="11"/>
      <c r="D80" s="2">
        <f>-8.61</f>
        <v>-8.61</v>
      </c>
      <c r="E80" s="2"/>
      <c r="F80" s="21"/>
      <c r="G80" s="2"/>
      <c r="H80" s="2">
        <f>-7.02</f>
        <v>-7.02</v>
      </c>
      <c r="I80" s="2"/>
      <c r="J80" s="21"/>
      <c r="K80" s="2"/>
      <c r="L80" s="2">
        <f t="shared" si="0"/>
        <v>-1.5899999999999999</v>
      </c>
      <c r="M80" s="2"/>
      <c r="N80" s="21">
        <f t="shared" si="1"/>
        <v>0.2264957264957265</v>
      </c>
      <c r="O80" s="11"/>
      <c r="P80" s="2">
        <f>-12.69</f>
        <v>-12.69</v>
      </c>
      <c r="Q80" s="2"/>
      <c r="R80" s="21"/>
      <c r="S80" s="2"/>
      <c r="T80" s="2">
        <f>-13.8</f>
        <v>-13.8</v>
      </c>
      <c r="U80" s="2"/>
      <c r="V80" s="21"/>
      <c r="W80" s="2"/>
      <c r="X80" s="2">
        <f t="shared" si="2"/>
        <v>1.1100000000000012</v>
      </c>
      <c r="Y80" s="2"/>
      <c r="Z80" s="21">
        <f t="shared" si="3"/>
        <v>-8.0434782608695729E-2</v>
      </c>
    </row>
    <row r="81" spans="1:26" s="24" customFormat="1" hidden="1" outlineLevel="1" x14ac:dyDescent="0.25">
      <c r="A81" s="50"/>
      <c r="B81" s="11" t="str">
        <f>CONCATENATE("          ", "4226", " - ", "SALES RETURN TAXABLE-WRITING I")</f>
        <v xml:space="preserve">          4226 - SALES RETURN TAXABLE-WRITING I</v>
      </c>
      <c r="C81" s="11"/>
      <c r="D81" s="2">
        <f>-60.28</f>
        <v>-60.28</v>
      </c>
      <c r="E81" s="2"/>
      <c r="F81" s="21"/>
      <c r="G81" s="2"/>
      <c r="H81" s="2">
        <f>-58.07</f>
        <v>-58.07</v>
      </c>
      <c r="I81" s="2"/>
      <c r="J81" s="21"/>
      <c r="K81" s="2"/>
      <c r="L81" s="2">
        <f t="shared" si="0"/>
        <v>-2.2100000000000009</v>
      </c>
      <c r="M81" s="2"/>
      <c r="N81" s="21">
        <f t="shared" si="1"/>
        <v>3.8057516790080952E-2</v>
      </c>
      <c r="O81" s="11"/>
      <c r="P81" s="2">
        <f>-124.21</f>
        <v>-124.21</v>
      </c>
      <c r="Q81" s="2"/>
      <c r="R81" s="21"/>
      <c r="S81" s="2"/>
      <c r="T81" s="2">
        <f>-69.24</f>
        <v>-69.239999999999995</v>
      </c>
      <c r="U81" s="2"/>
      <c r="V81" s="21"/>
      <c r="W81" s="2"/>
      <c r="X81" s="2">
        <f t="shared" si="2"/>
        <v>-54.97</v>
      </c>
      <c r="Y81" s="2"/>
      <c r="Z81" s="21">
        <f t="shared" si="3"/>
        <v>0.79390525707683424</v>
      </c>
    </row>
    <row r="82" spans="1:26" s="24" customFormat="1" hidden="1" outlineLevel="1" x14ac:dyDescent="0.25">
      <c r="A82" s="50"/>
      <c r="B82" s="11" t="str">
        <f>CONCATENATE("          ", "4227", " - ", "SALES RETURN TAXABLE-SCHOOL SU")</f>
        <v xml:space="preserve">          4227 - SALES RETURN TAXABLE-SCHOOL SU</v>
      </c>
      <c r="C82" s="11"/>
      <c r="D82" s="2">
        <f>-1531.15</f>
        <v>-1531.15</v>
      </c>
      <c r="E82" s="2"/>
      <c r="F82" s="21"/>
      <c r="G82" s="2"/>
      <c r="H82" s="2">
        <f>-849.92</f>
        <v>-849.92</v>
      </c>
      <c r="I82" s="2"/>
      <c r="J82" s="21"/>
      <c r="K82" s="2"/>
      <c r="L82" s="2">
        <f t="shared" si="0"/>
        <v>-681.23000000000013</v>
      </c>
      <c r="M82" s="2"/>
      <c r="N82" s="21">
        <f t="shared" si="1"/>
        <v>0.80152249623493999</v>
      </c>
      <c r="O82" s="11"/>
      <c r="P82" s="2">
        <f>-1696.59</f>
        <v>-1696.59</v>
      </c>
      <c r="Q82" s="2"/>
      <c r="R82" s="21"/>
      <c r="S82" s="2"/>
      <c r="T82" s="2">
        <f>-971.89</f>
        <v>-971.89</v>
      </c>
      <c r="U82" s="2"/>
      <c r="V82" s="21"/>
      <c r="W82" s="2"/>
      <c r="X82" s="2">
        <f t="shared" si="2"/>
        <v>-724.69999999999993</v>
      </c>
      <c r="Y82" s="2"/>
      <c r="Z82" s="21">
        <f t="shared" si="3"/>
        <v>0.745660517136713</v>
      </c>
    </row>
    <row r="83" spans="1:26" s="24" customFormat="1" hidden="1" outlineLevel="1" x14ac:dyDescent="0.25">
      <c r="A83" s="50"/>
      <c r="B83" s="11" t="str">
        <f>CONCATENATE("          ", "4228", " - ", "SALES RETURN TAXABLE-ART/TECH")</f>
        <v xml:space="preserve">          4228 - SALES RETURN TAXABLE-ART/TECH</v>
      </c>
      <c r="C83" s="11"/>
      <c r="D83" s="2">
        <f>-858.36</f>
        <v>-858.36</v>
      </c>
      <c r="E83" s="2"/>
      <c r="F83" s="21"/>
      <c r="G83" s="2"/>
      <c r="H83" s="2">
        <f>-916.05</f>
        <v>-916.05</v>
      </c>
      <c r="I83" s="2"/>
      <c r="J83" s="21"/>
      <c r="K83" s="2"/>
      <c r="L83" s="2">
        <f t="shared" si="0"/>
        <v>57.689999999999941</v>
      </c>
      <c r="M83" s="2"/>
      <c r="N83" s="21">
        <f t="shared" si="1"/>
        <v>-6.2976911740625446E-2</v>
      </c>
      <c r="O83" s="11"/>
      <c r="P83" s="2">
        <f>-868.73</f>
        <v>-868.73</v>
      </c>
      <c r="Q83" s="2"/>
      <c r="R83" s="21"/>
      <c r="S83" s="2"/>
      <c r="T83" s="2">
        <f>-1065.49</f>
        <v>-1065.49</v>
      </c>
      <c r="U83" s="2"/>
      <c r="V83" s="21"/>
      <c r="W83" s="2"/>
      <c r="X83" s="2">
        <f t="shared" si="2"/>
        <v>196.76</v>
      </c>
      <c r="Y83" s="2"/>
      <c r="Z83" s="21">
        <f t="shared" si="3"/>
        <v>-0.18466620991281005</v>
      </c>
    </row>
    <row r="84" spans="1:26" s="24" customFormat="1" hidden="1" outlineLevel="1" x14ac:dyDescent="0.25">
      <c r="A84" s="50"/>
      <c r="B84" s="11" t="str">
        <f>CONCATENATE("          ", "4233", " - ", "SALES RETURN TAXABLE-CANDY")</f>
        <v xml:space="preserve">          4233 - SALES RETURN TAXABLE-CANDY</v>
      </c>
      <c r="C84" s="11"/>
      <c r="D84" s="2">
        <f>0</f>
        <v>0</v>
      </c>
      <c r="E84" s="2"/>
      <c r="F84" s="21"/>
      <c r="G84" s="2"/>
      <c r="H84" s="2">
        <f>-1.69</f>
        <v>-1.69</v>
      </c>
      <c r="I84" s="2"/>
      <c r="J84" s="21"/>
      <c r="K84" s="2"/>
      <c r="L84" s="2">
        <f t="shared" si="0"/>
        <v>1.69</v>
      </c>
      <c r="M84" s="2"/>
      <c r="N84" s="21">
        <f t="shared" si="1"/>
        <v>-1</v>
      </c>
      <c r="O84" s="11"/>
      <c r="P84" s="2">
        <f>0</f>
        <v>0</v>
      </c>
      <c r="Q84" s="2"/>
      <c r="R84" s="21"/>
      <c r="S84" s="2"/>
      <c r="T84" s="2">
        <f>-1.69</f>
        <v>-1.69</v>
      </c>
      <c r="U84" s="2"/>
      <c r="V84" s="21"/>
      <c r="W84" s="2"/>
      <c r="X84" s="2">
        <f t="shared" si="2"/>
        <v>1.69</v>
      </c>
      <c r="Y84" s="2"/>
      <c r="Z84" s="21">
        <f t="shared" si="3"/>
        <v>-1</v>
      </c>
    </row>
    <row r="85" spans="1:26" s="24" customFormat="1" hidden="1" outlineLevel="1" x14ac:dyDescent="0.25">
      <c r="A85" s="50"/>
      <c r="B85" s="11" t="str">
        <f>CONCATENATE("          ", "4240", " - ", "SALES RETURN TAXABLE-LOGO CLOT")</f>
        <v xml:space="preserve">          4240 - SALES RETURN TAXABLE-LOGO CLOT</v>
      </c>
      <c r="C85" s="11"/>
      <c r="D85" s="2">
        <f>-6807.65</f>
        <v>-6807.65</v>
      </c>
      <c r="E85" s="2"/>
      <c r="F85" s="21"/>
      <c r="G85" s="2"/>
      <c r="H85" s="2">
        <f>-6341.85</f>
        <v>-6341.85</v>
      </c>
      <c r="I85" s="2"/>
      <c r="J85" s="21"/>
      <c r="K85" s="2"/>
      <c r="L85" s="2">
        <f t="shared" si="0"/>
        <v>-465.79999999999927</v>
      </c>
      <c r="M85" s="2"/>
      <c r="N85" s="21">
        <f t="shared" si="1"/>
        <v>7.3448599383460544E-2</v>
      </c>
      <c r="O85" s="11"/>
      <c r="P85" s="2">
        <f>-11254.49</f>
        <v>-11254.49</v>
      </c>
      <c r="Q85" s="2"/>
      <c r="R85" s="21"/>
      <c r="S85" s="2"/>
      <c r="T85" s="2">
        <f>-11571.8</f>
        <v>-11571.8</v>
      </c>
      <c r="U85" s="2"/>
      <c r="V85" s="21"/>
      <c r="W85" s="2"/>
      <c r="X85" s="2">
        <f t="shared" si="2"/>
        <v>317.30999999999949</v>
      </c>
      <c r="Y85" s="2"/>
      <c r="Z85" s="21">
        <f t="shared" si="3"/>
        <v>-2.7420971672514172E-2</v>
      </c>
    </row>
    <row r="86" spans="1:26" s="24" customFormat="1" hidden="1" outlineLevel="1" x14ac:dyDescent="0.25">
      <c r="A86" s="50"/>
      <c r="B86" s="11" t="str">
        <f>CONCATENATE("          ", "4241", " - ", "SALES RETURN TAXABLE-LOGO GIFT")</f>
        <v xml:space="preserve">          4241 - SALES RETURN TAXABLE-LOGO GIFT</v>
      </c>
      <c r="C86" s="11"/>
      <c r="D86" s="2">
        <f>-971.11</f>
        <v>-971.11</v>
      </c>
      <c r="E86" s="2"/>
      <c r="F86" s="21"/>
      <c r="G86" s="2"/>
      <c r="H86" s="2">
        <f>-1122.85</f>
        <v>-1122.8499999999999</v>
      </c>
      <c r="I86" s="2"/>
      <c r="J86" s="21"/>
      <c r="K86" s="2"/>
      <c r="L86" s="2">
        <f t="shared" si="0"/>
        <v>151.7399999999999</v>
      </c>
      <c r="M86" s="2"/>
      <c r="N86" s="21">
        <f t="shared" si="1"/>
        <v>-0.13513826423832204</v>
      </c>
      <c r="O86" s="11"/>
      <c r="P86" s="2">
        <f>-1690.01</f>
        <v>-1690.01</v>
      </c>
      <c r="Q86" s="2"/>
      <c r="R86" s="21"/>
      <c r="S86" s="2"/>
      <c r="T86" s="2">
        <f>-1597.91</f>
        <v>-1597.91</v>
      </c>
      <c r="U86" s="2"/>
      <c r="V86" s="21"/>
      <c r="W86" s="2"/>
      <c r="X86" s="2">
        <f t="shared" si="2"/>
        <v>-92.099999999999909</v>
      </c>
      <c r="Y86" s="2"/>
      <c r="Z86" s="21">
        <f t="shared" si="3"/>
        <v>5.7637789362354516E-2</v>
      </c>
    </row>
    <row r="87" spans="1:26" s="24" customFormat="1" hidden="1" outlineLevel="1" x14ac:dyDescent="0.25">
      <c r="A87" s="50"/>
      <c r="B87" s="11" t="str">
        <f>CONCATENATE("          ", "4242", " - ", "SALES RETURN TAXABLE-EVERYDAY")</f>
        <v xml:space="preserve">          4242 - SALES RETURN TAXABLE-EVERYDAY</v>
      </c>
      <c r="C87" s="11"/>
      <c r="D87" s="2">
        <f>-450.83</f>
        <v>-450.83</v>
      </c>
      <c r="E87" s="2"/>
      <c r="F87" s="21"/>
      <c r="G87" s="2"/>
      <c r="H87" s="2">
        <f>-261.05</f>
        <v>-261.05</v>
      </c>
      <c r="I87" s="2"/>
      <c r="J87" s="21"/>
      <c r="K87" s="2"/>
      <c r="L87" s="2">
        <f t="shared" si="0"/>
        <v>-189.77999999999997</v>
      </c>
      <c r="M87" s="2"/>
      <c r="N87" s="21">
        <f t="shared" si="1"/>
        <v>0.72698716720934675</v>
      </c>
      <c r="O87" s="11"/>
      <c r="P87" s="2">
        <f>-824.81</f>
        <v>-824.81</v>
      </c>
      <c r="Q87" s="2"/>
      <c r="R87" s="21"/>
      <c r="S87" s="2"/>
      <c r="T87" s="2">
        <f>-421.79</f>
        <v>-421.79</v>
      </c>
      <c r="U87" s="2"/>
      <c r="V87" s="21"/>
      <c r="W87" s="2"/>
      <c r="X87" s="2">
        <f t="shared" si="2"/>
        <v>-403.01999999999992</v>
      </c>
      <c r="Y87" s="2"/>
      <c r="Z87" s="21">
        <f t="shared" si="3"/>
        <v>0.95549918205742168</v>
      </c>
    </row>
    <row r="88" spans="1:26" s="24" customFormat="1" hidden="1" outlineLevel="1" x14ac:dyDescent="0.25">
      <c r="A88" s="50"/>
      <c r="B88" s="11" t="str">
        <f>CONCATENATE("          ", "4244", " - ", "SALES RETURN TAXABLE-ACCESSORI")</f>
        <v xml:space="preserve">          4244 - SALES RETURN TAXABLE-ACCESSORI</v>
      </c>
      <c r="C88" s="11"/>
      <c r="D88" s="2">
        <f>-443.68</f>
        <v>-443.68</v>
      </c>
      <c r="E88" s="2"/>
      <c r="F88" s="21"/>
      <c r="G88" s="2"/>
      <c r="H88" s="2">
        <f>-1614.36</f>
        <v>-1614.36</v>
      </c>
      <c r="I88" s="2"/>
      <c r="J88" s="21"/>
      <c r="K88" s="2"/>
      <c r="L88" s="2">
        <f t="shared" si="0"/>
        <v>1170.6799999999998</v>
      </c>
      <c r="M88" s="2"/>
      <c r="N88" s="21">
        <f t="shared" si="1"/>
        <v>-0.72516662950023536</v>
      </c>
      <c r="O88" s="11"/>
      <c r="P88" s="2">
        <f>-550.47</f>
        <v>-550.47</v>
      </c>
      <c r="Q88" s="2"/>
      <c r="R88" s="21"/>
      <c r="S88" s="2"/>
      <c r="T88" s="2">
        <f>-1759.26</f>
        <v>-1759.26</v>
      </c>
      <c r="U88" s="2"/>
      <c r="V88" s="21"/>
      <c r="W88" s="2"/>
      <c r="X88" s="2">
        <f t="shared" si="2"/>
        <v>1208.79</v>
      </c>
      <c r="Y88" s="2"/>
      <c r="Z88" s="21">
        <f t="shared" si="3"/>
        <v>-0.68710139490467581</v>
      </c>
    </row>
    <row r="89" spans="1:26" s="24" customFormat="1" hidden="1" outlineLevel="1" x14ac:dyDescent="0.25">
      <c r="A89" s="50"/>
      <c r="B89" s="11" t="str">
        <f>CONCATENATE("          ", "4245", " - ", "SALES RETURN TAXABLE-SPECIAL O")</f>
        <v xml:space="preserve">          4245 - SALES RETURN TAXABLE-SPECIAL O</v>
      </c>
      <c r="C89" s="11"/>
      <c r="D89" s="2">
        <f>-19.98</f>
        <v>-19.98</v>
      </c>
      <c r="E89" s="2"/>
      <c r="F89" s="21"/>
      <c r="G89" s="2"/>
      <c r="H89" s="2">
        <f>-154.9</f>
        <v>-154.9</v>
      </c>
      <c r="I89" s="2"/>
      <c r="J89" s="21"/>
      <c r="K89" s="2"/>
      <c r="L89" s="2">
        <f t="shared" si="0"/>
        <v>134.92000000000002</v>
      </c>
      <c r="M89" s="2"/>
      <c r="N89" s="21">
        <f t="shared" si="1"/>
        <v>-0.87101355713363471</v>
      </c>
      <c r="O89" s="11"/>
      <c r="P89" s="2">
        <f>-19.98</f>
        <v>-19.98</v>
      </c>
      <c r="Q89" s="2"/>
      <c r="R89" s="21"/>
      <c r="S89" s="2"/>
      <c r="T89" s="2">
        <f>-174.85</f>
        <v>-174.85</v>
      </c>
      <c r="U89" s="2"/>
      <c r="V89" s="21"/>
      <c r="W89" s="2"/>
      <c r="X89" s="2">
        <f t="shared" si="2"/>
        <v>154.87</v>
      </c>
      <c r="Y89" s="2"/>
      <c r="Z89" s="21">
        <f t="shared" si="3"/>
        <v>-0.88573062625107235</v>
      </c>
    </row>
    <row r="90" spans="1:26" s="24" customFormat="1" hidden="1" outlineLevel="1" x14ac:dyDescent="0.25">
      <c r="A90" s="50"/>
      <c r="B90" s="11" t="str">
        <f>CONCATENATE("          ", "4292", " - ", "SALES RETURN TAXABLE-GRAD MERC")</f>
        <v xml:space="preserve">          4292 - SALES RETURN TAXABLE-GRAD MERC</v>
      </c>
      <c r="C90" s="11"/>
      <c r="D90" s="2">
        <f>-359.2</f>
        <v>-359.2</v>
      </c>
      <c r="E90" s="2"/>
      <c r="F90" s="21"/>
      <c r="G90" s="2"/>
      <c r="H90" s="2">
        <f>0</f>
        <v>0</v>
      </c>
      <c r="I90" s="2"/>
      <c r="J90" s="21"/>
      <c r="K90" s="2"/>
      <c r="L90" s="2">
        <f t="shared" si="0"/>
        <v>-359.2</v>
      </c>
      <c r="M90" s="2"/>
      <c r="N90" s="21">
        <f t="shared" si="1"/>
        <v>0</v>
      </c>
      <c r="O90" s="11"/>
      <c r="P90" s="2">
        <f>-369.15</f>
        <v>-369.15</v>
      </c>
      <c r="Q90" s="2"/>
      <c r="R90" s="21"/>
      <c r="S90" s="2"/>
      <c r="T90" s="2">
        <f>-478.25</f>
        <v>-478.25</v>
      </c>
      <c r="U90" s="2"/>
      <c r="V90" s="21"/>
      <c r="W90" s="2"/>
      <c r="X90" s="2">
        <f t="shared" si="2"/>
        <v>109.10000000000002</v>
      </c>
      <c r="Y90" s="2"/>
      <c r="Z90" s="21">
        <f t="shared" si="3"/>
        <v>-0.22812336644014641</v>
      </c>
    </row>
    <row r="91" spans="1:26" s="24" customFormat="1" hidden="1" outlineLevel="1" x14ac:dyDescent="0.25">
      <c r="A91" s="50"/>
      <c r="B91" s="11" t="str">
        <f>CONCATENATE("          ", "4295", " - ", "SALES RETURN TAXABLE-CUSTOMER")</f>
        <v xml:space="preserve">          4295 - SALES RETURN TAXABLE-CUSTOMER</v>
      </c>
      <c r="C91" s="11"/>
      <c r="D91" s="2">
        <f>--0.99</f>
        <v>0.99</v>
      </c>
      <c r="E91" s="2"/>
      <c r="F91" s="21"/>
      <c r="G91" s="2"/>
      <c r="H91" s="2">
        <f>-99</f>
        <v>-99</v>
      </c>
      <c r="I91" s="2"/>
      <c r="J91" s="21"/>
      <c r="K91" s="2"/>
      <c r="L91" s="2">
        <f t="shared" si="0"/>
        <v>99.99</v>
      </c>
      <c r="M91" s="2"/>
      <c r="N91" s="21">
        <f t="shared" si="1"/>
        <v>-1.01</v>
      </c>
      <c r="O91" s="11"/>
      <c r="P91" s="2">
        <f>--0.99</f>
        <v>0.99</v>
      </c>
      <c r="Q91" s="2"/>
      <c r="R91" s="21"/>
      <c r="S91" s="2"/>
      <c r="T91" s="2">
        <f>-99</f>
        <v>-99</v>
      </c>
      <c r="U91" s="2"/>
      <c r="V91" s="21"/>
      <c r="W91" s="2"/>
      <c r="X91" s="2">
        <f t="shared" si="2"/>
        <v>99.99</v>
      </c>
      <c r="Y91" s="2"/>
      <c r="Z91" s="21">
        <f t="shared" si="3"/>
        <v>-1.01</v>
      </c>
    </row>
    <row r="92" spans="1:26" s="24" customFormat="1" hidden="1" outlineLevel="1" x14ac:dyDescent="0.25">
      <c r="A92" s="50"/>
      <c r="B92" s="11" t="str">
        <f>CONCATENATE("          ", "4301", " - ", "SALES RETURN NON TAXABLE-NEW T")</f>
        <v xml:space="preserve">          4301 - SALES RETURN NON TAXABLE-NEW T</v>
      </c>
      <c r="C92" s="11"/>
      <c r="D92" s="2">
        <f>-2665.19</f>
        <v>-2665.19</v>
      </c>
      <c r="E92" s="2"/>
      <c r="F92" s="21"/>
      <c r="G92" s="2"/>
      <c r="H92" s="2">
        <f>-1852.97</f>
        <v>-1852.97</v>
      </c>
      <c r="I92" s="2"/>
      <c r="J92" s="21"/>
      <c r="K92" s="2"/>
      <c r="L92" s="2">
        <f t="shared" si="0"/>
        <v>-812.22</v>
      </c>
      <c r="M92" s="2"/>
      <c r="N92" s="21">
        <f t="shared" si="1"/>
        <v>0.43833413384998138</v>
      </c>
      <c r="O92" s="11"/>
      <c r="P92" s="2">
        <f>-2919.78</f>
        <v>-2919.78</v>
      </c>
      <c r="Q92" s="2"/>
      <c r="R92" s="21"/>
      <c r="S92" s="2"/>
      <c r="T92" s="2">
        <f>-2849.1</f>
        <v>-2849.1</v>
      </c>
      <c r="U92" s="2"/>
      <c r="V92" s="21"/>
      <c r="W92" s="2"/>
      <c r="X92" s="2">
        <f t="shared" si="2"/>
        <v>-70.680000000000291</v>
      </c>
      <c r="Y92" s="2"/>
      <c r="Z92" s="21">
        <f t="shared" si="3"/>
        <v>2.4807834052858902E-2</v>
      </c>
    </row>
    <row r="93" spans="1:26" s="24" customFormat="1" hidden="1" outlineLevel="1" x14ac:dyDescent="0.25">
      <c r="A93" s="50"/>
      <c r="B93" s="11" t="str">
        <f>CONCATENATE("          ", "4302", " - ", "SALES RETURN NON TAXABLE-TEXT")</f>
        <v xml:space="preserve">          4302 - SALES RETURN NON TAXABLE-TEXT</v>
      </c>
      <c r="C93" s="11"/>
      <c r="D93" s="2">
        <f>-250.25</f>
        <v>-250.25</v>
      </c>
      <c r="E93" s="2"/>
      <c r="F93" s="21"/>
      <c r="G93" s="2"/>
      <c r="H93" s="2">
        <f>-554.73</f>
        <v>-554.73</v>
      </c>
      <c r="I93" s="2"/>
      <c r="J93" s="21"/>
      <c r="K93" s="2"/>
      <c r="L93" s="2">
        <f t="shared" si="0"/>
        <v>304.48</v>
      </c>
      <c r="M93" s="2"/>
      <c r="N93" s="21">
        <f t="shared" si="1"/>
        <v>-0.54887963513781479</v>
      </c>
      <c r="O93" s="11"/>
      <c r="P93" s="2">
        <f>-250.25</f>
        <v>-250.25</v>
      </c>
      <c r="Q93" s="2"/>
      <c r="R93" s="21"/>
      <c r="S93" s="2"/>
      <c r="T93" s="2">
        <f>-667.53</f>
        <v>-667.53</v>
      </c>
      <c r="U93" s="2"/>
      <c r="V93" s="21"/>
      <c r="W93" s="2"/>
      <c r="X93" s="2">
        <f t="shared" si="2"/>
        <v>417.28</v>
      </c>
      <c r="Y93" s="2"/>
      <c r="Z93" s="21">
        <f t="shared" si="3"/>
        <v>-0.6251104819259059</v>
      </c>
    </row>
    <row r="94" spans="1:26" s="24" customFormat="1" hidden="1" outlineLevel="1" x14ac:dyDescent="0.25">
      <c r="A94" s="50"/>
      <c r="B94" s="11" t="str">
        <f>CONCATENATE("          ", "4304", " - ", "SALES RETURN NON TAXABLE-DIGIT")</f>
        <v xml:space="preserve">          4304 - SALES RETURN NON TAXABLE-DIGIT</v>
      </c>
      <c r="C94" s="11"/>
      <c r="D94" s="2">
        <f>-8466.55</f>
        <v>-8466.5499999999993</v>
      </c>
      <c r="E94" s="2"/>
      <c r="F94" s="21"/>
      <c r="G94" s="2"/>
      <c r="H94" s="2">
        <f>-264.47</f>
        <v>-264.47000000000003</v>
      </c>
      <c r="I94" s="2"/>
      <c r="J94" s="21"/>
      <c r="K94" s="2"/>
      <c r="L94" s="2">
        <f t="shared" si="0"/>
        <v>-8202.08</v>
      </c>
      <c r="M94" s="2"/>
      <c r="N94" s="21">
        <f t="shared" si="1"/>
        <v>31.013271826672209</v>
      </c>
      <c r="O94" s="11"/>
      <c r="P94" s="2">
        <f>-8466.55</f>
        <v>-8466.5499999999993</v>
      </c>
      <c r="Q94" s="2"/>
      <c r="R94" s="21"/>
      <c r="S94" s="2"/>
      <c r="T94" s="2">
        <f>-284.47</f>
        <v>-284.47000000000003</v>
      </c>
      <c r="U94" s="2"/>
      <c r="V94" s="21"/>
      <c r="W94" s="2"/>
      <c r="X94" s="2">
        <f t="shared" si="2"/>
        <v>-8182.079999999999</v>
      </c>
      <c r="Y94" s="2"/>
      <c r="Z94" s="21">
        <f t="shared" si="3"/>
        <v>28.762540865469113</v>
      </c>
    </row>
    <row r="95" spans="1:26" s="24" customFormat="1" hidden="1" outlineLevel="1" x14ac:dyDescent="0.25">
      <c r="A95" s="50"/>
      <c r="B95" s="11" t="str">
        <f>CONCATENATE("          ", "4311", " - ", "SALES RETURN NON TAXABLE-NO VA")</f>
        <v xml:space="preserve">          4311 - SALES RETURN NON TAXABLE-NO VA</v>
      </c>
      <c r="C95" s="11"/>
      <c r="D95" s="2">
        <f>-79.06</f>
        <v>-79.06</v>
      </c>
      <c r="E95" s="2"/>
      <c r="F95" s="21"/>
      <c r="G95" s="2"/>
      <c r="H95" s="2">
        <f>-168.5</f>
        <v>-168.5</v>
      </c>
      <c r="I95" s="2"/>
      <c r="J95" s="21"/>
      <c r="K95" s="2"/>
      <c r="L95" s="2">
        <f t="shared" si="0"/>
        <v>89.44</v>
      </c>
      <c r="M95" s="2"/>
      <c r="N95" s="21">
        <f t="shared" si="1"/>
        <v>-0.53080118694362022</v>
      </c>
      <c r="O95" s="11"/>
      <c r="P95" s="2">
        <f>-111.04</f>
        <v>-111.04</v>
      </c>
      <c r="Q95" s="2"/>
      <c r="R95" s="21"/>
      <c r="S95" s="2"/>
      <c r="T95" s="2">
        <f>-212.88</f>
        <v>-212.88</v>
      </c>
      <c r="U95" s="2"/>
      <c r="V95" s="21"/>
      <c r="W95" s="2"/>
      <c r="X95" s="2">
        <f t="shared" si="2"/>
        <v>101.83999999999999</v>
      </c>
      <c r="Y95" s="2"/>
      <c r="Z95" s="21">
        <f t="shared" si="3"/>
        <v>-0.47839158211198796</v>
      </c>
    </row>
    <row r="96" spans="1:26" s="24" customFormat="1" hidden="1" outlineLevel="1" x14ac:dyDescent="0.25">
      <c r="A96" s="50"/>
      <c r="B96" s="11" t="str">
        <f>CONCATENATE("          ", "4326", " - ", "SALES RETURN NON TAXABLE-WRITI")</f>
        <v xml:space="preserve">          4326 - SALES RETURN NON TAXABLE-WRITI</v>
      </c>
      <c r="C96" s="11"/>
      <c r="D96" s="2">
        <f>0</f>
        <v>0</v>
      </c>
      <c r="E96" s="2"/>
      <c r="F96" s="21"/>
      <c r="G96" s="2"/>
      <c r="H96" s="2">
        <f>-3.29</f>
        <v>-3.29</v>
      </c>
      <c r="I96" s="2"/>
      <c r="J96" s="21"/>
      <c r="K96" s="2"/>
      <c r="L96" s="2">
        <f t="shared" si="0"/>
        <v>3.29</v>
      </c>
      <c r="M96" s="2"/>
      <c r="N96" s="21">
        <f t="shared" si="1"/>
        <v>-1</v>
      </c>
      <c r="O96" s="11"/>
      <c r="P96" s="2">
        <f>0</f>
        <v>0</v>
      </c>
      <c r="Q96" s="2"/>
      <c r="R96" s="21"/>
      <c r="S96" s="2"/>
      <c r="T96" s="2">
        <f>-5.58</f>
        <v>-5.58</v>
      </c>
      <c r="U96" s="2"/>
      <c r="V96" s="21"/>
      <c r="W96" s="2"/>
      <c r="X96" s="2">
        <f t="shared" si="2"/>
        <v>5.58</v>
      </c>
      <c r="Y96" s="2"/>
      <c r="Z96" s="21">
        <f t="shared" si="3"/>
        <v>-1</v>
      </c>
    </row>
    <row r="97" spans="1:26" s="24" customFormat="1" hidden="1" outlineLevel="1" x14ac:dyDescent="0.25">
      <c r="A97" s="50"/>
      <c r="B97" s="11" t="str">
        <f>CONCATENATE("          ", "4327", " - ", "SALES RETURN NON TAXABLE-SCHOO")</f>
        <v xml:space="preserve">          4327 - SALES RETURN NON TAXABLE-SCHOO</v>
      </c>
      <c r="C97" s="11"/>
      <c r="D97" s="2">
        <f>-13.58</f>
        <v>-13.58</v>
      </c>
      <c r="E97" s="2"/>
      <c r="F97" s="21"/>
      <c r="G97" s="2"/>
      <c r="H97" s="2">
        <f>0</f>
        <v>0</v>
      </c>
      <c r="I97" s="2"/>
      <c r="J97" s="21"/>
      <c r="K97" s="2"/>
      <c r="L97" s="2">
        <f t="shared" si="0"/>
        <v>-13.58</v>
      </c>
      <c r="M97" s="2"/>
      <c r="N97" s="21">
        <f t="shared" si="1"/>
        <v>0</v>
      </c>
      <c r="O97" s="11"/>
      <c r="P97" s="2">
        <f>-13.58</f>
        <v>-13.58</v>
      </c>
      <c r="Q97" s="2"/>
      <c r="R97" s="21"/>
      <c r="S97" s="2"/>
      <c r="T97" s="2">
        <f>0</f>
        <v>0</v>
      </c>
      <c r="U97" s="2"/>
      <c r="V97" s="21"/>
      <c r="W97" s="2"/>
      <c r="X97" s="2">
        <f t="shared" si="2"/>
        <v>-13.58</v>
      </c>
      <c r="Y97" s="2"/>
      <c r="Z97" s="21">
        <f t="shared" si="3"/>
        <v>0</v>
      </c>
    </row>
    <row r="98" spans="1:26" s="24" customFormat="1" hidden="1" outlineLevel="1" x14ac:dyDescent="0.25">
      <c r="A98" s="50"/>
      <c r="B98" s="11" t="str">
        <f>CONCATENATE("          ", "4340", " - ", "SALES RETURN NON TAXABLE-LOGO")</f>
        <v xml:space="preserve">          4340 - SALES RETURN NON TAXABLE-LOGO</v>
      </c>
      <c r="C98" s="11"/>
      <c r="D98" s="2">
        <f>-44.95</f>
        <v>-44.95</v>
      </c>
      <c r="E98" s="2"/>
      <c r="F98" s="21"/>
      <c r="G98" s="2"/>
      <c r="H98" s="2">
        <f>-191.74</f>
        <v>-191.74</v>
      </c>
      <c r="I98" s="2"/>
      <c r="J98" s="21"/>
      <c r="K98" s="2"/>
      <c r="L98" s="2">
        <f t="shared" si="0"/>
        <v>146.79000000000002</v>
      </c>
      <c r="M98" s="2"/>
      <c r="N98" s="21">
        <f t="shared" si="1"/>
        <v>-0.76556795660790666</v>
      </c>
      <c r="O98" s="11"/>
      <c r="P98" s="2">
        <f>-268.5</f>
        <v>-268.5</v>
      </c>
      <c r="Q98" s="2"/>
      <c r="R98" s="21"/>
      <c r="S98" s="2"/>
      <c r="T98" s="2">
        <f>-191.74</f>
        <v>-191.74</v>
      </c>
      <c r="U98" s="2"/>
      <c r="V98" s="21"/>
      <c r="W98" s="2"/>
      <c r="X98" s="2">
        <f t="shared" si="2"/>
        <v>-76.759999999999991</v>
      </c>
      <c r="Y98" s="2"/>
      <c r="Z98" s="21">
        <f t="shared" si="3"/>
        <v>0.4003337853343068</v>
      </c>
    </row>
    <row r="99" spans="1:26" s="24" customFormat="1" hidden="1" outlineLevel="1" x14ac:dyDescent="0.25">
      <c r="A99" s="50"/>
      <c r="B99" s="11" t="str">
        <f>CONCATENATE("          ", "4341", " - ", "SALES RETURN NON TAXABLE-LOGO")</f>
        <v xml:space="preserve">          4341 - SALES RETURN NON TAXABLE-LOGO</v>
      </c>
      <c r="C99" s="11"/>
      <c r="D99" s="2">
        <f>-3.95</f>
        <v>-3.95</v>
      </c>
      <c r="E99" s="2"/>
      <c r="F99" s="21"/>
      <c r="G99" s="2"/>
      <c r="H99" s="2">
        <f>-8.15</f>
        <v>-8.15</v>
      </c>
      <c r="I99" s="2"/>
      <c r="J99" s="21"/>
      <c r="K99" s="2"/>
      <c r="L99" s="2">
        <f t="shared" si="0"/>
        <v>4.2</v>
      </c>
      <c r="M99" s="2"/>
      <c r="N99" s="21">
        <f t="shared" si="1"/>
        <v>-0.51533742331288346</v>
      </c>
      <c r="O99" s="11"/>
      <c r="P99" s="2">
        <f>-3.95</f>
        <v>-3.95</v>
      </c>
      <c r="Q99" s="2"/>
      <c r="R99" s="21"/>
      <c r="S99" s="2"/>
      <c r="T99" s="2">
        <f>-8.15</f>
        <v>-8.15</v>
      </c>
      <c r="U99" s="2"/>
      <c r="V99" s="21"/>
      <c r="W99" s="2"/>
      <c r="X99" s="2">
        <f t="shared" si="2"/>
        <v>4.2</v>
      </c>
      <c r="Y99" s="2"/>
      <c r="Z99" s="21">
        <f t="shared" si="3"/>
        <v>-0.51533742331288346</v>
      </c>
    </row>
    <row r="100" spans="1:26" s="24" customFormat="1" hidden="1" outlineLevel="1" x14ac:dyDescent="0.25">
      <c r="A100" s="50"/>
      <c r="B100" s="11" t="str">
        <f>CONCATENATE("          ", "4346", " - ", "SALES RETURN NON TAXABLE-COIN-")</f>
        <v xml:space="preserve">          4346 - SALES RETURN NON TAXABLE-COIN-</v>
      </c>
      <c r="C100" s="11"/>
      <c r="D100" s="2">
        <f>-8.15</f>
        <v>-8.15</v>
      </c>
      <c r="E100" s="2"/>
      <c r="F100" s="21"/>
      <c r="G100" s="2"/>
      <c r="H100" s="2">
        <f>0</f>
        <v>0</v>
      </c>
      <c r="I100" s="2"/>
      <c r="J100" s="21"/>
      <c r="K100" s="2"/>
      <c r="L100" s="2">
        <f t="shared" si="0"/>
        <v>-8.15</v>
      </c>
      <c r="M100" s="2"/>
      <c r="N100" s="21">
        <f t="shared" si="1"/>
        <v>0</v>
      </c>
      <c r="O100" s="11"/>
      <c r="P100" s="2">
        <f>-8.15</f>
        <v>-8.15</v>
      </c>
      <c r="Q100" s="2"/>
      <c r="R100" s="21"/>
      <c r="S100" s="2"/>
      <c r="T100" s="2">
        <f>0</f>
        <v>0</v>
      </c>
      <c r="U100" s="2"/>
      <c r="V100" s="21"/>
      <c r="W100" s="2"/>
      <c r="X100" s="2">
        <f t="shared" si="2"/>
        <v>-8.15</v>
      </c>
      <c r="Y100" s="2"/>
      <c r="Z100" s="21">
        <f t="shared" si="3"/>
        <v>0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collapsed="1" x14ac:dyDescent="0.25">
      <c r="A102" s="10"/>
      <c r="B102" s="25" t="s">
        <v>8</v>
      </c>
      <c r="C102" s="10"/>
      <c r="D102" s="4">
        <f>SUM(OSRRefD16x_0)</f>
        <v>1836476.3300000005</v>
      </c>
      <c r="E102" s="4"/>
      <c r="F102" s="12">
        <f t="shared" ref="F102:F152" si="6">IF(D$12=0,0,D102/D$12)</f>
        <v>0.64853647374291301</v>
      </c>
      <c r="G102" s="4"/>
      <c r="H102" s="4">
        <f>SUM(OSRRefH16x_0)</f>
        <v>2105863.7800000003</v>
      </c>
      <c r="I102" s="4"/>
      <c r="J102" s="12">
        <f t="shared" ref="J102:J152" si="7">IF(H$12=0,0,H102/H$12)</f>
        <v>0.66525617968512352</v>
      </c>
      <c r="K102" s="4"/>
      <c r="L102" s="4">
        <f t="shared" ref="L102:L152" si="8">+D102-H102</f>
        <v>-269387.44999999972</v>
      </c>
      <c r="M102" s="4"/>
      <c r="N102" s="12">
        <f t="shared" ref="N102:N152" si="9">IF(H102=0,0,L102/H102)</f>
        <v>-0.12792254302412651</v>
      </c>
      <c r="O102" s="10"/>
      <c r="P102" s="4">
        <f>SUM(OSRRefP16x_0)</f>
        <v>2055665.0800000015</v>
      </c>
      <c r="Q102" s="4"/>
      <c r="R102" s="12">
        <f t="shared" ref="R102:R152" si="10">IF(P$12=0,0,P102/P$12)</f>
        <v>0.63397782178562523</v>
      </c>
      <c r="S102" s="4"/>
      <c r="T102" s="4">
        <f>SUM(OSRRefT16x_0)</f>
        <v>2330072.4299999997</v>
      </c>
      <c r="U102" s="4"/>
      <c r="V102" s="12">
        <f t="shared" ref="V102:V152" si="11">IF(T$12=0,0,T102/T$12)</f>
        <v>0.6461322792316988</v>
      </c>
      <c r="W102" s="4"/>
      <c r="X102" s="4">
        <f t="shared" ref="X102:X152" si="12">+P102-T102</f>
        <v>-274407.34999999823</v>
      </c>
      <c r="Y102" s="4"/>
      <c r="Z102" s="12">
        <f t="shared" ref="Z102:Z152" si="13">IF(T102=0,0,X102/T102)</f>
        <v>-0.11776773394121412</v>
      </c>
    </row>
    <row r="103" spans="1:26" s="24" customFormat="1" hidden="1" outlineLevel="1" x14ac:dyDescent="0.25">
      <c r="A103" s="50"/>
      <c r="B103" s="11" t="str">
        <f>CONCATENATE("          ", "5001", " - ", "PURCHASES @ COST-NEW TEXT")</f>
        <v xml:space="preserve">          5001 - PURCHASES @ COST-NEW TEXT</v>
      </c>
      <c r="C103" s="11"/>
      <c r="D103" s="2">
        <v>1483764.14</v>
      </c>
      <c r="E103" s="2"/>
      <c r="F103" s="21">
        <f t="shared" si="6"/>
        <v>0.52397907204270122</v>
      </c>
      <c r="G103" s="2"/>
      <c r="H103" s="2">
        <v>1253099.2100000002</v>
      </c>
      <c r="I103" s="2"/>
      <c r="J103" s="21">
        <f t="shared" si="7"/>
        <v>0.39586225905411904</v>
      </c>
      <c r="K103" s="2"/>
      <c r="L103" s="2">
        <f t="shared" si="8"/>
        <v>230664.9299999997</v>
      </c>
      <c r="M103" s="2"/>
      <c r="N103" s="21">
        <f t="shared" si="9"/>
        <v>0.18407555296439751</v>
      </c>
      <c r="O103" s="11"/>
      <c r="P103" s="2">
        <v>1827758.7</v>
      </c>
      <c r="Q103" s="2"/>
      <c r="R103" s="21">
        <f t="shared" si="10"/>
        <v>0.56369030667959064</v>
      </c>
      <c r="S103" s="2"/>
      <c r="T103" s="2">
        <v>1755170.96</v>
      </c>
      <c r="U103" s="2"/>
      <c r="V103" s="21">
        <f t="shared" si="11"/>
        <v>0.48671131344448765</v>
      </c>
      <c r="W103" s="2"/>
      <c r="X103" s="2">
        <f t="shared" si="12"/>
        <v>72587.739999999991</v>
      </c>
      <c r="Y103" s="2"/>
      <c r="Z103" s="21">
        <f t="shared" si="13"/>
        <v>4.1356506946764883E-2</v>
      </c>
    </row>
    <row r="104" spans="1:26" s="24" customFormat="1" hidden="1" outlineLevel="1" x14ac:dyDescent="0.25">
      <c r="A104" s="50"/>
      <c r="B104" s="11" t="str">
        <f>CONCATENATE("          ", "5002", " - ", "PURCHASES @ COST-USED TEXT")</f>
        <v xml:space="preserve">          5002 - PURCHASES @ COST-USED TEXT</v>
      </c>
      <c r="C104" s="11"/>
      <c r="D104" s="2">
        <v>224687.41999999998</v>
      </c>
      <c r="E104" s="2"/>
      <c r="F104" s="21">
        <f t="shared" si="6"/>
        <v>7.9346509770258145E-2</v>
      </c>
      <c r="G104" s="2"/>
      <c r="H104" s="2">
        <v>234692.72</v>
      </c>
      <c r="I104" s="2"/>
      <c r="J104" s="21">
        <f t="shared" si="7"/>
        <v>7.4140969510910315E-2</v>
      </c>
      <c r="K104" s="2"/>
      <c r="L104" s="2">
        <f t="shared" si="8"/>
        <v>-10005.300000000017</v>
      </c>
      <c r="M104" s="2"/>
      <c r="N104" s="21">
        <f t="shared" si="9"/>
        <v>-4.2631488526785229E-2</v>
      </c>
      <c r="O104" s="11"/>
      <c r="P104" s="2">
        <v>334980.67</v>
      </c>
      <c r="Q104" s="2"/>
      <c r="R104" s="21">
        <f t="shared" si="10"/>
        <v>0.10330978405630609</v>
      </c>
      <c r="S104" s="2"/>
      <c r="T104" s="2">
        <v>170574.41999999998</v>
      </c>
      <c r="U104" s="2"/>
      <c r="V104" s="21">
        <f t="shared" si="11"/>
        <v>4.7300520513529738E-2</v>
      </c>
      <c r="W104" s="2"/>
      <c r="X104" s="2">
        <f t="shared" si="12"/>
        <v>164406.25</v>
      </c>
      <c r="Y104" s="2"/>
      <c r="Z104" s="21">
        <f t="shared" si="13"/>
        <v>0.96383883351325494</v>
      </c>
    </row>
    <row r="105" spans="1:26" s="24" customFormat="1" hidden="1" outlineLevel="1" x14ac:dyDescent="0.25">
      <c r="A105" s="50"/>
      <c r="B105" s="11" t="str">
        <f>CONCATENATE("          ", "5003", " - ", "PURCHASES @ COST-RENTAL TEXT")</f>
        <v xml:space="preserve">          5003 - PURCHASES @ COST-RENTAL TEXT</v>
      </c>
      <c r="C105" s="11"/>
      <c r="D105" s="2">
        <v>-38374.199999999997</v>
      </c>
      <c r="E105" s="2"/>
      <c r="F105" s="21">
        <f t="shared" si="6"/>
        <v>-1.3551532325333746E-2</v>
      </c>
      <c r="G105" s="2"/>
      <c r="H105" s="2">
        <v>4208</v>
      </c>
      <c r="I105" s="2"/>
      <c r="J105" s="21">
        <f t="shared" si="7"/>
        <v>1.3293347987185567E-3</v>
      </c>
      <c r="K105" s="2"/>
      <c r="L105" s="2">
        <f t="shared" si="8"/>
        <v>-42582.2</v>
      </c>
      <c r="M105" s="2"/>
      <c r="N105" s="21">
        <f t="shared" si="9"/>
        <v>-10.119344106463878</v>
      </c>
      <c r="O105" s="11"/>
      <c r="P105" s="2">
        <v>-78.400000000000006</v>
      </c>
      <c r="Q105" s="2"/>
      <c r="R105" s="21">
        <f t="shared" si="10"/>
        <v>-2.4178968505897366E-5</v>
      </c>
      <c r="S105" s="2"/>
      <c r="T105" s="2">
        <v>2444.3000000000002</v>
      </c>
      <c r="U105" s="2"/>
      <c r="V105" s="21">
        <f t="shared" si="11"/>
        <v>6.7780774099200072E-4</v>
      </c>
      <c r="W105" s="2"/>
      <c r="X105" s="2">
        <f t="shared" si="12"/>
        <v>-2522.7000000000003</v>
      </c>
      <c r="Y105" s="2"/>
      <c r="Z105" s="21">
        <f t="shared" si="13"/>
        <v>-1.0320746225913349</v>
      </c>
    </row>
    <row r="106" spans="1:26" s="24" customFormat="1" hidden="1" outlineLevel="1" x14ac:dyDescent="0.25">
      <c r="A106" s="50"/>
      <c r="B106" s="11" t="str">
        <f>CONCATENATE("          ", "5004", " - ", "PURCHASES @ COST-DIGITAL TEXT")</f>
        <v xml:space="preserve">          5004 - PURCHASES @ COST-DIGITAL TEXT</v>
      </c>
      <c r="C106" s="11"/>
      <c r="D106" s="2">
        <v>169007.92</v>
      </c>
      <c r="E106" s="2"/>
      <c r="F106" s="21">
        <f t="shared" si="6"/>
        <v>5.96837534363562E-2</v>
      </c>
      <c r="G106" s="2"/>
      <c r="H106" s="2">
        <v>56273.21</v>
      </c>
      <c r="I106" s="2"/>
      <c r="J106" s="21">
        <f t="shared" si="7"/>
        <v>1.7777076114210331E-2</v>
      </c>
      <c r="K106" s="2"/>
      <c r="L106" s="2">
        <f t="shared" si="8"/>
        <v>112734.71000000002</v>
      </c>
      <c r="M106" s="2"/>
      <c r="N106" s="21">
        <f t="shared" si="9"/>
        <v>2.0033459971450007</v>
      </c>
      <c r="O106" s="11"/>
      <c r="P106" s="2">
        <v>302966.49000000005</v>
      </c>
      <c r="Q106" s="2"/>
      <c r="R106" s="21">
        <f t="shared" si="10"/>
        <v>9.3436444133319765E-2</v>
      </c>
      <c r="S106" s="2"/>
      <c r="T106" s="2">
        <v>202213.11</v>
      </c>
      <c r="U106" s="2"/>
      <c r="V106" s="21">
        <f t="shared" si="11"/>
        <v>5.607397262531888E-2</v>
      </c>
      <c r="W106" s="2"/>
      <c r="X106" s="2">
        <f t="shared" si="12"/>
        <v>100753.38000000006</v>
      </c>
      <c r="Y106" s="2"/>
      <c r="Z106" s="21">
        <f t="shared" si="13"/>
        <v>0.49825345151953832</v>
      </c>
    </row>
    <row r="107" spans="1:26" s="24" customFormat="1" hidden="1" outlineLevel="1" x14ac:dyDescent="0.25">
      <c r="A107" s="50"/>
      <c r="B107" s="11" t="str">
        <f>CONCATENATE("          ", "5011", " - ", "PURCHASES @ COST-NO VALUE TEXT")</f>
        <v xml:space="preserve">          5011 - PURCHASES @ COST-NO VALUE TEXT</v>
      </c>
      <c r="C107" s="11"/>
      <c r="D107" s="2">
        <v>369</v>
      </c>
      <c r="E107" s="2"/>
      <c r="F107" s="21">
        <f t="shared" si="6"/>
        <v>1.3030930750473373E-4</v>
      </c>
      <c r="G107" s="2"/>
      <c r="H107" s="2">
        <v>516</v>
      </c>
      <c r="I107" s="2"/>
      <c r="J107" s="21">
        <f t="shared" si="7"/>
        <v>1.6300778425351126E-4</v>
      </c>
      <c r="K107" s="2"/>
      <c r="L107" s="2">
        <f t="shared" si="8"/>
        <v>-147</v>
      </c>
      <c r="M107" s="2"/>
      <c r="N107" s="21">
        <f t="shared" si="9"/>
        <v>-0.28488372093023256</v>
      </c>
      <c r="O107" s="11"/>
      <c r="P107" s="2">
        <v>657</v>
      </c>
      <c r="Q107" s="2"/>
      <c r="R107" s="21">
        <f t="shared" si="10"/>
        <v>2.0262222332110419E-4</v>
      </c>
      <c r="S107" s="2"/>
      <c r="T107" s="2">
        <v>957</v>
      </c>
      <c r="U107" s="2"/>
      <c r="V107" s="21">
        <f t="shared" si="11"/>
        <v>2.6537741199089503E-4</v>
      </c>
      <c r="W107" s="2"/>
      <c r="X107" s="2">
        <f t="shared" si="12"/>
        <v>-300</v>
      </c>
      <c r="Y107" s="2"/>
      <c r="Z107" s="21">
        <f t="shared" si="13"/>
        <v>-0.31347962382445144</v>
      </c>
    </row>
    <row r="108" spans="1:26" s="24" customFormat="1" hidden="1" outlineLevel="1" x14ac:dyDescent="0.25">
      <c r="A108" s="50"/>
      <c r="B108" s="11" t="str">
        <f>CONCATENATE("          ", "5013", " - ", "PURCHASES @ COST-TRADE BOOKS")</f>
        <v xml:space="preserve">          5013 - PURCHASES @ COST-TRADE BOOKS</v>
      </c>
      <c r="C108" s="11"/>
      <c r="D108" s="2"/>
      <c r="E108" s="2"/>
      <c r="F108" s="21">
        <f t="shared" si="6"/>
        <v>0</v>
      </c>
      <c r="G108" s="2"/>
      <c r="H108" s="2">
        <v>1483.2</v>
      </c>
      <c r="I108" s="2"/>
      <c r="J108" s="21">
        <f t="shared" si="7"/>
        <v>4.6855260776125561E-4</v>
      </c>
      <c r="K108" s="2"/>
      <c r="L108" s="2">
        <f t="shared" si="8"/>
        <v>-1483.2</v>
      </c>
      <c r="M108" s="2"/>
      <c r="N108" s="21">
        <f t="shared" si="9"/>
        <v>-1</v>
      </c>
      <c r="O108" s="11"/>
      <c r="P108" s="2">
        <v>204.9</v>
      </c>
      <c r="Q108" s="2"/>
      <c r="R108" s="21">
        <f t="shared" si="10"/>
        <v>6.3192227638499617E-5</v>
      </c>
      <c r="S108" s="2"/>
      <c r="T108" s="2">
        <v>1602.99</v>
      </c>
      <c r="U108" s="2"/>
      <c r="V108" s="21">
        <f t="shared" si="11"/>
        <v>4.4451132460531325E-4</v>
      </c>
      <c r="W108" s="2"/>
      <c r="X108" s="2">
        <f t="shared" si="12"/>
        <v>-1398.09</v>
      </c>
      <c r="Y108" s="2"/>
      <c r="Z108" s="21">
        <f t="shared" si="13"/>
        <v>-0.87217637040780038</v>
      </c>
    </row>
    <row r="109" spans="1:26" s="24" customFormat="1" hidden="1" outlineLevel="1" x14ac:dyDescent="0.25">
      <c r="A109" s="50"/>
      <c r="B109" s="11" t="str">
        <f>CONCATENATE("          ", "5014", " - ", "PURCHASES @ COST-REMAINDERS")</f>
        <v xml:space="preserve">          5014 - PURCHASES @ COST-REMAINDERS</v>
      </c>
      <c r="C109" s="11"/>
      <c r="D109" s="2">
        <v>133.84</v>
      </c>
      <c r="E109" s="2"/>
      <c r="F109" s="21">
        <f t="shared" si="6"/>
        <v>4.7264492456459515E-5</v>
      </c>
      <c r="G109" s="2"/>
      <c r="H109" s="2">
        <v>-23.6</v>
      </c>
      <c r="I109" s="2"/>
      <c r="J109" s="21">
        <f t="shared" si="7"/>
        <v>-7.4553947836877239E-6</v>
      </c>
      <c r="K109" s="2"/>
      <c r="L109" s="2">
        <f t="shared" si="8"/>
        <v>157.44</v>
      </c>
      <c r="M109" s="2"/>
      <c r="N109" s="21">
        <f t="shared" si="9"/>
        <v>-6.6711864406779657</v>
      </c>
      <c r="O109" s="11"/>
      <c r="P109" s="2">
        <v>234.32</v>
      </c>
      <c r="Q109" s="2"/>
      <c r="R109" s="21">
        <f t="shared" si="10"/>
        <v>7.2265508932421813E-5</v>
      </c>
      <c r="S109" s="2"/>
      <c r="T109" s="2">
        <v>204</v>
      </c>
      <c r="U109" s="2"/>
      <c r="V109" s="21">
        <f t="shared" si="11"/>
        <v>5.6569479672040315E-5</v>
      </c>
      <c r="W109" s="2"/>
      <c r="X109" s="2">
        <f t="shared" si="12"/>
        <v>30.319999999999993</v>
      </c>
      <c r="Y109" s="2"/>
      <c r="Z109" s="21">
        <f t="shared" si="13"/>
        <v>0.14862745098039212</v>
      </c>
    </row>
    <row r="110" spans="1:26" s="24" customFormat="1" hidden="1" outlineLevel="1" x14ac:dyDescent="0.25">
      <c r="A110" s="50"/>
      <c r="B110" s="11" t="str">
        <f>CONCATENATE("          ", "5017", " - ", "PURCHASES @ COST-DORM/HOUSEWAR")</f>
        <v xml:space="preserve">          5017 - PURCHASES @ COST-DORM/HOUSEWAR</v>
      </c>
      <c r="C110" s="11"/>
      <c r="D110" s="2">
        <v>139.86000000000001</v>
      </c>
      <c r="E110" s="2"/>
      <c r="F110" s="21">
        <f t="shared" si="6"/>
        <v>4.9390405820086885E-5</v>
      </c>
      <c r="G110" s="2"/>
      <c r="H110" s="2">
        <v>959.6</v>
      </c>
      <c r="I110" s="2"/>
      <c r="J110" s="21">
        <f t="shared" si="7"/>
        <v>3.0314393366215E-4</v>
      </c>
      <c r="K110" s="2"/>
      <c r="L110" s="2">
        <f t="shared" si="8"/>
        <v>-819.74</v>
      </c>
      <c r="M110" s="2"/>
      <c r="N110" s="21">
        <f t="shared" si="9"/>
        <v>-0.85425177157148813</v>
      </c>
      <c r="O110" s="11"/>
      <c r="P110" s="2">
        <v>139.86000000000001</v>
      </c>
      <c r="Q110" s="2"/>
      <c r="R110" s="21">
        <f t="shared" si="10"/>
        <v>4.3133552745341911E-5</v>
      </c>
      <c r="S110" s="2"/>
      <c r="T110" s="2">
        <v>959.6</v>
      </c>
      <c r="U110" s="2"/>
      <c r="V110" s="21">
        <f t="shared" si="11"/>
        <v>2.6609839555534259E-4</v>
      </c>
      <c r="W110" s="2"/>
      <c r="X110" s="2">
        <f t="shared" si="12"/>
        <v>-819.74</v>
      </c>
      <c r="Y110" s="2"/>
      <c r="Z110" s="21">
        <f t="shared" si="13"/>
        <v>-0.85425177157148813</v>
      </c>
    </row>
    <row r="111" spans="1:26" s="24" customFormat="1" hidden="1" outlineLevel="1" x14ac:dyDescent="0.25">
      <c r="A111" s="50"/>
      <c r="B111" s="11" t="str">
        <f>CONCATENATE("          ", "5018", " - ", "PURCHASES @ COST-STUDY GUIDES")</f>
        <v xml:space="preserve">          5018 - PURCHASES @ COST-STUDY GUIDES</v>
      </c>
      <c r="C111" s="11"/>
      <c r="D111" s="2"/>
      <c r="E111" s="2"/>
      <c r="F111" s="21">
        <f t="shared" si="6"/>
        <v>0</v>
      </c>
      <c r="G111" s="2"/>
      <c r="H111" s="2">
        <v>449</v>
      </c>
      <c r="I111" s="2"/>
      <c r="J111" s="21">
        <f t="shared" si="7"/>
        <v>1.4184204482524526E-4</v>
      </c>
      <c r="K111" s="2"/>
      <c r="L111" s="2">
        <f t="shared" si="8"/>
        <v>-449</v>
      </c>
      <c r="M111" s="2"/>
      <c r="N111" s="21">
        <f t="shared" si="9"/>
        <v>-1</v>
      </c>
      <c r="O111" s="11"/>
      <c r="P111" s="2">
        <v>503.93</v>
      </c>
      <c r="Q111" s="2"/>
      <c r="R111" s="21">
        <f t="shared" si="10"/>
        <v>1.554146377446028E-4</v>
      </c>
      <c r="S111" s="2"/>
      <c r="T111" s="2">
        <v>818.63</v>
      </c>
      <c r="U111" s="2"/>
      <c r="V111" s="21">
        <f t="shared" si="11"/>
        <v>2.2700722129373707E-4</v>
      </c>
      <c r="W111" s="2"/>
      <c r="X111" s="2">
        <f t="shared" si="12"/>
        <v>-314.7</v>
      </c>
      <c r="Y111" s="2"/>
      <c r="Z111" s="21">
        <f t="shared" si="13"/>
        <v>-0.38442275509082247</v>
      </c>
    </row>
    <row r="112" spans="1:26" s="24" customFormat="1" hidden="1" outlineLevel="1" x14ac:dyDescent="0.25">
      <c r="A112" s="50"/>
      <c r="B112" s="11" t="str">
        <f>CONCATENATE("          ", "5025", " - ", "PURCHASES @ COST-TEST FORMS")</f>
        <v xml:space="preserve">          5025 - PURCHASES @ COST-TEST FORMS</v>
      </c>
      <c r="C112" s="11"/>
      <c r="D112" s="2">
        <v>878.02</v>
      </c>
      <c r="E112" s="2"/>
      <c r="F112" s="21">
        <f t="shared" si="6"/>
        <v>3.1006552351031517E-4</v>
      </c>
      <c r="G112" s="2"/>
      <c r="H112" s="2"/>
      <c r="I112" s="2"/>
      <c r="J112" s="21">
        <f t="shared" si="7"/>
        <v>0</v>
      </c>
      <c r="K112" s="2"/>
      <c r="L112" s="2">
        <f t="shared" si="8"/>
        <v>878.02</v>
      </c>
      <c r="M112" s="2"/>
      <c r="N112" s="21">
        <f t="shared" si="9"/>
        <v>0</v>
      </c>
      <c r="O112" s="11"/>
      <c r="P112" s="2">
        <v>1757.14</v>
      </c>
      <c r="Q112" s="2"/>
      <c r="R112" s="21">
        <f t="shared" si="10"/>
        <v>5.4191113163842473E-4</v>
      </c>
      <c r="S112" s="2"/>
      <c r="T112" s="2">
        <v>1050</v>
      </c>
      <c r="U112" s="2"/>
      <c r="V112" s="21">
        <f t="shared" si="11"/>
        <v>2.911664394884428E-4</v>
      </c>
      <c r="W112" s="2"/>
      <c r="X112" s="2">
        <f t="shared" si="12"/>
        <v>707.1400000000001</v>
      </c>
      <c r="Y112" s="2"/>
      <c r="Z112" s="21">
        <f t="shared" si="13"/>
        <v>0.67346666666666677</v>
      </c>
    </row>
    <row r="113" spans="1:26" s="24" customFormat="1" hidden="1" outlineLevel="1" x14ac:dyDescent="0.25">
      <c r="A113" s="50"/>
      <c r="B113" s="11" t="str">
        <f>CONCATENATE("          ", "5026", " - ", "PURCHASES @ COST-WRITING INSTR")</f>
        <v xml:space="preserve">          5026 - PURCHASES @ COST-WRITING INSTR</v>
      </c>
      <c r="C113" s="11"/>
      <c r="D113" s="2">
        <v>2205.4899999999998</v>
      </c>
      <c r="E113" s="2"/>
      <c r="F113" s="21">
        <f t="shared" si="6"/>
        <v>7.7885060869543399E-4</v>
      </c>
      <c r="G113" s="2"/>
      <c r="H113" s="2">
        <v>-16593.27</v>
      </c>
      <c r="I113" s="2"/>
      <c r="J113" s="21">
        <f t="shared" si="7"/>
        <v>-5.241922822132288E-3</v>
      </c>
      <c r="K113" s="2"/>
      <c r="L113" s="2">
        <f t="shared" si="8"/>
        <v>18798.760000000002</v>
      </c>
      <c r="M113" s="2"/>
      <c r="N113" s="21">
        <f t="shared" si="9"/>
        <v>-1.1329147298874787</v>
      </c>
      <c r="O113" s="11"/>
      <c r="P113" s="2">
        <v>12536.53</v>
      </c>
      <c r="Q113" s="2"/>
      <c r="R113" s="21">
        <f t="shared" si="10"/>
        <v>3.8663311740208864E-3</v>
      </c>
      <c r="S113" s="2"/>
      <c r="T113" s="2">
        <v>4596.82</v>
      </c>
      <c r="U113" s="2"/>
      <c r="V113" s="21">
        <f t="shared" si="11"/>
        <v>1.2747044879707272E-3</v>
      </c>
      <c r="W113" s="2"/>
      <c r="X113" s="2">
        <f t="shared" si="12"/>
        <v>7939.7100000000009</v>
      </c>
      <c r="Y113" s="2"/>
      <c r="Z113" s="21">
        <f t="shared" si="13"/>
        <v>1.7272179463194124</v>
      </c>
    </row>
    <row r="114" spans="1:26" s="24" customFormat="1" hidden="1" outlineLevel="1" x14ac:dyDescent="0.25">
      <c r="A114" s="50"/>
      <c r="B114" s="11" t="str">
        <f>CONCATENATE("          ", "5027", " - ", "PURCHASES @ COST-SCHOOL SUPPLI")</f>
        <v xml:space="preserve">          5027 - PURCHASES @ COST-SCHOOL SUPPLI</v>
      </c>
      <c r="C114" s="11"/>
      <c r="D114" s="2">
        <v>-588.74</v>
      </c>
      <c r="E114" s="2"/>
      <c r="F114" s="21">
        <f t="shared" si="6"/>
        <v>-2.0790867669468003E-4</v>
      </c>
      <c r="G114" s="2"/>
      <c r="H114" s="2">
        <v>-11423.61</v>
      </c>
      <c r="I114" s="2"/>
      <c r="J114" s="21">
        <f t="shared" si="7"/>
        <v>-3.6087933222408016E-3</v>
      </c>
      <c r="K114" s="2"/>
      <c r="L114" s="2">
        <f t="shared" si="8"/>
        <v>10834.87</v>
      </c>
      <c r="M114" s="2"/>
      <c r="N114" s="21">
        <f t="shared" si="9"/>
        <v>-0.94846287644623728</v>
      </c>
      <c r="O114" s="11"/>
      <c r="P114" s="2">
        <v>49526.729999999996</v>
      </c>
      <c r="Q114" s="2"/>
      <c r="R114" s="21">
        <f t="shared" si="10"/>
        <v>1.5274301592730639E-2</v>
      </c>
      <c r="S114" s="2"/>
      <c r="T114" s="2">
        <v>43670.19</v>
      </c>
      <c r="U114" s="2"/>
      <c r="V114" s="21">
        <f t="shared" si="11"/>
        <v>1.2109803556270286E-2</v>
      </c>
      <c r="W114" s="2"/>
      <c r="X114" s="2">
        <f t="shared" si="12"/>
        <v>5856.5399999999936</v>
      </c>
      <c r="Y114" s="2"/>
      <c r="Z114" s="21">
        <f t="shared" si="13"/>
        <v>0.13410841583240177</v>
      </c>
    </row>
    <row r="115" spans="1:26" s="24" customFormat="1" hidden="1" outlineLevel="1" x14ac:dyDescent="0.25">
      <c r="A115" s="50"/>
      <c r="B115" s="11" t="str">
        <f>CONCATENATE("          ", "5028", " - ", "PURCHASES @ COST-ART/TECH")</f>
        <v xml:space="preserve">          5028 - PURCHASES @ COST-ART/TECH</v>
      </c>
      <c r="C115" s="11"/>
      <c r="D115" s="2">
        <v>27987.119999999999</v>
      </c>
      <c r="E115" s="2"/>
      <c r="F115" s="21">
        <f t="shared" si="6"/>
        <v>9.8834206673492769E-3</v>
      </c>
      <c r="G115" s="2"/>
      <c r="H115" s="2">
        <v>11572.23</v>
      </c>
      <c r="I115" s="2"/>
      <c r="J115" s="21">
        <f t="shared" si="7"/>
        <v>3.6557433549845161E-3</v>
      </c>
      <c r="K115" s="2"/>
      <c r="L115" s="2">
        <f t="shared" si="8"/>
        <v>16414.89</v>
      </c>
      <c r="M115" s="2"/>
      <c r="N115" s="21">
        <f t="shared" si="9"/>
        <v>1.4184724983862229</v>
      </c>
      <c r="O115" s="11"/>
      <c r="P115" s="2">
        <v>56014.77</v>
      </c>
      <c r="Q115" s="2"/>
      <c r="R115" s="21">
        <f t="shared" si="10"/>
        <v>1.7275246934886281E-2</v>
      </c>
      <c r="S115" s="2"/>
      <c r="T115" s="2">
        <v>37596.310000000005</v>
      </c>
      <c r="U115" s="2"/>
      <c r="V115" s="21">
        <f t="shared" si="11"/>
        <v>1.0425508305336893E-2</v>
      </c>
      <c r="W115" s="2"/>
      <c r="X115" s="2">
        <f t="shared" si="12"/>
        <v>18418.459999999992</v>
      </c>
      <c r="Y115" s="2"/>
      <c r="Z115" s="21">
        <f t="shared" si="13"/>
        <v>0.48990073759898217</v>
      </c>
    </row>
    <row r="116" spans="1:26" s="24" customFormat="1" hidden="1" outlineLevel="1" x14ac:dyDescent="0.25">
      <c r="A116" s="50"/>
      <c r="B116" s="11" t="str">
        <f>CONCATENATE("          ", "5031", " - ", "PURCHASES @ COST-FOOD")</f>
        <v xml:space="preserve">          5031 - PURCHASES @ COST-FOOD</v>
      </c>
      <c r="C116" s="11"/>
      <c r="D116" s="2">
        <v>2679.04</v>
      </c>
      <c r="E116" s="2"/>
      <c r="F116" s="21">
        <f t="shared" si="6"/>
        <v>9.460808866598423E-4</v>
      </c>
      <c r="G116" s="2"/>
      <c r="H116" s="2">
        <v>2874.01</v>
      </c>
      <c r="I116" s="2"/>
      <c r="J116" s="21">
        <f t="shared" si="7"/>
        <v>9.0791860857060837E-4</v>
      </c>
      <c r="K116" s="2"/>
      <c r="L116" s="2">
        <f t="shared" si="8"/>
        <v>-194.97000000000025</v>
      </c>
      <c r="M116" s="2"/>
      <c r="N116" s="21">
        <f t="shared" si="9"/>
        <v>-6.7839012390353629E-2</v>
      </c>
      <c r="O116" s="11"/>
      <c r="P116" s="2">
        <v>2679.04</v>
      </c>
      <c r="Q116" s="2"/>
      <c r="R116" s="21">
        <f t="shared" si="10"/>
        <v>8.262298952300928E-4</v>
      </c>
      <c r="S116" s="2"/>
      <c r="T116" s="2">
        <v>2963.17</v>
      </c>
      <c r="U116" s="2"/>
      <c r="V116" s="21">
        <f t="shared" si="11"/>
        <v>8.2169110333235151E-4</v>
      </c>
      <c r="W116" s="2"/>
      <c r="X116" s="2">
        <f t="shared" si="12"/>
        <v>-284.13000000000011</v>
      </c>
      <c r="Y116" s="2"/>
      <c r="Z116" s="21">
        <f t="shared" si="13"/>
        <v>-9.5887174883655044E-2</v>
      </c>
    </row>
    <row r="117" spans="1:26" s="24" customFormat="1" hidden="1" outlineLevel="1" x14ac:dyDescent="0.25">
      <c r="A117" s="50"/>
      <c r="B117" s="11" t="str">
        <f>CONCATENATE("          ", "5032", " - ", "PURCHASES @ COST-JUICE")</f>
        <v xml:space="preserve">          5032 - PURCHASES @ COST-JUICE</v>
      </c>
      <c r="C117" s="11"/>
      <c r="D117" s="2">
        <v>227.18</v>
      </c>
      <c r="E117" s="2"/>
      <c r="F117" s="21">
        <f t="shared" si="6"/>
        <v>8.0226743845326304E-5</v>
      </c>
      <c r="G117" s="2"/>
      <c r="H117" s="2">
        <v>982.09</v>
      </c>
      <c r="I117" s="2"/>
      <c r="J117" s="21">
        <f t="shared" si="7"/>
        <v>3.1024867216575752E-4</v>
      </c>
      <c r="K117" s="2"/>
      <c r="L117" s="2">
        <f t="shared" si="8"/>
        <v>-754.91000000000008</v>
      </c>
      <c r="M117" s="2"/>
      <c r="N117" s="21">
        <f t="shared" si="9"/>
        <v>-0.76867700516245974</v>
      </c>
      <c r="O117" s="11"/>
      <c r="P117" s="2">
        <v>341.6</v>
      </c>
      <c r="Q117" s="2"/>
      <c r="R117" s="21">
        <f t="shared" si="10"/>
        <v>1.0535121991855281E-4</v>
      </c>
      <c r="S117" s="2"/>
      <c r="T117" s="2">
        <v>982.09</v>
      </c>
      <c r="U117" s="2"/>
      <c r="V117" s="21">
        <f t="shared" si="11"/>
        <v>2.723349033878141E-4</v>
      </c>
      <c r="W117" s="2"/>
      <c r="X117" s="2">
        <f t="shared" si="12"/>
        <v>-640.49</v>
      </c>
      <c r="Y117" s="2"/>
      <c r="Z117" s="21">
        <f t="shared" si="13"/>
        <v>-0.65217037135089451</v>
      </c>
    </row>
    <row r="118" spans="1:26" s="24" customFormat="1" hidden="1" outlineLevel="1" x14ac:dyDescent="0.25">
      <c r="A118" s="50"/>
      <c r="B118" s="11" t="str">
        <f>CONCATENATE("          ", "5033", " - ", "PURCHASES @ COST-CANDY")</f>
        <v xml:space="preserve">          5033 - PURCHASES @ COST-CANDY</v>
      </c>
      <c r="C118" s="11"/>
      <c r="D118" s="2">
        <v>986.46</v>
      </c>
      <c r="E118" s="2"/>
      <c r="F118" s="21">
        <f t="shared" si="6"/>
        <v>3.4836021539598813E-4</v>
      </c>
      <c r="G118" s="2"/>
      <c r="H118" s="2">
        <v>926.93</v>
      </c>
      <c r="I118" s="2"/>
      <c r="J118" s="21">
        <f t="shared" si="7"/>
        <v>2.9282326639168058E-4</v>
      </c>
      <c r="K118" s="2"/>
      <c r="L118" s="2">
        <f t="shared" si="8"/>
        <v>59.530000000000086</v>
      </c>
      <c r="M118" s="2"/>
      <c r="N118" s="21">
        <f t="shared" si="9"/>
        <v>6.4222756842480105E-2</v>
      </c>
      <c r="O118" s="11"/>
      <c r="P118" s="2">
        <v>986.46</v>
      </c>
      <c r="Q118" s="2"/>
      <c r="R118" s="21">
        <f t="shared" si="10"/>
        <v>3.0422940398376933E-4</v>
      </c>
      <c r="S118" s="2"/>
      <c r="T118" s="2">
        <v>1089.92</v>
      </c>
      <c r="U118" s="2"/>
      <c r="V118" s="21">
        <f t="shared" si="11"/>
        <v>3.0223631021642248E-4</v>
      </c>
      <c r="W118" s="2"/>
      <c r="X118" s="2">
        <f t="shared" si="12"/>
        <v>-103.46000000000004</v>
      </c>
      <c r="Y118" s="2"/>
      <c r="Z118" s="21">
        <f t="shared" si="13"/>
        <v>-9.4924398120963038E-2</v>
      </c>
    </row>
    <row r="119" spans="1:26" s="24" customFormat="1" hidden="1" outlineLevel="1" x14ac:dyDescent="0.25">
      <c r="A119" s="50"/>
      <c r="B119" s="11" t="str">
        <f>CONCATENATE("          ", "5034", " - ", "PURCHASES @ COST-SODA")</f>
        <v xml:space="preserve">          5034 - PURCHASES @ COST-SODA</v>
      </c>
      <c r="C119" s="11"/>
      <c r="D119" s="2">
        <v>350.04</v>
      </c>
      <c r="E119" s="2"/>
      <c r="F119" s="21">
        <f t="shared" si="6"/>
        <v>1.2361373983457179E-4</v>
      </c>
      <c r="G119" s="2"/>
      <c r="H119" s="2">
        <v>538.94000000000005</v>
      </c>
      <c r="I119" s="2"/>
      <c r="J119" s="21">
        <f t="shared" si="7"/>
        <v>1.7025468070850264E-4</v>
      </c>
      <c r="K119" s="2"/>
      <c r="L119" s="2">
        <f t="shared" si="8"/>
        <v>-188.90000000000003</v>
      </c>
      <c r="M119" s="2"/>
      <c r="N119" s="21">
        <f t="shared" si="9"/>
        <v>-0.3505028389060007</v>
      </c>
      <c r="O119" s="11"/>
      <c r="P119" s="2">
        <v>288.5</v>
      </c>
      <c r="Q119" s="2"/>
      <c r="R119" s="21">
        <f t="shared" si="10"/>
        <v>8.8974903239175883E-5</v>
      </c>
      <c r="S119" s="2"/>
      <c r="T119" s="2">
        <v>538.94000000000005</v>
      </c>
      <c r="U119" s="2"/>
      <c r="V119" s="21">
        <f t="shared" si="11"/>
        <v>1.4944880085514416E-4</v>
      </c>
      <c r="W119" s="2"/>
      <c r="X119" s="2">
        <f t="shared" si="12"/>
        <v>-250.44000000000005</v>
      </c>
      <c r="Y119" s="2"/>
      <c r="Z119" s="21">
        <f t="shared" si="13"/>
        <v>-0.4646899469328683</v>
      </c>
    </row>
    <row r="120" spans="1:26" s="24" customFormat="1" hidden="1" outlineLevel="1" x14ac:dyDescent="0.25">
      <c r="A120" s="50"/>
      <c r="B120" s="11" t="str">
        <f>CONCATENATE("          ", "5035", " - ", "PURCHASES @ COST-HEALTH &amp; BEAU")</f>
        <v xml:space="preserve">          5035 - PURCHASES @ COST-HEALTH &amp; BEAU</v>
      </c>
      <c r="C120" s="11"/>
      <c r="D120" s="2">
        <v>76.73</v>
      </c>
      <c r="E120" s="2"/>
      <c r="F120" s="21">
        <f t="shared" si="6"/>
        <v>2.7096566842379996E-5</v>
      </c>
      <c r="G120" s="2"/>
      <c r="H120" s="2">
        <v>44.49</v>
      </c>
      <c r="I120" s="2"/>
      <c r="J120" s="21">
        <f t="shared" si="7"/>
        <v>1.4054682793485883E-5</v>
      </c>
      <c r="K120" s="2"/>
      <c r="L120" s="2">
        <f t="shared" si="8"/>
        <v>32.24</v>
      </c>
      <c r="M120" s="2"/>
      <c r="N120" s="21">
        <f t="shared" si="9"/>
        <v>0.72465722634299845</v>
      </c>
      <c r="O120" s="11"/>
      <c r="P120" s="2">
        <v>76.73</v>
      </c>
      <c r="Q120" s="2"/>
      <c r="R120" s="21">
        <f t="shared" si="10"/>
        <v>2.3663931804304909E-5</v>
      </c>
      <c r="S120" s="2"/>
      <c r="T120" s="2">
        <v>44.49</v>
      </c>
      <c r="U120" s="2"/>
      <c r="V120" s="21">
        <f t="shared" si="11"/>
        <v>1.2337137993181734E-5</v>
      </c>
      <c r="W120" s="2"/>
      <c r="X120" s="2">
        <f t="shared" si="12"/>
        <v>32.24</v>
      </c>
      <c r="Y120" s="2"/>
      <c r="Z120" s="21">
        <f t="shared" si="13"/>
        <v>0.72465722634299845</v>
      </c>
    </row>
    <row r="121" spans="1:26" s="24" customFormat="1" hidden="1" outlineLevel="1" x14ac:dyDescent="0.25">
      <c r="A121" s="50"/>
      <c r="B121" s="11" t="str">
        <f>CONCATENATE("          ", "5037", " - ", "PURCHASES @ COST-WATER")</f>
        <v xml:space="preserve">          5037 - PURCHASES @ COST-WATER</v>
      </c>
      <c r="C121" s="11"/>
      <c r="D121" s="2">
        <v>462.36</v>
      </c>
      <c r="E121" s="2"/>
      <c r="F121" s="21">
        <f t="shared" si="6"/>
        <v>1.6327862172869562E-4</v>
      </c>
      <c r="G121" s="2"/>
      <c r="H121" s="2">
        <v>591.05999999999995</v>
      </c>
      <c r="I121" s="2"/>
      <c r="J121" s="21">
        <f t="shared" si="7"/>
        <v>1.8671973054434175E-4</v>
      </c>
      <c r="K121" s="2"/>
      <c r="L121" s="2">
        <f t="shared" si="8"/>
        <v>-128.69999999999993</v>
      </c>
      <c r="M121" s="2"/>
      <c r="N121" s="21">
        <f t="shared" si="9"/>
        <v>-0.21774439143234181</v>
      </c>
      <c r="O121" s="11"/>
      <c r="P121" s="2">
        <v>495.94</v>
      </c>
      <c r="Q121" s="2"/>
      <c r="R121" s="21">
        <f t="shared" si="10"/>
        <v>1.5295048011243289E-4</v>
      </c>
      <c r="S121" s="2"/>
      <c r="T121" s="2">
        <v>591.05999999999995</v>
      </c>
      <c r="U121" s="2"/>
      <c r="V121" s="21">
        <f t="shared" si="11"/>
        <v>1.6390174830860856E-4</v>
      </c>
      <c r="W121" s="2"/>
      <c r="X121" s="2">
        <f t="shared" si="12"/>
        <v>-95.119999999999948</v>
      </c>
      <c r="Y121" s="2"/>
      <c r="Z121" s="21">
        <f t="shared" si="13"/>
        <v>-0.16093120833756294</v>
      </c>
    </row>
    <row r="122" spans="1:26" s="24" customFormat="1" hidden="1" outlineLevel="1" x14ac:dyDescent="0.25">
      <c r="A122" s="50"/>
      <c r="B122" s="11" t="str">
        <f>CONCATENATE("          ", "5040", " - ", "PURCHASES @ COST-LOGO CLOTHING")</f>
        <v xml:space="preserve">          5040 - PURCHASES @ COST-LOGO CLOTHING</v>
      </c>
      <c r="C122" s="11"/>
      <c r="D122" s="2">
        <v>106647.4</v>
      </c>
      <c r="E122" s="2"/>
      <c r="F122" s="21">
        <f t="shared" si="6"/>
        <v>3.7661649976098478E-2</v>
      </c>
      <c r="G122" s="2"/>
      <c r="H122" s="2">
        <v>88746.85</v>
      </c>
      <c r="I122" s="2"/>
      <c r="J122" s="21">
        <f t="shared" si="7"/>
        <v>2.8035711972826987E-2</v>
      </c>
      <c r="K122" s="2"/>
      <c r="L122" s="2">
        <f t="shared" si="8"/>
        <v>17900.549999999988</v>
      </c>
      <c r="M122" s="2"/>
      <c r="N122" s="21">
        <f t="shared" si="9"/>
        <v>0.20170349708186811</v>
      </c>
      <c r="O122" s="11"/>
      <c r="P122" s="2">
        <v>185568.97</v>
      </c>
      <c r="Q122" s="2"/>
      <c r="R122" s="21">
        <f t="shared" si="10"/>
        <v>5.7230437261502717E-2</v>
      </c>
      <c r="S122" s="2"/>
      <c r="T122" s="2">
        <v>168247.22</v>
      </c>
      <c r="U122" s="2"/>
      <c r="V122" s="21">
        <f t="shared" si="11"/>
        <v>4.6655184763074974E-2</v>
      </c>
      <c r="W122" s="2"/>
      <c r="X122" s="2">
        <f t="shared" si="12"/>
        <v>17321.75</v>
      </c>
      <c r="Y122" s="2"/>
      <c r="Z122" s="21">
        <f t="shared" si="13"/>
        <v>0.10295415282344636</v>
      </c>
    </row>
    <row r="123" spans="1:26" s="24" customFormat="1" hidden="1" outlineLevel="1" x14ac:dyDescent="0.25">
      <c r="A123" s="50"/>
      <c r="B123" s="11" t="str">
        <f>CONCATENATE("          ", "5041", " - ", "PURCHASES @ COST-LOGO GIFTS")</f>
        <v xml:space="preserve">          5041 - PURCHASES @ COST-LOGO GIFTS</v>
      </c>
      <c r="C123" s="11"/>
      <c r="D123" s="2">
        <v>16578.89</v>
      </c>
      <c r="E123" s="2"/>
      <c r="F123" s="21">
        <f t="shared" si="6"/>
        <v>5.8546983064963545E-3</v>
      </c>
      <c r="G123" s="2"/>
      <c r="H123" s="2">
        <v>18758.96</v>
      </c>
      <c r="I123" s="2"/>
      <c r="J123" s="21">
        <f t="shared" si="7"/>
        <v>5.9260784970935022E-3</v>
      </c>
      <c r="K123" s="2"/>
      <c r="L123" s="2">
        <f t="shared" si="8"/>
        <v>-2180.0699999999997</v>
      </c>
      <c r="M123" s="2"/>
      <c r="N123" s="21">
        <f t="shared" si="9"/>
        <v>-0.11621486478994571</v>
      </c>
      <c r="O123" s="11"/>
      <c r="P123" s="2">
        <v>28529.16</v>
      </c>
      <c r="Q123" s="2"/>
      <c r="R123" s="21">
        <f t="shared" si="10"/>
        <v>8.7985415961697299E-3</v>
      </c>
      <c r="S123" s="2"/>
      <c r="T123" s="2">
        <v>40854.899999999994</v>
      </c>
      <c r="U123" s="2"/>
      <c r="V123" s="21">
        <f t="shared" si="11"/>
        <v>1.1329119779672743E-2</v>
      </c>
      <c r="W123" s="2"/>
      <c r="X123" s="2">
        <f t="shared" si="12"/>
        <v>-12325.739999999994</v>
      </c>
      <c r="Y123" s="2"/>
      <c r="Z123" s="21">
        <f t="shared" si="13"/>
        <v>-0.30169551265576455</v>
      </c>
    </row>
    <row r="124" spans="1:26" s="24" customFormat="1" hidden="1" outlineLevel="1" x14ac:dyDescent="0.25">
      <c r="A124" s="50"/>
      <c r="B124" s="11" t="str">
        <f>CONCATENATE("          ", "5042", " - ", "PURCHASES @ COST-EVERYDAY GIFT")</f>
        <v xml:space="preserve">          5042 - PURCHASES @ COST-EVERYDAY GIFT</v>
      </c>
      <c r="C124" s="11"/>
      <c r="D124" s="2">
        <v>15979.86</v>
      </c>
      <c r="E124" s="2"/>
      <c r="F124" s="21">
        <f t="shared" si="6"/>
        <v>5.6431558011452417E-3</v>
      </c>
      <c r="G124" s="2"/>
      <c r="H124" s="2">
        <v>18833.41</v>
      </c>
      <c r="I124" s="2"/>
      <c r="J124" s="21">
        <f t="shared" si="7"/>
        <v>5.9495977403835679E-3</v>
      </c>
      <c r="K124" s="2"/>
      <c r="L124" s="2">
        <f t="shared" si="8"/>
        <v>-2853.5499999999993</v>
      </c>
      <c r="M124" s="2"/>
      <c r="N124" s="21">
        <f t="shared" si="9"/>
        <v>-0.15151531241554234</v>
      </c>
      <c r="O124" s="11"/>
      <c r="P124" s="2">
        <v>23732.22</v>
      </c>
      <c r="Q124" s="2"/>
      <c r="R124" s="21">
        <f t="shared" si="10"/>
        <v>7.3191403055488215E-3</v>
      </c>
      <c r="S124" s="2"/>
      <c r="T124" s="2">
        <v>23533.83</v>
      </c>
      <c r="U124" s="2"/>
      <c r="V124" s="21">
        <f t="shared" si="11"/>
        <v>6.5259633225012385E-3</v>
      </c>
      <c r="W124" s="2"/>
      <c r="X124" s="2">
        <f t="shared" si="12"/>
        <v>198.38999999999942</v>
      </c>
      <c r="Y124" s="2"/>
      <c r="Z124" s="21">
        <f t="shared" si="13"/>
        <v>8.429992058241239E-3</v>
      </c>
    </row>
    <row r="125" spans="1:26" s="24" customFormat="1" hidden="1" outlineLevel="1" x14ac:dyDescent="0.25">
      <c r="A125" s="50"/>
      <c r="B125" s="11" t="str">
        <f>CONCATENATE("          ", "5043", " - ", "PURCHASES @ COST-CARDS")</f>
        <v xml:space="preserve">          5043 - PURCHASES @ COST-CARDS</v>
      </c>
      <c r="C125" s="11"/>
      <c r="D125" s="2">
        <v>15.24</v>
      </c>
      <c r="E125" s="2"/>
      <c r="F125" s="21">
        <f t="shared" si="6"/>
        <v>5.3818803424719296E-6</v>
      </c>
      <c r="G125" s="2"/>
      <c r="H125" s="2">
        <v>-6.92</v>
      </c>
      <c r="I125" s="2"/>
      <c r="J125" s="21">
        <f t="shared" si="7"/>
        <v>-2.1860733857253834E-6</v>
      </c>
      <c r="K125" s="2"/>
      <c r="L125" s="2">
        <f t="shared" si="8"/>
        <v>22.16</v>
      </c>
      <c r="M125" s="2"/>
      <c r="N125" s="21">
        <f t="shared" si="9"/>
        <v>-3.2023121387283235</v>
      </c>
      <c r="O125" s="11"/>
      <c r="P125" s="2">
        <v>513.5</v>
      </c>
      <c r="Q125" s="2"/>
      <c r="R125" s="21">
        <f t="shared" si="10"/>
        <v>1.5836607560941704E-4</v>
      </c>
      <c r="S125" s="2"/>
      <c r="T125" s="2">
        <v>463.81</v>
      </c>
      <c r="U125" s="2"/>
      <c r="V125" s="21">
        <f t="shared" si="11"/>
        <v>1.2861514885631871E-4</v>
      </c>
      <c r="W125" s="2"/>
      <c r="X125" s="2">
        <f t="shared" si="12"/>
        <v>49.69</v>
      </c>
      <c r="Y125" s="2"/>
      <c r="Z125" s="21">
        <f t="shared" si="13"/>
        <v>0.10713438692568077</v>
      </c>
    </row>
    <row r="126" spans="1:26" s="24" customFormat="1" hidden="1" outlineLevel="1" x14ac:dyDescent="0.25">
      <c r="A126" s="50"/>
      <c r="B126" s="11" t="str">
        <f>CONCATENATE("          ", "5044", " - ", "PURCHASES @ COST-ACCESSORIES")</f>
        <v xml:space="preserve">          5044 - PURCHASES @ COST-ACCESSORIES</v>
      </c>
      <c r="C126" s="11"/>
      <c r="D126" s="2">
        <v>13249.12</v>
      </c>
      <c r="E126" s="2"/>
      <c r="F126" s="21">
        <f t="shared" si="6"/>
        <v>4.6788174857645467E-3</v>
      </c>
      <c r="G126" s="2"/>
      <c r="H126" s="2">
        <v>2132.59</v>
      </c>
      <c r="I126" s="2"/>
      <c r="J126" s="21">
        <f t="shared" si="7"/>
        <v>6.7369916787053403E-4</v>
      </c>
      <c r="K126" s="2"/>
      <c r="L126" s="2">
        <f t="shared" si="8"/>
        <v>11116.53</v>
      </c>
      <c r="M126" s="2"/>
      <c r="N126" s="21">
        <f t="shared" si="9"/>
        <v>5.212689734079218</v>
      </c>
      <c r="O126" s="11"/>
      <c r="P126" s="2">
        <v>18088.12</v>
      </c>
      <c r="Q126" s="2"/>
      <c r="R126" s="21">
        <f t="shared" si="10"/>
        <v>5.5784704567715844E-3</v>
      </c>
      <c r="S126" s="2"/>
      <c r="T126" s="2">
        <v>8195.59</v>
      </c>
      <c r="U126" s="2"/>
      <c r="V126" s="21">
        <f t="shared" si="11"/>
        <v>2.2726483426734161E-3</v>
      </c>
      <c r="W126" s="2"/>
      <c r="X126" s="2">
        <f t="shared" si="12"/>
        <v>9892.5299999999988</v>
      </c>
      <c r="Y126" s="2"/>
      <c r="Z126" s="21">
        <f t="shared" si="13"/>
        <v>1.2070552577666769</v>
      </c>
    </row>
    <row r="127" spans="1:26" s="24" customFormat="1" hidden="1" outlineLevel="1" x14ac:dyDescent="0.25">
      <c r="A127" s="50"/>
      <c r="B127" s="11" t="str">
        <f>CONCATENATE("          ", "5045", " - ", "PURCHASES @ COST-SPECIAL ORDER")</f>
        <v xml:space="preserve">          5045 - PURCHASES @ COST-SPECIAL ORDER</v>
      </c>
      <c r="C127" s="11"/>
      <c r="D127" s="2">
        <v>4152.78</v>
      </c>
      <c r="E127" s="2"/>
      <c r="F127" s="21">
        <f t="shared" si="6"/>
        <v>1.4665200163130299E-3</v>
      </c>
      <c r="G127" s="2"/>
      <c r="H127" s="2">
        <v>11385.67</v>
      </c>
      <c r="I127" s="2"/>
      <c r="J127" s="21">
        <f t="shared" si="7"/>
        <v>3.5968078274063475E-3</v>
      </c>
      <c r="K127" s="2"/>
      <c r="L127" s="2">
        <f t="shared" si="8"/>
        <v>-7232.89</v>
      </c>
      <c r="M127" s="2"/>
      <c r="N127" s="21">
        <f t="shared" si="9"/>
        <v>-0.6352625712847817</v>
      </c>
      <c r="O127" s="11"/>
      <c r="P127" s="2">
        <v>20145.63</v>
      </c>
      <c r="Q127" s="2"/>
      <c r="R127" s="21">
        <f t="shared" si="10"/>
        <v>6.2130172614982288E-3</v>
      </c>
      <c r="S127" s="2"/>
      <c r="T127" s="2">
        <v>30009.980000000003</v>
      </c>
      <c r="U127" s="2"/>
      <c r="V127" s="21">
        <f t="shared" si="11"/>
        <v>8.3218085959232187E-3</v>
      </c>
      <c r="W127" s="2"/>
      <c r="X127" s="2">
        <f t="shared" si="12"/>
        <v>-9864.3500000000022</v>
      </c>
      <c r="Y127" s="2"/>
      <c r="Z127" s="21">
        <f t="shared" si="13"/>
        <v>-0.32870231836209157</v>
      </c>
    </row>
    <row r="128" spans="1:26" s="24" customFormat="1" hidden="1" outlineLevel="1" x14ac:dyDescent="0.25">
      <c r="A128" s="50"/>
      <c r="B128" s="11" t="str">
        <f>CONCATENATE("          ", "5053", " - ", "PURCHASES @ COST-FOOD")</f>
        <v xml:space="preserve">          5053 - PURCHASES @ COST-FOOD</v>
      </c>
      <c r="C128" s="11"/>
      <c r="D128" s="2">
        <v>95948.59</v>
      </c>
      <c r="E128" s="2"/>
      <c r="F128" s="21">
        <f t="shared" si="6"/>
        <v>3.3883453438904115E-2</v>
      </c>
      <c r="G128" s="2"/>
      <c r="H128" s="2">
        <v>101504.65</v>
      </c>
      <c r="I128" s="2"/>
      <c r="J128" s="21">
        <f t="shared" si="7"/>
        <v>3.2065984666527457E-2</v>
      </c>
      <c r="K128" s="2"/>
      <c r="L128" s="2">
        <f t="shared" si="8"/>
        <v>-5556.0599999999977</v>
      </c>
      <c r="M128" s="2"/>
      <c r="N128" s="21">
        <f t="shared" si="9"/>
        <v>-5.4736999733509727E-2</v>
      </c>
      <c r="O128" s="11"/>
      <c r="P128" s="2">
        <v>137505.66</v>
      </c>
      <c r="Q128" s="2"/>
      <c r="R128" s="21">
        <f t="shared" si="10"/>
        <v>4.2407462021972334E-2</v>
      </c>
      <c r="S128" s="2"/>
      <c r="T128" s="2">
        <v>135173.54999999999</v>
      </c>
      <c r="U128" s="2"/>
      <c r="V128" s="21">
        <f t="shared" si="11"/>
        <v>3.7483810730012376E-2</v>
      </c>
      <c r="W128" s="2"/>
      <c r="X128" s="2">
        <f t="shared" si="12"/>
        <v>2332.1100000000151</v>
      </c>
      <c r="Y128" s="2"/>
      <c r="Z128" s="21">
        <f t="shared" si="13"/>
        <v>1.7252709572250009E-2</v>
      </c>
    </row>
    <row r="129" spans="1:26" s="24" customFormat="1" hidden="1" outlineLevel="1" x14ac:dyDescent="0.25">
      <c r="A129" s="50"/>
      <c r="B129" s="11" t="str">
        <f>CONCATENATE("          ", "5059", " - ", "PURCHASES @ COST-FOOD")</f>
        <v xml:space="preserve">          5059 - PURCHASES @ COST-FOOD</v>
      </c>
      <c r="C129" s="11"/>
      <c r="D129" s="2">
        <v>-29750.09</v>
      </c>
      <c r="E129" s="2"/>
      <c r="F129" s="21">
        <f t="shared" si="6"/>
        <v>-1.0505998986730361E-2</v>
      </c>
      <c r="G129" s="2"/>
      <c r="H129" s="2">
        <v>-30836.89</v>
      </c>
      <c r="I129" s="2"/>
      <c r="J129" s="21">
        <f t="shared" si="7"/>
        <v>-9.7415757987776332E-3</v>
      </c>
      <c r="K129" s="2"/>
      <c r="L129" s="2">
        <f t="shared" si="8"/>
        <v>1086.7999999999993</v>
      </c>
      <c r="M129" s="2"/>
      <c r="N129" s="21">
        <f t="shared" si="9"/>
        <v>-3.5243502181964502E-2</v>
      </c>
      <c r="O129" s="11"/>
      <c r="P129" s="2">
        <v>-46040.84</v>
      </c>
      <c r="Q129" s="2"/>
      <c r="R129" s="21">
        <f t="shared" si="10"/>
        <v>-1.4199234953380862E-2</v>
      </c>
      <c r="S129" s="2"/>
      <c r="T129" s="2">
        <v>-51992.83</v>
      </c>
      <c r="U129" s="2"/>
      <c r="V129" s="21">
        <f t="shared" si="11"/>
        <v>-1.4417683038121803E-2</v>
      </c>
      <c r="W129" s="2"/>
      <c r="X129" s="2">
        <f t="shared" si="12"/>
        <v>5951.9900000000052</v>
      </c>
      <c r="Y129" s="2"/>
      <c r="Z129" s="21">
        <f t="shared" si="13"/>
        <v>-0.11447713078899542</v>
      </c>
    </row>
    <row r="130" spans="1:26" s="24" customFormat="1" hidden="1" outlineLevel="1" x14ac:dyDescent="0.25">
      <c r="A130" s="50"/>
      <c r="B130" s="11" t="str">
        <f>CONCATENATE("          ", "5081", " - ", "PURCHASES @ COST-ELECTRONICS")</f>
        <v xml:space="preserve">          5081 - PURCHASES @ COST-ELECTRONICS</v>
      </c>
      <c r="C130" s="11"/>
      <c r="D130" s="2">
        <v>304.16000000000003</v>
      </c>
      <c r="E130" s="2"/>
      <c r="F130" s="21">
        <f t="shared" si="6"/>
        <v>1.0741159612639515E-4</v>
      </c>
      <c r="G130" s="2"/>
      <c r="H130" s="2">
        <v>156.52000000000001</v>
      </c>
      <c r="I130" s="2"/>
      <c r="J130" s="21">
        <f t="shared" si="7"/>
        <v>4.9445694556898417E-5</v>
      </c>
      <c r="K130" s="2"/>
      <c r="L130" s="2">
        <f t="shared" si="8"/>
        <v>147.64000000000001</v>
      </c>
      <c r="M130" s="2"/>
      <c r="N130" s="21">
        <f t="shared" si="9"/>
        <v>0.94326603628929218</v>
      </c>
      <c r="O130" s="11"/>
      <c r="P130" s="2">
        <v>304.16000000000003</v>
      </c>
      <c r="Q130" s="2"/>
      <c r="R130" s="21">
        <f t="shared" si="10"/>
        <v>9.3804528836144687E-5</v>
      </c>
      <c r="S130" s="2"/>
      <c r="T130" s="2">
        <v>156.52000000000001</v>
      </c>
      <c r="U130" s="2"/>
      <c r="V130" s="21">
        <f t="shared" si="11"/>
        <v>4.3403210579743873E-5</v>
      </c>
      <c r="W130" s="2"/>
      <c r="X130" s="2">
        <f t="shared" si="12"/>
        <v>147.64000000000001</v>
      </c>
      <c r="Y130" s="2"/>
      <c r="Z130" s="21">
        <f t="shared" si="13"/>
        <v>0.94326603628929218</v>
      </c>
    </row>
    <row r="131" spans="1:26" s="24" customFormat="1" hidden="1" outlineLevel="1" x14ac:dyDescent="0.25">
      <c r="A131" s="50"/>
      <c r="B131" s="11" t="str">
        <f>CONCATENATE("          ", "5082", " - ", "PURCHASES @ COST-COMPUTER HARD")</f>
        <v xml:space="preserve">          5082 - PURCHASES @ COST-COMPUTER HARD</v>
      </c>
      <c r="C131" s="11"/>
      <c r="D131" s="2">
        <v>130.6</v>
      </c>
      <c r="E131" s="2"/>
      <c r="F131" s="21">
        <f t="shared" si="6"/>
        <v>4.6120313171052098E-5</v>
      </c>
      <c r="G131" s="2"/>
      <c r="H131" s="2">
        <v>58</v>
      </c>
      <c r="I131" s="2"/>
      <c r="J131" s="21">
        <f t="shared" si="7"/>
        <v>1.8322580400588473E-5</v>
      </c>
      <c r="K131" s="2"/>
      <c r="L131" s="2">
        <f t="shared" si="8"/>
        <v>72.599999999999994</v>
      </c>
      <c r="M131" s="2"/>
      <c r="N131" s="21">
        <f t="shared" si="9"/>
        <v>1.2517241379310344</v>
      </c>
      <c r="O131" s="11"/>
      <c r="P131" s="2">
        <v>130.6</v>
      </c>
      <c r="Q131" s="2"/>
      <c r="R131" s="21">
        <f t="shared" si="10"/>
        <v>4.0277720495793311E-5</v>
      </c>
      <c r="S131" s="2"/>
      <c r="T131" s="2">
        <v>58</v>
      </c>
      <c r="U131" s="2"/>
      <c r="V131" s="21">
        <f t="shared" si="11"/>
        <v>1.6083479514599697E-5</v>
      </c>
      <c r="W131" s="2"/>
      <c r="X131" s="2">
        <f t="shared" si="12"/>
        <v>72.599999999999994</v>
      </c>
      <c r="Y131" s="2"/>
      <c r="Z131" s="21">
        <f t="shared" si="13"/>
        <v>1.2517241379310344</v>
      </c>
    </row>
    <row r="132" spans="1:26" s="24" customFormat="1" hidden="1" outlineLevel="1" x14ac:dyDescent="0.25">
      <c r="A132" s="50"/>
      <c r="B132" s="11" t="str">
        <f>CONCATENATE("          ", "5083", " - ", "PURCHASES @ COST-COMPUTER EQUI")</f>
        <v xml:space="preserve">          5083 - PURCHASES @ COST-COMPUTER EQUI</v>
      </c>
      <c r="C132" s="11"/>
      <c r="D132" s="2">
        <v>81.45</v>
      </c>
      <c r="E132" s="2"/>
      <c r="F132" s="21">
        <f t="shared" si="6"/>
        <v>2.8763395924825371E-5</v>
      </c>
      <c r="G132" s="2"/>
      <c r="H132" s="2">
        <v>86.05</v>
      </c>
      <c r="I132" s="2"/>
      <c r="J132" s="21">
        <f t="shared" si="7"/>
        <v>2.7183759370183417E-5</v>
      </c>
      <c r="K132" s="2"/>
      <c r="L132" s="2">
        <f t="shared" si="8"/>
        <v>-4.5999999999999943</v>
      </c>
      <c r="M132" s="2"/>
      <c r="N132" s="21">
        <f t="shared" si="9"/>
        <v>-5.345729227193486E-2</v>
      </c>
      <c r="O132" s="11"/>
      <c r="P132" s="2">
        <v>81.45</v>
      </c>
      <c r="Q132" s="2"/>
      <c r="R132" s="21">
        <f t="shared" si="10"/>
        <v>2.5119604398027301E-5</v>
      </c>
      <c r="S132" s="2"/>
      <c r="T132" s="2">
        <v>86.05</v>
      </c>
      <c r="U132" s="2"/>
      <c r="V132" s="21">
        <f t="shared" si="11"/>
        <v>2.3861782969505241E-5</v>
      </c>
      <c r="W132" s="2"/>
      <c r="X132" s="2">
        <f t="shared" si="12"/>
        <v>-4.5999999999999943</v>
      </c>
      <c r="Y132" s="2"/>
      <c r="Z132" s="21">
        <f t="shared" si="13"/>
        <v>-5.345729227193486E-2</v>
      </c>
    </row>
    <row r="133" spans="1:26" s="24" customFormat="1" hidden="1" outlineLevel="1" x14ac:dyDescent="0.25">
      <c r="A133" s="50"/>
      <c r="B133" s="11" t="str">
        <f>CONCATENATE("          ", "5086", " - ", "PURCHASES @ COST-COMPUTER SUPP")</f>
        <v xml:space="preserve">          5086 - PURCHASES @ COST-COMPUTER SUPP</v>
      </c>
      <c r="C133" s="11"/>
      <c r="D133" s="2">
        <v>58</v>
      </c>
      <c r="E133" s="2"/>
      <c r="F133" s="21">
        <f t="shared" si="6"/>
        <v>2.0482221775811804E-5</v>
      </c>
      <c r="G133" s="2"/>
      <c r="H133" s="2">
        <v>92.47</v>
      </c>
      <c r="I133" s="2"/>
      <c r="J133" s="21">
        <f t="shared" si="7"/>
        <v>2.9211879476593381E-5</v>
      </c>
      <c r="K133" s="2"/>
      <c r="L133" s="2">
        <f t="shared" si="8"/>
        <v>-34.47</v>
      </c>
      <c r="M133" s="2"/>
      <c r="N133" s="21">
        <f t="shared" si="9"/>
        <v>-0.37276954688006919</v>
      </c>
      <c r="O133" s="11"/>
      <c r="P133" s="2">
        <v>58</v>
      </c>
      <c r="Q133" s="2"/>
      <c r="R133" s="21">
        <f t="shared" si="10"/>
        <v>1.78875022109955E-5</v>
      </c>
      <c r="S133" s="2"/>
      <c r="T133" s="2">
        <v>92.47</v>
      </c>
      <c r="U133" s="2"/>
      <c r="V133" s="21">
        <f t="shared" si="11"/>
        <v>2.5642057770948862E-5</v>
      </c>
      <c r="W133" s="2"/>
      <c r="X133" s="2">
        <f t="shared" si="12"/>
        <v>-34.47</v>
      </c>
      <c r="Y133" s="2"/>
      <c r="Z133" s="21">
        <f t="shared" si="13"/>
        <v>-0.37276954688006919</v>
      </c>
    </row>
    <row r="134" spans="1:26" s="24" customFormat="1" hidden="1" outlineLevel="1" x14ac:dyDescent="0.25">
      <c r="A134" s="50"/>
      <c r="B134" s="11" t="str">
        <f>CONCATENATE("          ", "5092", " - ", "PURCHASES @ COST-GRAD MERCH")</f>
        <v xml:space="preserve">          5092 - PURCHASES @ COST-GRAD MERCH</v>
      </c>
      <c r="C134" s="11"/>
      <c r="D134" s="2">
        <v>-600.6</v>
      </c>
      <c r="E134" s="2"/>
      <c r="F134" s="21">
        <f t="shared" si="6"/>
        <v>-2.1209693790607881E-4</v>
      </c>
      <c r="G134" s="2"/>
      <c r="H134" s="2">
        <v>-1509.65</v>
      </c>
      <c r="I134" s="2"/>
      <c r="J134" s="21">
        <f t="shared" si="7"/>
        <v>-4.769083362370412E-4</v>
      </c>
      <c r="K134" s="2"/>
      <c r="L134" s="2">
        <f t="shared" si="8"/>
        <v>909.05000000000007</v>
      </c>
      <c r="M134" s="2"/>
      <c r="N134" s="21">
        <f t="shared" si="9"/>
        <v>-0.60215944093001694</v>
      </c>
      <c r="O134" s="11"/>
      <c r="P134" s="2">
        <v>628</v>
      </c>
      <c r="Q134" s="2"/>
      <c r="R134" s="21">
        <f t="shared" si="10"/>
        <v>1.9367847221560643E-4</v>
      </c>
      <c r="S134" s="2"/>
      <c r="T134" s="2">
        <v>-2745.04</v>
      </c>
      <c r="U134" s="2"/>
      <c r="V134" s="21">
        <f t="shared" si="11"/>
        <v>-7.6120335528890952E-4</v>
      </c>
      <c r="W134" s="2"/>
      <c r="X134" s="2">
        <f t="shared" si="12"/>
        <v>3373.04</v>
      </c>
      <c r="Y134" s="2"/>
      <c r="Z134" s="21">
        <f t="shared" si="13"/>
        <v>-1.2287762655553289</v>
      </c>
    </row>
    <row r="135" spans="1:26" s="24" customFormat="1" hidden="1" outlineLevel="1" x14ac:dyDescent="0.25">
      <c r="A135" s="50"/>
      <c r="B135" s="11" t="str">
        <f>CONCATENATE("          ", "5095", " - ", "PURCHASES @ COST-CUSTOMER SERV")</f>
        <v xml:space="preserve">          5095 - PURCHASES @ COST-CUSTOMER SERV</v>
      </c>
      <c r="C135" s="11"/>
      <c r="D135" s="2"/>
      <c r="E135" s="2"/>
      <c r="F135" s="21">
        <f t="shared" si="6"/>
        <v>0</v>
      </c>
      <c r="G135" s="2"/>
      <c r="H135" s="2"/>
      <c r="I135" s="2"/>
      <c r="J135" s="21">
        <f t="shared" si="7"/>
        <v>0</v>
      </c>
      <c r="K135" s="2"/>
      <c r="L135" s="2">
        <f t="shared" si="8"/>
        <v>0</v>
      </c>
      <c r="M135" s="2"/>
      <c r="N135" s="21">
        <f t="shared" si="9"/>
        <v>0</v>
      </c>
      <c r="O135" s="11"/>
      <c r="P135" s="2">
        <v>0</v>
      </c>
      <c r="Q135" s="2"/>
      <c r="R135" s="21">
        <f t="shared" si="10"/>
        <v>0</v>
      </c>
      <c r="S135" s="2"/>
      <c r="T135" s="2"/>
      <c r="U135" s="2"/>
      <c r="V135" s="21">
        <f t="shared" si="11"/>
        <v>0</v>
      </c>
      <c r="W135" s="2"/>
      <c r="X135" s="2">
        <f t="shared" si="12"/>
        <v>0</v>
      </c>
      <c r="Y135" s="2"/>
      <c r="Z135" s="21">
        <f t="shared" si="13"/>
        <v>0</v>
      </c>
    </row>
    <row r="136" spans="1:26" s="24" customFormat="1" hidden="1" outlineLevel="1" x14ac:dyDescent="0.25">
      <c r="A136" s="50"/>
      <c r="B136" s="11" t="str">
        <f>CONCATENATE("          ", "5200", " - ", "PURCHASES OFFSET")</f>
        <v xml:space="preserve">          5200 - PURCHASES OFFSET</v>
      </c>
      <c r="C136" s="11"/>
      <c r="D136" s="2">
        <v>-1527442</v>
      </c>
      <c r="E136" s="2"/>
      <c r="F136" s="21">
        <f t="shared" si="6"/>
        <v>-0.53940354816706093</v>
      </c>
      <c r="G136" s="2"/>
      <c r="H136" s="2">
        <v>-1093106</v>
      </c>
      <c r="I136" s="2"/>
      <c r="J136" s="21">
        <f t="shared" si="7"/>
        <v>-0.34531935467871833</v>
      </c>
      <c r="K136" s="2"/>
      <c r="L136" s="2">
        <f t="shared" si="8"/>
        <v>-434336</v>
      </c>
      <c r="M136" s="2"/>
      <c r="N136" s="21">
        <f t="shared" si="9"/>
        <v>0.39734115447175294</v>
      </c>
      <c r="O136" s="11"/>
      <c r="P136" s="2">
        <v>-2356311</v>
      </c>
      <c r="Q136" s="2"/>
      <c r="R136" s="21">
        <f t="shared" si="10"/>
        <v>-0.72669859003953474</v>
      </c>
      <c r="S136" s="2"/>
      <c r="T136" s="2">
        <v>-1895524.0000000002</v>
      </c>
      <c r="U136" s="2"/>
      <c r="V136" s="21">
        <f t="shared" si="11"/>
        <v>-0.52563140385227725</v>
      </c>
      <c r="W136" s="2"/>
      <c r="X136" s="2">
        <f t="shared" si="12"/>
        <v>-460786.99999999977</v>
      </c>
      <c r="Y136" s="2"/>
      <c r="Z136" s="21">
        <f t="shared" si="13"/>
        <v>0.24309214760667747</v>
      </c>
    </row>
    <row r="137" spans="1:26" s="24" customFormat="1" hidden="1" outlineLevel="1" x14ac:dyDescent="0.25">
      <c r="A137" s="50"/>
      <c r="B137" s="11" t="str">
        <f>CONCATENATE("          ", "5300", " - ", "COG$ OFFSET")</f>
        <v xml:space="preserve">          5300 - COG$ OFFSET</v>
      </c>
      <c r="C137" s="11"/>
      <c r="D137" s="2">
        <v>1248264</v>
      </c>
      <c r="E137" s="2"/>
      <c r="F137" s="21">
        <f t="shared" si="6"/>
        <v>0.4408141393579646</v>
      </c>
      <c r="G137" s="2"/>
      <c r="H137" s="2">
        <v>1436060</v>
      </c>
      <c r="I137" s="2"/>
      <c r="J137" s="21">
        <f t="shared" si="7"/>
        <v>0.45366077258739801</v>
      </c>
      <c r="K137" s="2"/>
      <c r="L137" s="2">
        <f t="shared" si="8"/>
        <v>-187796</v>
      </c>
      <c r="M137" s="2"/>
      <c r="N137" s="21">
        <f t="shared" si="9"/>
        <v>-0.1307716947759843</v>
      </c>
      <c r="O137" s="11"/>
      <c r="P137" s="2">
        <v>1429434</v>
      </c>
      <c r="Q137" s="2"/>
      <c r="R137" s="21">
        <f t="shared" si="10"/>
        <v>0.44084489371503688</v>
      </c>
      <c r="S137" s="2"/>
      <c r="T137" s="2">
        <v>1627825</v>
      </c>
      <c r="U137" s="2"/>
      <c r="V137" s="21">
        <f t="shared" si="11"/>
        <v>0.45139810415264231</v>
      </c>
      <c r="W137" s="2"/>
      <c r="X137" s="2">
        <f t="shared" si="12"/>
        <v>-198391</v>
      </c>
      <c r="Y137" s="2"/>
      <c r="Z137" s="21">
        <f t="shared" si="13"/>
        <v>-0.12187489441432586</v>
      </c>
    </row>
    <row r="138" spans="1:26" s="24" customFormat="1" hidden="1" outlineLevel="1" x14ac:dyDescent="0.25">
      <c r="A138" s="50"/>
      <c r="B138" s="11" t="str">
        <f>CONCATENATE("          ", "5500", " - ", "FREIGHT-IN")</f>
        <v xml:space="preserve">          5500 - FREIGHT-IN</v>
      </c>
      <c r="C138" s="11"/>
      <c r="D138" s="2"/>
      <c r="E138" s="2"/>
      <c r="F138" s="21">
        <f t="shared" si="6"/>
        <v>0</v>
      </c>
      <c r="G138" s="2"/>
      <c r="H138" s="2">
        <v>213.97</v>
      </c>
      <c r="I138" s="2"/>
      <c r="J138" s="21">
        <f t="shared" si="7"/>
        <v>6.7594526350239927E-5</v>
      </c>
      <c r="K138" s="2"/>
      <c r="L138" s="2">
        <f t="shared" si="8"/>
        <v>-213.97</v>
      </c>
      <c r="M138" s="2"/>
      <c r="N138" s="21">
        <f t="shared" si="9"/>
        <v>-1</v>
      </c>
      <c r="O138" s="11"/>
      <c r="P138" s="2">
        <v>49</v>
      </c>
      <c r="Q138" s="2"/>
      <c r="R138" s="21">
        <f t="shared" si="10"/>
        <v>1.5111855316185853E-5</v>
      </c>
      <c r="S138" s="2"/>
      <c r="T138" s="2">
        <v>213.97</v>
      </c>
      <c r="U138" s="2"/>
      <c r="V138" s="21">
        <f t="shared" si="11"/>
        <v>5.9334174340325811E-5</v>
      </c>
      <c r="W138" s="2"/>
      <c r="X138" s="2">
        <f t="shared" si="12"/>
        <v>-164.97</v>
      </c>
      <c r="Y138" s="2"/>
      <c r="Z138" s="21">
        <f t="shared" si="13"/>
        <v>-0.77099593400944055</v>
      </c>
    </row>
    <row r="139" spans="1:26" s="24" customFormat="1" hidden="1" outlineLevel="1" x14ac:dyDescent="0.25">
      <c r="A139" s="50"/>
      <c r="B139" s="11" t="str">
        <f>CONCATENATE("          ", "5501", " - ", "FREIGHT-IN-NEW TEXT")</f>
        <v xml:space="preserve">          5501 - FREIGHT-IN-NEW TEXT</v>
      </c>
      <c r="C139" s="11"/>
      <c r="D139" s="2">
        <v>11008.16</v>
      </c>
      <c r="E139" s="2"/>
      <c r="F139" s="21">
        <f t="shared" si="6"/>
        <v>3.887440939027939E-3</v>
      </c>
      <c r="G139" s="2"/>
      <c r="H139" s="2">
        <v>6840.15</v>
      </c>
      <c r="I139" s="2"/>
      <c r="J139" s="21">
        <f t="shared" si="7"/>
        <v>2.160848247018711E-3</v>
      </c>
      <c r="K139" s="2"/>
      <c r="L139" s="2">
        <f t="shared" si="8"/>
        <v>4168.01</v>
      </c>
      <c r="M139" s="2"/>
      <c r="N139" s="21">
        <f t="shared" si="9"/>
        <v>0.60934482430940851</v>
      </c>
      <c r="O139" s="11"/>
      <c r="P139" s="2">
        <v>12724.24</v>
      </c>
      <c r="Q139" s="2"/>
      <c r="R139" s="21">
        <f t="shared" si="10"/>
        <v>3.9242219160902994E-3</v>
      </c>
      <c r="S139" s="2"/>
      <c r="T139" s="2">
        <v>8999.08</v>
      </c>
      <c r="U139" s="2"/>
      <c r="V139" s="21">
        <f t="shared" si="11"/>
        <v>2.4954572212111006E-3</v>
      </c>
      <c r="W139" s="2"/>
      <c r="X139" s="2">
        <f t="shared" si="12"/>
        <v>3725.16</v>
      </c>
      <c r="Y139" s="2"/>
      <c r="Z139" s="21">
        <f t="shared" si="13"/>
        <v>0.41394898145143727</v>
      </c>
    </row>
    <row r="140" spans="1:26" s="24" customFormat="1" hidden="1" outlineLevel="1" x14ac:dyDescent="0.25">
      <c r="A140" s="50"/>
      <c r="B140" s="11" t="str">
        <f>CONCATENATE("          ", "5502", " - ", "FREIGHT-IN-USED TEXT")</f>
        <v xml:space="preserve">          5502 - FREIGHT-IN-USED TEXT</v>
      </c>
      <c r="C140" s="11"/>
      <c r="D140" s="2">
        <v>3985.02</v>
      </c>
      <c r="E140" s="2"/>
      <c r="F140" s="21">
        <f t="shared" si="6"/>
        <v>1.4072769555352682E-3</v>
      </c>
      <c r="G140" s="2"/>
      <c r="H140" s="2">
        <v>1508.23</v>
      </c>
      <c r="I140" s="2"/>
      <c r="J140" s="21">
        <f t="shared" si="7"/>
        <v>4.7645974892378539E-4</v>
      </c>
      <c r="K140" s="2"/>
      <c r="L140" s="2">
        <f t="shared" si="8"/>
        <v>2476.79</v>
      </c>
      <c r="M140" s="2"/>
      <c r="N140" s="21">
        <f t="shared" si="9"/>
        <v>1.6421832213919627</v>
      </c>
      <c r="O140" s="11"/>
      <c r="P140" s="2">
        <v>4262.51</v>
      </c>
      <c r="Q140" s="2"/>
      <c r="R140" s="21">
        <f t="shared" si="10"/>
        <v>1.3145802939550073E-3</v>
      </c>
      <c r="S140" s="2"/>
      <c r="T140" s="2">
        <v>1794.84</v>
      </c>
      <c r="U140" s="2"/>
      <c r="V140" s="21">
        <f t="shared" si="11"/>
        <v>4.9771159262041581E-4</v>
      </c>
      <c r="W140" s="2"/>
      <c r="X140" s="2">
        <f t="shared" si="12"/>
        <v>2467.67</v>
      </c>
      <c r="Y140" s="2"/>
      <c r="Z140" s="21">
        <f t="shared" si="13"/>
        <v>1.3748690691092242</v>
      </c>
    </row>
    <row r="141" spans="1:26" s="24" customFormat="1" hidden="1" outlineLevel="1" x14ac:dyDescent="0.25">
      <c r="A141" s="50"/>
      <c r="B141" s="11" t="str">
        <f>CONCATENATE("          ", "5504", " - ", "FREIGHT-IN-DIGITAL TEXT")</f>
        <v xml:space="preserve">          5504 - FREIGHT-IN-DIGITAL TEXT</v>
      </c>
      <c r="C141" s="11"/>
      <c r="D141" s="2">
        <v>7.03</v>
      </c>
      <c r="E141" s="2"/>
      <c r="F141" s="21">
        <f t="shared" si="6"/>
        <v>2.482586535930293E-6</v>
      </c>
      <c r="G141" s="2"/>
      <c r="H141" s="2">
        <v>2.5</v>
      </c>
      <c r="I141" s="2"/>
      <c r="J141" s="21">
        <f t="shared" si="7"/>
        <v>7.8976639657708938E-7</v>
      </c>
      <c r="K141" s="2"/>
      <c r="L141" s="2">
        <f t="shared" si="8"/>
        <v>4.53</v>
      </c>
      <c r="M141" s="2"/>
      <c r="N141" s="21">
        <f t="shared" si="9"/>
        <v>1.8120000000000001</v>
      </c>
      <c r="O141" s="11"/>
      <c r="P141" s="2">
        <v>7.03</v>
      </c>
      <c r="Q141" s="2"/>
      <c r="R141" s="21">
        <f t="shared" si="10"/>
        <v>2.1680886300568682E-6</v>
      </c>
      <c r="S141" s="2"/>
      <c r="T141" s="2">
        <v>2.5</v>
      </c>
      <c r="U141" s="2"/>
      <c r="V141" s="21">
        <f t="shared" si="11"/>
        <v>6.9325342735343523E-7</v>
      </c>
      <c r="W141" s="2"/>
      <c r="X141" s="2">
        <f t="shared" si="12"/>
        <v>4.53</v>
      </c>
      <c r="Y141" s="2"/>
      <c r="Z141" s="21">
        <f t="shared" si="13"/>
        <v>1.8120000000000001</v>
      </c>
    </row>
    <row r="142" spans="1:26" s="24" customFormat="1" hidden="1" outlineLevel="1" x14ac:dyDescent="0.25">
      <c r="A142" s="50"/>
      <c r="B142" s="11" t="str">
        <f>CONCATENATE("          ", "5513", " - ", "FREIGHT-IN-TRADE BOOKS")</f>
        <v xml:space="preserve">          5513 - FREIGHT-IN-TRADE BOOKS</v>
      </c>
      <c r="C142" s="11"/>
      <c r="D142" s="2"/>
      <c r="E142" s="2"/>
      <c r="F142" s="21">
        <f t="shared" si="6"/>
        <v>0</v>
      </c>
      <c r="G142" s="2"/>
      <c r="H142" s="2"/>
      <c r="I142" s="2"/>
      <c r="J142" s="21">
        <f t="shared" si="7"/>
        <v>0</v>
      </c>
      <c r="K142" s="2"/>
      <c r="L142" s="2">
        <f t="shared" si="8"/>
        <v>0</v>
      </c>
      <c r="M142" s="2"/>
      <c r="N142" s="21">
        <f t="shared" si="9"/>
        <v>0</v>
      </c>
      <c r="O142" s="11"/>
      <c r="P142" s="2"/>
      <c r="Q142" s="2"/>
      <c r="R142" s="21">
        <f t="shared" si="10"/>
        <v>0</v>
      </c>
      <c r="S142" s="2"/>
      <c r="T142" s="2">
        <v>7.27</v>
      </c>
      <c r="U142" s="2"/>
      <c r="V142" s="21">
        <f t="shared" si="11"/>
        <v>2.0159809667437894E-6</v>
      </c>
      <c r="W142" s="2"/>
      <c r="X142" s="2">
        <f t="shared" si="12"/>
        <v>-7.27</v>
      </c>
      <c r="Y142" s="2"/>
      <c r="Z142" s="21">
        <f t="shared" si="13"/>
        <v>-1</v>
      </c>
    </row>
    <row r="143" spans="1:26" s="24" customFormat="1" hidden="1" outlineLevel="1" x14ac:dyDescent="0.25">
      <c r="A143" s="50"/>
      <c r="B143" s="11" t="str">
        <f>CONCATENATE("          ", "5526", " - ", "FREIGHT-IN-WRITING INSTRUMENTS")</f>
        <v xml:space="preserve">          5526 - FREIGHT-IN-WRITING INSTRUMENTS</v>
      </c>
      <c r="C143" s="11"/>
      <c r="D143" s="2">
        <v>17.46</v>
      </c>
      <c r="E143" s="2"/>
      <c r="F143" s="21">
        <f t="shared" si="6"/>
        <v>6.1658550380288638E-6</v>
      </c>
      <c r="G143" s="2"/>
      <c r="H143" s="2">
        <v>8.58</v>
      </c>
      <c r="I143" s="2"/>
      <c r="J143" s="21">
        <f t="shared" si="7"/>
        <v>2.7104782730525707E-6</v>
      </c>
      <c r="K143" s="2"/>
      <c r="L143" s="2">
        <f t="shared" si="8"/>
        <v>8.8800000000000008</v>
      </c>
      <c r="M143" s="2"/>
      <c r="N143" s="21">
        <f t="shared" si="9"/>
        <v>1.034965034965035</v>
      </c>
      <c r="O143" s="11"/>
      <c r="P143" s="2">
        <v>56.57</v>
      </c>
      <c r="Q143" s="2"/>
      <c r="R143" s="21">
        <f t="shared" si="10"/>
        <v>1.74464827599313E-5</v>
      </c>
      <c r="S143" s="2"/>
      <c r="T143" s="2">
        <v>42.74</v>
      </c>
      <c r="U143" s="2"/>
      <c r="V143" s="21">
        <f t="shared" si="11"/>
        <v>1.1851860594034329E-5</v>
      </c>
      <c r="W143" s="2"/>
      <c r="X143" s="2">
        <f t="shared" si="12"/>
        <v>13.829999999999998</v>
      </c>
      <c r="Y143" s="2"/>
      <c r="Z143" s="21">
        <f t="shared" si="13"/>
        <v>0.32358446420215248</v>
      </c>
    </row>
    <row r="144" spans="1:26" s="24" customFormat="1" hidden="1" outlineLevel="1" x14ac:dyDescent="0.25">
      <c r="A144" s="50"/>
      <c r="B144" s="11" t="str">
        <f>CONCATENATE("          ", "5527", " - ", "FREIGHT-IN-SCHOOL SUPPLIES")</f>
        <v xml:space="preserve">          5527 - FREIGHT-IN-SCHOOL SUPPLIES</v>
      </c>
      <c r="C144" s="11"/>
      <c r="D144" s="2">
        <v>10.49</v>
      </c>
      <c r="E144" s="2"/>
      <c r="F144" s="21">
        <f t="shared" si="6"/>
        <v>3.7044570073838938E-6</v>
      </c>
      <c r="G144" s="2"/>
      <c r="H144" s="2"/>
      <c r="I144" s="2"/>
      <c r="J144" s="21">
        <f t="shared" si="7"/>
        <v>0</v>
      </c>
      <c r="K144" s="2"/>
      <c r="L144" s="2">
        <f t="shared" si="8"/>
        <v>10.49</v>
      </c>
      <c r="M144" s="2"/>
      <c r="N144" s="21">
        <f t="shared" si="9"/>
        <v>0</v>
      </c>
      <c r="O144" s="11"/>
      <c r="P144" s="2">
        <v>260.51</v>
      </c>
      <c r="Q144" s="2"/>
      <c r="R144" s="21">
        <f t="shared" si="10"/>
        <v>8.0342641396317891E-5</v>
      </c>
      <c r="S144" s="2"/>
      <c r="T144" s="2">
        <v>280.67</v>
      </c>
      <c r="U144" s="2"/>
      <c r="V144" s="21">
        <f t="shared" si="11"/>
        <v>7.7830175782115472E-5</v>
      </c>
      <c r="W144" s="2"/>
      <c r="X144" s="2">
        <f t="shared" si="12"/>
        <v>-20.160000000000025</v>
      </c>
      <c r="Y144" s="2"/>
      <c r="Z144" s="21">
        <f t="shared" si="13"/>
        <v>-7.182812555670369E-2</v>
      </c>
    </row>
    <row r="145" spans="1:26" s="24" customFormat="1" hidden="1" outlineLevel="1" x14ac:dyDescent="0.25">
      <c r="A145" s="50"/>
      <c r="B145" s="11" t="str">
        <f>CONCATENATE("          ", "5528", " - ", "FREIGHT-IN-ART/TECH")</f>
        <v xml:space="preserve">          5528 - FREIGHT-IN-ART/TECH</v>
      </c>
      <c r="C145" s="11"/>
      <c r="D145" s="2">
        <v>255.45</v>
      </c>
      <c r="E145" s="2"/>
      <c r="F145" s="21">
        <f t="shared" si="6"/>
        <v>9.0210061252260783E-5</v>
      </c>
      <c r="G145" s="2"/>
      <c r="H145" s="2">
        <v>81.37</v>
      </c>
      <c r="I145" s="2"/>
      <c r="J145" s="21">
        <f t="shared" si="7"/>
        <v>2.5705316675791105E-5</v>
      </c>
      <c r="K145" s="2"/>
      <c r="L145" s="2">
        <f t="shared" si="8"/>
        <v>174.07999999999998</v>
      </c>
      <c r="M145" s="2"/>
      <c r="N145" s="21">
        <f t="shared" si="9"/>
        <v>2.1393634017451144</v>
      </c>
      <c r="O145" s="11"/>
      <c r="P145" s="2">
        <v>299.8</v>
      </c>
      <c r="Q145" s="2"/>
      <c r="R145" s="21">
        <f t="shared" si="10"/>
        <v>9.2459882118214672E-5</v>
      </c>
      <c r="S145" s="2"/>
      <c r="T145" s="2">
        <v>227.26</v>
      </c>
      <c r="U145" s="2"/>
      <c r="V145" s="21">
        <f t="shared" si="11"/>
        <v>6.3019509560136667E-5</v>
      </c>
      <c r="W145" s="2"/>
      <c r="X145" s="2">
        <f t="shared" si="12"/>
        <v>72.54000000000002</v>
      </c>
      <c r="Y145" s="2"/>
      <c r="Z145" s="21">
        <f t="shared" si="13"/>
        <v>0.31919387485699208</v>
      </c>
    </row>
    <row r="146" spans="1:26" s="24" customFormat="1" hidden="1" outlineLevel="1" x14ac:dyDescent="0.25">
      <c r="A146" s="50"/>
      <c r="B146" s="11" t="str">
        <f>CONCATENATE("          ", "5540", " - ", "FREIGHT-IN-LOGO CLOTHING")</f>
        <v xml:space="preserve">          5540 - FREIGHT-IN-LOGO CLOTHING</v>
      </c>
      <c r="C146" s="11"/>
      <c r="D146" s="2">
        <v>1936.72</v>
      </c>
      <c r="E146" s="2"/>
      <c r="F146" s="21">
        <f t="shared" si="6"/>
        <v>6.8393669926983171E-4</v>
      </c>
      <c r="G146" s="2"/>
      <c r="H146" s="2">
        <v>1830.62</v>
      </c>
      <c r="I146" s="2"/>
      <c r="J146" s="21">
        <f t="shared" si="7"/>
        <v>5.7830486436078051E-4</v>
      </c>
      <c r="K146" s="2"/>
      <c r="L146" s="2">
        <f t="shared" si="8"/>
        <v>106.10000000000014</v>
      </c>
      <c r="M146" s="2"/>
      <c r="N146" s="21">
        <f t="shared" si="9"/>
        <v>5.7958505861402228E-2</v>
      </c>
      <c r="O146" s="11"/>
      <c r="P146" s="2">
        <v>2331.94</v>
      </c>
      <c r="Q146" s="2"/>
      <c r="R146" s="21">
        <f t="shared" si="10"/>
        <v>7.1918244665360078E-4</v>
      </c>
      <c r="S146" s="2"/>
      <c r="T146" s="2">
        <v>2920.15</v>
      </c>
      <c r="U146" s="2"/>
      <c r="V146" s="21">
        <f t="shared" si="11"/>
        <v>8.0976159835445354E-4</v>
      </c>
      <c r="W146" s="2"/>
      <c r="X146" s="2">
        <f t="shared" si="12"/>
        <v>-588.21</v>
      </c>
      <c r="Y146" s="2"/>
      <c r="Z146" s="21">
        <f t="shared" si="13"/>
        <v>-0.20143143331678168</v>
      </c>
    </row>
    <row r="147" spans="1:26" s="24" customFormat="1" hidden="1" outlineLevel="1" x14ac:dyDescent="0.25">
      <c r="A147" s="50"/>
      <c r="B147" s="11" t="str">
        <f>CONCATENATE("          ", "5541", " - ", "FREIGHT-IN-LOGO GIFTS")</f>
        <v xml:space="preserve">          5541 - FREIGHT-IN-LOGO GIFTS</v>
      </c>
      <c r="C147" s="11"/>
      <c r="D147" s="2">
        <v>405.92</v>
      </c>
      <c r="E147" s="2"/>
      <c r="F147" s="21">
        <f t="shared" si="6"/>
        <v>1.4334730109030221E-4</v>
      </c>
      <c r="G147" s="2"/>
      <c r="H147" s="2">
        <v>456.13</v>
      </c>
      <c r="I147" s="2"/>
      <c r="J147" s="21">
        <f t="shared" si="7"/>
        <v>1.4409445858828312E-4</v>
      </c>
      <c r="K147" s="2"/>
      <c r="L147" s="2">
        <f t="shared" si="8"/>
        <v>-50.20999999999998</v>
      </c>
      <c r="M147" s="2"/>
      <c r="N147" s="21">
        <f t="shared" si="9"/>
        <v>-0.11007826716067784</v>
      </c>
      <c r="O147" s="11"/>
      <c r="P147" s="2">
        <v>720.41</v>
      </c>
      <c r="Q147" s="2"/>
      <c r="R147" s="21">
        <f t="shared" si="10"/>
        <v>2.2217819772109082E-4</v>
      </c>
      <c r="S147" s="2"/>
      <c r="T147" s="2">
        <v>1241.53</v>
      </c>
      <c r="U147" s="2"/>
      <c r="V147" s="21">
        <f t="shared" si="11"/>
        <v>3.4427797106484419E-4</v>
      </c>
      <c r="W147" s="2"/>
      <c r="X147" s="2">
        <f t="shared" si="12"/>
        <v>-521.12</v>
      </c>
      <c r="Y147" s="2"/>
      <c r="Z147" s="21">
        <f t="shared" si="13"/>
        <v>-0.41974015931954928</v>
      </c>
    </row>
    <row r="148" spans="1:26" s="24" customFormat="1" hidden="1" outlineLevel="1" x14ac:dyDescent="0.25">
      <c r="A148" s="50"/>
      <c r="B148" s="11" t="str">
        <f>CONCATENATE("          ", "5542", " - ", "FREIGHT-IN-EVERYDAY GIFTS")</f>
        <v xml:space="preserve">          5542 - FREIGHT-IN-EVERYDAY GIFTS</v>
      </c>
      <c r="C148" s="11"/>
      <c r="D148" s="2">
        <v>83.05</v>
      </c>
      <c r="E148" s="2"/>
      <c r="F148" s="21">
        <f t="shared" si="6"/>
        <v>2.9328422732433969E-5</v>
      </c>
      <c r="G148" s="2"/>
      <c r="H148" s="2">
        <v>422.79</v>
      </c>
      <c r="I148" s="2"/>
      <c r="J148" s="21">
        <f t="shared" si="7"/>
        <v>1.3356213392353106E-4</v>
      </c>
      <c r="K148" s="2"/>
      <c r="L148" s="2">
        <f t="shared" si="8"/>
        <v>-339.74</v>
      </c>
      <c r="M148" s="2"/>
      <c r="N148" s="21">
        <f t="shared" si="9"/>
        <v>-0.8035667825634476</v>
      </c>
      <c r="O148" s="11"/>
      <c r="P148" s="2">
        <v>112.77</v>
      </c>
      <c r="Q148" s="2"/>
      <c r="R148" s="21">
        <f t="shared" si="10"/>
        <v>3.4778855591964869E-5</v>
      </c>
      <c r="S148" s="2"/>
      <c r="T148" s="2">
        <v>422.79</v>
      </c>
      <c r="U148" s="2"/>
      <c r="V148" s="21">
        <f t="shared" si="11"/>
        <v>1.1724024662030356E-4</v>
      </c>
      <c r="W148" s="2"/>
      <c r="X148" s="2">
        <f t="shared" si="12"/>
        <v>-310.02000000000004</v>
      </c>
      <c r="Y148" s="2"/>
      <c r="Z148" s="21">
        <f t="shared" si="13"/>
        <v>-0.73327183708223942</v>
      </c>
    </row>
    <row r="149" spans="1:26" s="24" customFormat="1" hidden="1" outlineLevel="1" x14ac:dyDescent="0.25">
      <c r="A149" s="50"/>
      <c r="B149" s="11" t="str">
        <f>CONCATENATE("          ", "5543", " - ", "FREIGHT-IN-CARDS")</f>
        <v xml:space="preserve">          5543 - FREIGHT-IN-CARDS</v>
      </c>
      <c r="C149" s="11"/>
      <c r="D149" s="2">
        <v>4.58</v>
      </c>
      <c r="E149" s="2"/>
      <c r="F149" s="21">
        <f t="shared" si="6"/>
        <v>1.6173892367796217E-6</v>
      </c>
      <c r="G149" s="2"/>
      <c r="H149" s="2"/>
      <c r="I149" s="2"/>
      <c r="J149" s="21">
        <f t="shared" si="7"/>
        <v>0</v>
      </c>
      <c r="K149" s="2"/>
      <c r="L149" s="2">
        <f t="shared" si="8"/>
        <v>4.58</v>
      </c>
      <c r="M149" s="2"/>
      <c r="N149" s="21">
        <f t="shared" si="9"/>
        <v>0</v>
      </c>
      <c r="O149" s="11"/>
      <c r="P149" s="2">
        <v>4.58</v>
      </c>
      <c r="Q149" s="2"/>
      <c r="R149" s="21">
        <f t="shared" si="10"/>
        <v>1.4124958642475757E-6</v>
      </c>
      <c r="S149" s="2"/>
      <c r="T149" s="2"/>
      <c r="U149" s="2"/>
      <c r="V149" s="21">
        <f t="shared" si="11"/>
        <v>0</v>
      </c>
      <c r="W149" s="2"/>
      <c r="X149" s="2">
        <f t="shared" si="12"/>
        <v>4.58</v>
      </c>
      <c r="Y149" s="2"/>
      <c r="Z149" s="21">
        <f t="shared" si="13"/>
        <v>0</v>
      </c>
    </row>
    <row r="150" spans="1:26" s="24" customFormat="1" hidden="1" outlineLevel="1" x14ac:dyDescent="0.25">
      <c r="A150" s="50"/>
      <c r="B150" s="11" t="str">
        <f>CONCATENATE("          ", "5544", " - ", "FREIGHT-IN-ACCESSORIES")</f>
        <v xml:space="preserve">          5544 - FREIGHT-IN-ACCESSORIES</v>
      </c>
      <c r="C150" s="11"/>
      <c r="D150" s="2">
        <v>84.93</v>
      </c>
      <c r="E150" s="2"/>
      <c r="F150" s="21">
        <f t="shared" si="6"/>
        <v>2.999232923137408E-5</v>
      </c>
      <c r="G150" s="2"/>
      <c r="H150" s="2">
        <v>123.59</v>
      </c>
      <c r="I150" s="2"/>
      <c r="J150" s="21">
        <f t="shared" si="7"/>
        <v>3.9042891581184989E-5</v>
      </c>
      <c r="K150" s="2"/>
      <c r="L150" s="2">
        <f t="shared" si="8"/>
        <v>-38.659999999999997</v>
      </c>
      <c r="M150" s="2"/>
      <c r="N150" s="21">
        <f t="shared" si="9"/>
        <v>-0.31280847965045711</v>
      </c>
      <c r="O150" s="11"/>
      <c r="P150" s="2">
        <v>101.66</v>
      </c>
      <c r="Q150" s="2"/>
      <c r="R150" s="21">
        <f t="shared" si="10"/>
        <v>3.1352473702927626E-5</v>
      </c>
      <c r="S150" s="2"/>
      <c r="T150" s="2">
        <v>152.85</v>
      </c>
      <c r="U150" s="2"/>
      <c r="V150" s="21">
        <f t="shared" si="11"/>
        <v>4.2385514548389026E-5</v>
      </c>
      <c r="W150" s="2"/>
      <c r="X150" s="2">
        <f t="shared" si="12"/>
        <v>-51.19</v>
      </c>
      <c r="Y150" s="2"/>
      <c r="Z150" s="21">
        <f t="shared" si="13"/>
        <v>-0.33490350016355902</v>
      </c>
    </row>
    <row r="151" spans="1:26" s="24" customFormat="1" hidden="1" outlineLevel="1" x14ac:dyDescent="0.25">
      <c r="A151" s="50"/>
      <c r="B151" s="11" t="str">
        <f>CONCATENATE("          ", "5545", " - ", "FREIGHT-IN-SPECIAL ORDERS")</f>
        <v xml:space="preserve">          5545 - FREIGHT-IN-SPECIAL ORDERS</v>
      </c>
      <c r="C151" s="11"/>
      <c r="D151" s="2">
        <v>8.8699999999999992</v>
      </c>
      <c r="E151" s="2"/>
      <c r="F151" s="21">
        <f t="shared" si="6"/>
        <v>3.1323673646801845E-6</v>
      </c>
      <c r="G151" s="2"/>
      <c r="H151" s="2">
        <v>849.93</v>
      </c>
      <c r="I151" s="2"/>
      <c r="J151" s="21">
        <f t="shared" si="7"/>
        <v>2.6849846137710621E-4</v>
      </c>
      <c r="K151" s="2"/>
      <c r="L151" s="2">
        <f t="shared" si="8"/>
        <v>-841.06</v>
      </c>
      <c r="M151" s="2"/>
      <c r="N151" s="21">
        <f t="shared" si="9"/>
        <v>-0.9895638464344122</v>
      </c>
      <c r="O151" s="11"/>
      <c r="P151" s="2">
        <v>235.95</v>
      </c>
      <c r="Q151" s="2"/>
      <c r="R151" s="21">
        <f t="shared" si="10"/>
        <v>7.2768209425592894E-5</v>
      </c>
      <c r="S151" s="2"/>
      <c r="T151" s="2">
        <v>1155.04</v>
      </c>
      <c r="U151" s="2"/>
      <c r="V151" s="21">
        <f t="shared" si="11"/>
        <v>3.2029417549212473E-4</v>
      </c>
      <c r="W151" s="2"/>
      <c r="X151" s="2">
        <f t="shared" si="12"/>
        <v>-919.08999999999992</v>
      </c>
      <c r="Y151" s="2"/>
      <c r="Z151" s="21">
        <f t="shared" si="13"/>
        <v>-0.79572136029921037</v>
      </c>
    </row>
    <row r="152" spans="1:26" s="24" customFormat="1" hidden="1" outlineLevel="1" x14ac:dyDescent="0.25">
      <c r="A152" s="50"/>
      <c r="B152" s="11" t="str">
        <f>CONCATENATE("          ", "5592", " - ", "FREIGHT-IN-GRAD MERCH")</f>
        <v xml:space="preserve">          5592 - FREIGHT-IN-GRAD MERCH</v>
      </c>
      <c r="C152" s="11"/>
      <c r="D152" s="2">
        <v>59.57</v>
      </c>
      <c r="E152" s="2"/>
      <c r="F152" s="21">
        <f t="shared" si="6"/>
        <v>2.1036654330777745E-5</v>
      </c>
      <c r="G152" s="2"/>
      <c r="H152" s="2"/>
      <c r="I152" s="2"/>
      <c r="J152" s="21">
        <f t="shared" si="7"/>
        <v>0</v>
      </c>
      <c r="K152" s="2"/>
      <c r="L152" s="2">
        <f t="shared" si="8"/>
        <v>59.57</v>
      </c>
      <c r="M152" s="2"/>
      <c r="N152" s="21">
        <f t="shared" si="9"/>
        <v>0</v>
      </c>
      <c r="O152" s="11"/>
      <c r="P152" s="2">
        <v>59.57</v>
      </c>
      <c r="Q152" s="2"/>
      <c r="R152" s="21">
        <f t="shared" si="10"/>
        <v>1.8371698391534515E-5</v>
      </c>
      <c r="S152" s="2"/>
      <c r="T152" s="2">
        <v>108.69</v>
      </c>
      <c r="U152" s="2"/>
      <c r="V152" s="21">
        <f t="shared" si="11"/>
        <v>3.0139886007617951E-5</v>
      </c>
      <c r="W152" s="2"/>
      <c r="X152" s="2">
        <f t="shared" si="12"/>
        <v>-49.12</v>
      </c>
      <c r="Y152" s="2"/>
      <c r="Z152" s="21">
        <f t="shared" si="13"/>
        <v>-0.45192750023001194</v>
      </c>
    </row>
    <row r="153" spans="1:26" x14ac:dyDescent="0.25">
      <c r="A153" s="9"/>
      <c r="B153" s="10"/>
      <c r="C153" s="10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O153" s="10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x14ac:dyDescent="0.25">
      <c r="A154" s="10"/>
      <c r="B154" s="26" t="s">
        <v>6</v>
      </c>
      <c r="C154" s="26"/>
      <c r="D154" s="20">
        <f>D12-D102</f>
        <v>995247.71999999974</v>
      </c>
      <c r="E154" s="13"/>
      <c r="F154" s="19">
        <f>IF(D$12=0,0,D154/D$12)</f>
        <v>0.35146352625708699</v>
      </c>
      <c r="G154" s="13"/>
      <c r="H154" s="20">
        <f>H12-H102</f>
        <v>1059629.2199999993</v>
      </c>
      <c r="I154" s="13"/>
      <c r="J154" s="19">
        <f>IF(H$12=0,0,H154/H$12)</f>
        <v>0.33474382031487654</v>
      </c>
      <c r="K154" s="15"/>
      <c r="L154" s="20">
        <f>+D154-H154</f>
        <v>-64381.499999999534</v>
      </c>
      <c r="M154" s="15"/>
      <c r="N154" s="19">
        <f>IF(H154=0,0,L154/H154)</f>
        <v>-6.0758517021642325E-2</v>
      </c>
      <c r="O154" s="25"/>
      <c r="P154" s="20">
        <f>P12-P102</f>
        <v>1186822.2899999996</v>
      </c>
      <c r="Q154" s="13"/>
      <c r="R154" s="19">
        <f>IF(P$12=0,0,P154/P$12)</f>
        <v>0.36602217821437472</v>
      </c>
      <c r="S154" s="13"/>
      <c r="T154" s="20">
        <f>T12-T102</f>
        <v>1276112.4100000011</v>
      </c>
      <c r="U154" s="13"/>
      <c r="V154" s="19">
        <f>IF(T$12=0,0,T154/T$12)</f>
        <v>0.35386772076830114</v>
      </c>
      <c r="W154" s="15"/>
      <c r="X154" s="20">
        <f>+P154-T154</f>
        <v>-89290.120000001509</v>
      </c>
      <c r="Y154" s="15"/>
      <c r="Z154" s="19">
        <f>IF(T154=0,0,X154/T154)</f>
        <v>-6.9970418985269039E-2</v>
      </c>
    </row>
    <row r="155" spans="1:26" x14ac:dyDescent="0.25">
      <c r="A155" s="9"/>
      <c r="B155" s="10"/>
      <c r="C155" s="9"/>
      <c r="D155" s="1"/>
      <c r="E155" s="1"/>
      <c r="F155" s="5"/>
      <c r="G155" s="1"/>
      <c r="H155" s="1"/>
      <c r="I155" s="1"/>
      <c r="J155" s="5"/>
      <c r="K155" s="1"/>
      <c r="L155" s="1"/>
      <c r="M155" s="1"/>
      <c r="N155" s="5"/>
      <c r="O155" s="37"/>
      <c r="P155" s="1"/>
      <c r="Q155" s="1"/>
      <c r="R155" s="5"/>
      <c r="S155" s="1"/>
      <c r="T155" s="1"/>
      <c r="U155" s="1"/>
      <c r="V155" s="5"/>
      <c r="W155" s="1"/>
      <c r="X155" s="1"/>
      <c r="Y155" s="1"/>
      <c r="Z155" s="5"/>
    </row>
    <row r="156" spans="1:26" s="23" customFormat="1" x14ac:dyDescent="0.25">
      <c r="A156" s="10"/>
      <c r="B156" s="25" t="s">
        <v>9</v>
      </c>
      <c r="C156" s="10"/>
      <c r="D156" s="22">
        <f>SUM(OSRRefD22x_0)</f>
        <v>498090.2200000002</v>
      </c>
      <c r="E156" s="22"/>
      <c r="F156" s="33">
        <f t="shared" ref="F156:F166" si="14">IF(D$12=0,0,D156/D$12)</f>
        <v>0.17589645431729131</v>
      </c>
      <c r="G156" s="22"/>
      <c r="H156" s="22">
        <f>SUM(OSRRefH22x_0)</f>
        <v>518392.58000000007</v>
      </c>
      <c r="I156" s="22"/>
      <c r="J156" s="33">
        <f t="shared" ref="J156:J166" si="15">IF(H$12=0,0,H156/H$12)</f>
        <v>0.16376361596756023</v>
      </c>
      <c r="K156" s="4"/>
      <c r="L156" s="22">
        <f t="shared" ref="L156:L166" si="16">+D156-H156</f>
        <v>-20302.35999999987</v>
      </c>
      <c r="M156" s="4"/>
      <c r="N156" s="33">
        <f t="shared" ref="N156:N166" si="17">IF(H156=0,0,L156/H156)</f>
        <v>-3.9164063652299706E-2</v>
      </c>
      <c r="O156" s="10"/>
      <c r="P156" s="22">
        <f>SUM(OSRRefP22x_0)</f>
        <v>938579.19000000006</v>
      </c>
      <c r="Q156" s="22"/>
      <c r="R156" s="33">
        <f t="shared" ref="R156:R166" si="18">IF(P$12=0,0,P156/P$12)</f>
        <v>0.28946271269516149</v>
      </c>
      <c r="S156" s="22"/>
      <c r="T156" s="22">
        <f>SUM(OSRRefT22x_0)</f>
        <v>1002637.8800000002</v>
      </c>
      <c r="U156" s="22"/>
      <c r="V156" s="33">
        <f t="shared" ref="V156:V166" si="19">IF(T$12=0,0,T156/T$12)</f>
        <v>0.27803285868175298</v>
      </c>
      <c r="W156" s="4"/>
      <c r="X156" s="22">
        <f t="shared" ref="X156:X166" si="20">+P156-T156</f>
        <v>-64058.690000000177</v>
      </c>
      <c r="Y156" s="4"/>
      <c r="Z156" s="33">
        <f t="shared" ref="Z156:Z166" si="21">IF(T156=0,0,X156/T156)</f>
        <v>-6.3890155436776591E-2</v>
      </c>
    </row>
    <row r="157" spans="1:26" s="27" customFormat="1" outlineLevel="1" collapsed="1" x14ac:dyDescent="0.25">
      <c r="A157" s="28"/>
      <c r="B157" s="14" t="str">
        <f>CONCATENATE("     ","*Benefits                                         ")</f>
        <v xml:space="preserve">     *Benefits                                         </v>
      </c>
      <c r="C157" s="14"/>
      <c r="D157" s="1">
        <f>SUM(OSRRefD22_0x_0)</f>
        <v>66531.62000000001</v>
      </c>
      <c r="E157" s="1"/>
      <c r="F157" s="5">
        <f t="shared" si="14"/>
        <v>2.3495093033517867E-2</v>
      </c>
      <c r="G157" s="1"/>
      <c r="H157" s="1">
        <f>SUM(OSRRefH22_0x_0)</f>
        <v>66187.05</v>
      </c>
      <c r="I157" s="1"/>
      <c r="J157" s="5">
        <f t="shared" si="15"/>
        <v>2.0908923191427058E-2</v>
      </c>
      <c r="K157" s="1"/>
      <c r="L157" s="1">
        <f t="shared" si="16"/>
        <v>344.57000000000698</v>
      </c>
      <c r="M157" s="1"/>
      <c r="N157" s="5">
        <f t="shared" si="17"/>
        <v>5.2060032891631663E-3</v>
      </c>
      <c r="O157" s="14"/>
      <c r="P157" s="1">
        <f>SUM(OSRRefP22_0x_0)</f>
        <v>136133.72</v>
      </c>
      <c r="Q157" s="1"/>
      <c r="R157" s="5">
        <f t="shared" si="18"/>
        <v>4.198434857743176E-2</v>
      </c>
      <c r="S157" s="1"/>
      <c r="T157" s="1">
        <f>SUM(OSRRefT22_0x_0)</f>
        <v>126088.35999999999</v>
      </c>
      <c r="U157" s="1"/>
      <c r="V157" s="5">
        <f t="shared" si="19"/>
        <v>3.4964475087749511E-2</v>
      </c>
      <c r="W157" s="1"/>
      <c r="X157" s="1">
        <f t="shared" si="20"/>
        <v>10045.360000000015</v>
      </c>
      <c r="Y157" s="1"/>
      <c r="Z157" s="5">
        <f t="shared" si="21"/>
        <v>7.966920975100332E-2</v>
      </c>
    </row>
    <row r="158" spans="1:26" s="24" customFormat="1" hidden="1" outlineLevel="2" x14ac:dyDescent="0.25">
      <c r="A158" s="29"/>
      <c r="B158" s="11" t="str">
        <f>CONCATENATE("          ", "6111", " - ", "F.I.C.A.")</f>
        <v xml:space="preserve">          6111 - F.I.C.A.</v>
      </c>
      <c r="C158" s="11"/>
      <c r="D158" s="7">
        <v>16701.11</v>
      </c>
      <c r="E158" s="2"/>
      <c r="F158" s="6">
        <f t="shared" si="14"/>
        <v>5.8978592917625569E-3</v>
      </c>
      <c r="G158" s="2"/>
      <c r="H158" s="7">
        <v>16008.809999999998</v>
      </c>
      <c r="I158" s="2"/>
      <c r="J158" s="6">
        <f t="shared" si="15"/>
        <v>5.0572880748749093E-3</v>
      </c>
      <c r="K158" s="2"/>
      <c r="L158" s="7">
        <f t="shared" si="16"/>
        <v>692.30000000000291</v>
      </c>
      <c r="M158" s="2"/>
      <c r="N158" s="6">
        <f t="shared" si="17"/>
        <v>4.3244938255873049E-2</v>
      </c>
      <c r="O158" s="11"/>
      <c r="P158" s="7">
        <v>29745.16</v>
      </c>
      <c r="Q158" s="2"/>
      <c r="R158" s="6">
        <f t="shared" si="18"/>
        <v>9.1735623321795665E-3</v>
      </c>
      <c r="S158" s="2"/>
      <c r="T158" s="7">
        <v>28647.94</v>
      </c>
      <c r="U158" s="2"/>
      <c r="V158" s="6">
        <f t="shared" si="19"/>
        <v>7.9441130366462286E-3</v>
      </c>
      <c r="W158" s="2"/>
      <c r="X158" s="7">
        <f t="shared" si="20"/>
        <v>1097.2200000000012</v>
      </c>
      <c r="Y158" s="2"/>
      <c r="Z158" s="6">
        <f t="shared" si="21"/>
        <v>3.8300136065629889E-2</v>
      </c>
    </row>
    <row r="159" spans="1:26" s="24" customFormat="1" hidden="1" outlineLevel="2" x14ac:dyDescent="0.25">
      <c r="A159" s="29"/>
      <c r="B159" s="11" t="str">
        <f>CONCATENATE("          ", "6112", " - ", "COMPENSATION INSURANCE")</f>
        <v xml:space="preserve">          6112 - COMPENSATION INSURANCE</v>
      </c>
      <c r="C159" s="11"/>
      <c r="D159" s="7">
        <v>3702.03</v>
      </c>
      <c r="E159" s="2"/>
      <c r="F159" s="6">
        <f t="shared" si="14"/>
        <v>1.3073413703570444E-3</v>
      </c>
      <c r="G159" s="2"/>
      <c r="H159" s="7">
        <v>2143.8000000000002</v>
      </c>
      <c r="I159" s="2"/>
      <c r="J159" s="6">
        <f t="shared" si="15"/>
        <v>6.7724048039278573E-4</v>
      </c>
      <c r="K159" s="2"/>
      <c r="L159" s="7">
        <f t="shared" si="16"/>
        <v>1558.23</v>
      </c>
      <c r="M159" s="2"/>
      <c r="N159" s="6">
        <f t="shared" si="17"/>
        <v>0.72685418415896996</v>
      </c>
      <c r="O159" s="11"/>
      <c r="P159" s="7">
        <v>6365.96</v>
      </c>
      <c r="Q159" s="2"/>
      <c r="R159" s="6">
        <f t="shared" si="18"/>
        <v>1.9632952340536019E-3</v>
      </c>
      <c r="S159" s="2"/>
      <c r="T159" s="7">
        <v>4644.54</v>
      </c>
      <c r="U159" s="2"/>
      <c r="V159" s="6">
        <f t="shared" si="19"/>
        <v>1.2879373093920496E-3</v>
      </c>
      <c r="W159" s="2"/>
      <c r="X159" s="7">
        <f t="shared" si="20"/>
        <v>1721.42</v>
      </c>
      <c r="Y159" s="2"/>
      <c r="Z159" s="6">
        <f t="shared" si="21"/>
        <v>0.37063304439190964</v>
      </c>
    </row>
    <row r="160" spans="1:26" s="24" customFormat="1" hidden="1" outlineLevel="2" x14ac:dyDescent="0.25">
      <c r="A160" s="29"/>
      <c r="B160" s="11" t="str">
        <f>CONCATENATE("          ", "6113", " - ", "GROUP INSURANCE")</f>
        <v xml:space="preserve">          6113 - GROUP INSURANCE</v>
      </c>
      <c r="C160" s="11"/>
      <c r="D160" s="7">
        <v>25376.27</v>
      </c>
      <c r="E160" s="2"/>
      <c r="F160" s="6">
        <f t="shared" si="14"/>
        <v>8.961420516946204E-3</v>
      </c>
      <c r="G160" s="2"/>
      <c r="H160" s="7">
        <v>27455.01</v>
      </c>
      <c r="I160" s="2"/>
      <c r="J160" s="6">
        <f t="shared" si="15"/>
        <v>8.673217726275181E-3</v>
      </c>
      <c r="K160" s="2"/>
      <c r="L160" s="7">
        <f t="shared" si="16"/>
        <v>-2078.739999999998</v>
      </c>
      <c r="M160" s="2"/>
      <c r="N160" s="6">
        <f t="shared" si="17"/>
        <v>-7.5714414236235872E-2</v>
      </c>
      <c r="O160" s="11"/>
      <c r="P160" s="7">
        <v>50752.54</v>
      </c>
      <c r="Q160" s="2"/>
      <c r="R160" s="6">
        <f t="shared" si="18"/>
        <v>1.5652347783855821E-2</v>
      </c>
      <c r="S160" s="2"/>
      <c r="T160" s="7">
        <v>37498.28</v>
      </c>
      <c r="U160" s="2"/>
      <c r="V160" s="6">
        <f t="shared" si="19"/>
        <v>1.0398324451943509E-2</v>
      </c>
      <c r="W160" s="2"/>
      <c r="X160" s="7">
        <f t="shared" si="20"/>
        <v>13254.260000000002</v>
      </c>
      <c r="Y160" s="2"/>
      <c r="Z160" s="6">
        <f t="shared" si="21"/>
        <v>0.35346314550960745</v>
      </c>
    </row>
    <row r="161" spans="1:26" s="24" customFormat="1" hidden="1" outlineLevel="2" x14ac:dyDescent="0.25">
      <c r="A161" s="29"/>
      <c r="B161" s="11" t="str">
        <f>CONCATENATE("          ", "6114", " - ", "STATE UNEMPLOYMENT INSURANCE")</f>
        <v xml:space="preserve">          6114 - STATE UNEMPLOYMENT INSURANCE</v>
      </c>
      <c r="C161" s="11"/>
      <c r="D161" s="7">
        <v>570.70000000000005</v>
      </c>
      <c r="E161" s="2"/>
      <c r="F161" s="6">
        <f t="shared" si="14"/>
        <v>2.0153799943889306E-4</v>
      </c>
      <c r="G161" s="2"/>
      <c r="H161" s="7">
        <v>554.91999999999996</v>
      </c>
      <c r="I161" s="2"/>
      <c r="J161" s="6">
        <f t="shared" si="15"/>
        <v>1.7530286751542336E-4</v>
      </c>
      <c r="K161" s="2"/>
      <c r="L161" s="7">
        <f t="shared" si="16"/>
        <v>15.780000000000086</v>
      </c>
      <c r="M161" s="2"/>
      <c r="N161" s="6">
        <f t="shared" si="17"/>
        <v>2.8436531391912507E-2</v>
      </c>
      <c r="O161" s="11"/>
      <c r="P161" s="7">
        <v>1016.17</v>
      </c>
      <c r="Q161" s="2"/>
      <c r="R161" s="6">
        <f t="shared" si="18"/>
        <v>3.1339212278874647E-4</v>
      </c>
      <c r="S161" s="2"/>
      <c r="T161" s="7">
        <v>1212.97</v>
      </c>
      <c r="U161" s="2"/>
      <c r="V161" s="6">
        <f t="shared" si="19"/>
        <v>3.3635824391075854E-4</v>
      </c>
      <c r="W161" s="2"/>
      <c r="X161" s="7">
        <f t="shared" si="20"/>
        <v>-196.80000000000007</v>
      </c>
      <c r="Y161" s="2"/>
      <c r="Z161" s="6">
        <f t="shared" si="21"/>
        <v>-0.16224638696752605</v>
      </c>
    </row>
    <row r="162" spans="1:26" s="24" customFormat="1" hidden="1" outlineLevel="2" x14ac:dyDescent="0.25">
      <c r="A162" s="29"/>
      <c r="B162" s="11" t="str">
        <f>CONCATENATE("          ", "6115", " - ", "P.E.R.S.")</f>
        <v xml:space="preserve">          6115 - P.E.R.S.</v>
      </c>
      <c r="C162" s="11"/>
      <c r="D162" s="7">
        <v>7688.58</v>
      </c>
      <c r="E162" s="2"/>
      <c r="F162" s="6">
        <f t="shared" si="14"/>
        <v>2.7151586327770882E-3</v>
      </c>
      <c r="G162" s="2"/>
      <c r="H162" s="7">
        <v>6951.51</v>
      </c>
      <c r="I162" s="2"/>
      <c r="J162" s="6">
        <f t="shared" si="15"/>
        <v>2.1960276013878411E-3</v>
      </c>
      <c r="K162" s="2"/>
      <c r="L162" s="7">
        <f t="shared" si="16"/>
        <v>737.06999999999971</v>
      </c>
      <c r="M162" s="2"/>
      <c r="N162" s="6">
        <f t="shared" si="17"/>
        <v>0.10603020063266826</v>
      </c>
      <c r="O162" s="11"/>
      <c r="P162" s="7">
        <v>15300.969999999998</v>
      </c>
      <c r="Q162" s="2"/>
      <c r="R162" s="6">
        <f t="shared" si="18"/>
        <v>4.7188988742306167E-3</v>
      </c>
      <c r="S162" s="2"/>
      <c r="T162" s="7">
        <v>17282.68</v>
      </c>
      <c r="U162" s="2"/>
      <c r="V162" s="6">
        <f t="shared" si="19"/>
        <v>4.7925108575410675E-3</v>
      </c>
      <c r="W162" s="2"/>
      <c r="X162" s="7">
        <f t="shared" si="20"/>
        <v>-1981.7100000000028</v>
      </c>
      <c r="Y162" s="2"/>
      <c r="Z162" s="6">
        <f t="shared" si="21"/>
        <v>-0.11466450805083486</v>
      </c>
    </row>
    <row r="163" spans="1:26" s="24" customFormat="1" hidden="1" outlineLevel="2" x14ac:dyDescent="0.25">
      <c r="A163" s="29"/>
      <c r="B163" s="11" t="str">
        <f>CONCATENATE("          ", "6117", " - ", "RETIREMENT STAFF HOURLY")</f>
        <v xml:space="preserve">          6117 - RETIREMENT STAFF HOURLY</v>
      </c>
      <c r="C163" s="11"/>
      <c r="D163" s="7">
        <v>94.68</v>
      </c>
      <c r="E163" s="2"/>
      <c r="F163" s="6">
        <f t="shared" si="14"/>
        <v>3.3435461340238995E-5</v>
      </c>
      <c r="G163" s="2"/>
      <c r="H163" s="7">
        <v>303.17</v>
      </c>
      <c r="I163" s="2"/>
      <c r="J163" s="6">
        <f t="shared" si="15"/>
        <v>9.5773391380110483E-5</v>
      </c>
      <c r="K163" s="2"/>
      <c r="L163" s="7">
        <f t="shared" si="16"/>
        <v>-208.49</v>
      </c>
      <c r="M163" s="2"/>
      <c r="N163" s="6">
        <f t="shared" si="17"/>
        <v>-0.68769997031368535</v>
      </c>
      <c r="O163" s="11"/>
      <c r="P163" s="7">
        <v>315.37</v>
      </c>
      <c r="Q163" s="2"/>
      <c r="R163" s="6">
        <f t="shared" si="18"/>
        <v>9.7261751246235361E-5</v>
      </c>
      <c r="S163" s="2"/>
      <c r="T163" s="7">
        <v>588.39</v>
      </c>
      <c r="U163" s="2"/>
      <c r="V163" s="6">
        <f t="shared" si="19"/>
        <v>1.6316135364819511E-4</v>
      </c>
      <c r="W163" s="2"/>
      <c r="X163" s="7">
        <f t="shared" si="20"/>
        <v>-273.02</v>
      </c>
      <c r="Y163" s="2"/>
      <c r="Z163" s="6">
        <f t="shared" si="21"/>
        <v>-0.46401196485324359</v>
      </c>
    </row>
    <row r="164" spans="1:26" s="24" customFormat="1" hidden="1" outlineLevel="2" x14ac:dyDescent="0.25">
      <c r="A164" s="29"/>
      <c r="B164" s="11" t="str">
        <f>CONCATENATE("          ", "6118", " - ", "VACATION")</f>
        <v xml:space="preserve">          6118 - VACATION</v>
      </c>
      <c r="C164" s="11"/>
      <c r="D164" s="7">
        <v>5761.83</v>
      </c>
      <c r="E164" s="2"/>
      <c r="F164" s="6">
        <f t="shared" si="14"/>
        <v>2.0347427568021678E-3</v>
      </c>
      <c r="G164" s="2"/>
      <c r="H164" s="7">
        <v>6002.34</v>
      </c>
      <c r="I164" s="2"/>
      <c r="J164" s="6">
        <f t="shared" si="15"/>
        <v>1.8961785731322106E-3</v>
      </c>
      <c r="K164" s="2"/>
      <c r="L164" s="7">
        <f t="shared" si="16"/>
        <v>-240.51000000000022</v>
      </c>
      <c r="M164" s="2"/>
      <c r="N164" s="6">
        <f t="shared" si="17"/>
        <v>-4.0069372944551658E-2</v>
      </c>
      <c r="O164" s="11"/>
      <c r="P164" s="7">
        <v>14462.61</v>
      </c>
      <c r="Q164" s="2"/>
      <c r="R164" s="6">
        <f t="shared" si="18"/>
        <v>4.4603442819269937E-3</v>
      </c>
      <c r="S164" s="2"/>
      <c r="T164" s="7">
        <v>16098.9</v>
      </c>
      <c r="U164" s="2"/>
      <c r="V164" s="6">
        <f t="shared" si="19"/>
        <v>4.4642470406480875E-3</v>
      </c>
      <c r="W164" s="2"/>
      <c r="X164" s="7">
        <f t="shared" si="20"/>
        <v>-1636.2899999999991</v>
      </c>
      <c r="Y164" s="2"/>
      <c r="Z164" s="6">
        <f t="shared" si="21"/>
        <v>-0.10163986359316469</v>
      </c>
    </row>
    <row r="165" spans="1:26" s="24" customFormat="1" hidden="1" outlineLevel="2" x14ac:dyDescent="0.25">
      <c r="A165" s="29"/>
      <c r="B165" s="11" t="str">
        <f>CONCATENATE("          ", "6119", " - ", "SICK LEAVE")</f>
        <v xml:space="preserve">          6119 - SICK LEAVE</v>
      </c>
      <c r="C165" s="11"/>
      <c r="D165" s="7">
        <v>4119.29</v>
      </c>
      <c r="E165" s="2"/>
      <c r="F165" s="6">
        <f t="shared" si="14"/>
        <v>1.4546932989462724E-3</v>
      </c>
      <c r="G165" s="2"/>
      <c r="H165" s="7">
        <v>4094.15</v>
      </c>
      <c r="I165" s="2"/>
      <c r="J165" s="6">
        <f t="shared" si="15"/>
        <v>1.2933688370184362E-3</v>
      </c>
      <c r="K165" s="2"/>
      <c r="L165" s="7">
        <f t="shared" si="16"/>
        <v>25.139999999999873</v>
      </c>
      <c r="M165" s="2"/>
      <c r="N165" s="6">
        <f t="shared" si="17"/>
        <v>6.1404687175603901E-3</v>
      </c>
      <c r="O165" s="11"/>
      <c r="P165" s="7">
        <v>13362.91</v>
      </c>
      <c r="Q165" s="2"/>
      <c r="R165" s="6">
        <f t="shared" si="18"/>
        <v>4.1211910719023076E-3</v>
      </c>
      <c r="S165" s="2"/>
      <c r="T165" s="7">
        <v>14982.26</v>
      </c>
      <c r="U165" s="2"/>
      <c r="V165" s="6">
        <f t="shared" si="19"/>
        <v>4.1546012378001112E-3</v>
      </c>
      <c r="W165" s="2"/>
      <c r="X165" s="7">
        <f t="shared" si="20"/>
        <v>-1619.3500000000004</v>
      </c>
      <c r="Y165" s="2"/>
      <c r="Z165" s="6">
        <f t="shared" si="21"/>
        <v>-0.10808449459560843</v>
      </c>
    </row>
    <row r="166" spans="1:26" s="24" customFormat="1" hidden="1" outlineLevel="2" x14ac:dyDescent="0.25">
      <c r="A166" s="29"/>
      <c r="B166" s="11" t="str">
        <f>CONCATENATE("          ", "6156", " - ", "EMPLOYEE MEALS")</f>
        <v xml:space="preserve">          6156 - EMPLOYEE MEALS</v>
      </c>
      <c r="C166" s="11"/>
      <c r="D166" s="7">
        <v>2517.13</v>
      </c>
      <c r="E166" s="2"/>
      <c r="F166" s="6">
        <f t="shared" si="14"/>
        <v>8.8890370514739948E-4</v>
      </c>
      <c r="G166" s="2"/>
      <c r="H166" s="7">
        <v>2673.34</v>
      </c>
      <c r="I166" s="2"/>
      <c r="J166" s="6">
        <f t="shared" si="15"/>
        <v>8.4452563945015846E-4</v>
      </c>
      <c r="K166" s="2"/>
      <c r="L166" s="7">
        <f t="shared" si="16"/>
        <v>-156.21000000000004</v>
      </c>
      <c r="M166" s="2"/>
      <c r="N166" s="6">
        <f t="shared" si="17"/>
        <v>-5.8432522612163071E-2</v>
      </c>
      <c r="O166" s="11"/>
      <c r="P166" s="7">
        <v>4812.03</v>
      </c>
      <c r="Q166" s="2"/>
      <c r="R166" s="6">
        <f t="shared" si="18"/>
        <v>1.4840551252478737E-3</v>
      </c>
      <c r="S166" s="2"/>
      <c r="T166" s="7">
        <v>5132.3999999999996</v>
      </c>
      <c r="U166" s="2"/>
      <c r="V166" s="6">
        <f t="shared" si="19"/>
        <v>1.4232215562195083E-3</v>
      </c>
      <c r="W166" s="2"/>
      <c r="X166" s="7">
        <f t="shared" si="20"/>
        <v>-320.36999999999989</v>
      </c>
      <c r="Y166" s="2"/>
      <c r="Z166" s="6">
        <f t="shared" si="21"/>
        <v>-6.2421089548749108E-2</v>
      </c>
    </row>
    <row r="167" spans="1:26" s="27" customFormat="1" outlineLevel="1" collapsed="1" x14ac:dyDescent="0.25">
      <c r="A167" s="28"/>
      <c r="B167" s="14" t="str">
        <f>CONCATENATE("     ","*Payroll                                          ")</f>
        <v xml:space="preserve">     *Payroll                                          </v>
      </c>
      <c r="C167" s="14"/>
      <c r="D167" s="1">
        <f>SUM(OSRRefD22_1x_0)</f>
        <v>266009.22000000003</v>
      </c>
      <c r="E167" s="1"/>
      <c r="F167" s="5">
        <f t="shared" ref="F167:F174" si="22">IF(D$12=0,0,D167/D$12)</f>
        <v>9.3938962731908854E-2</v>
      </c>
      <c r="G167" s="1"/>
      <c r="H167" s="1">
        <f>SUM(OSRRefH22_1x_0)</f>
        <v>257242.34000000003</v>
      </c>
      <c r="I167" s="1"/>
      <c r="J167" s="5">
        <f t="shared" ref="J167:J174" si="23">IF(H$12=0,0,H167/H$12)</f>
        <v>8.1264542363543399E-2</v>
      </c>
      <c r="K167" s="1"/>
      <c r="L167" s="1">
        <f t="shared" ref="L167:L174" si="24">+D167-H167</f>
        <v>8766.8800000000047</v>
      </c>
      <c r="M167" s="1"/>
      <c r="N167" s="5">
        <f t="shared" ref="N167:N174" si="25">IF(H167=0,0,L167/H167)</f>
        <v>3.4080237335735647E-2</v>
      </c>
      <c r="O167" s="14"/>
      <c r="P167" s="1">
        <f>SUM(OSRRefP22_1x_0)</f>
        <v>474075.54</v>
      </c>
      <c r="Q167" s="1"/>
      <c r="R167" s="5">
        <f t="shared" ref="R167:R174" si="26">IF(P$12=0,0,P167/P$12)</f>
        <v>0.14620736672291182</v>
      </c>
      <c r="S167" s="1"/>
      <c r="T167" s="1">
        <f>SUM(OSRRefT22_1x_0)</f>
        <v>460467.16000000003</v>
      </c>
      <c r="U167" s="1"/>
      <c r="V167" s="5">
        <f t="shared" ref="V167:V174" si="27">IF(T$12=0,0,T167/T$12)</f>
        <v>0.12768817474148106</v>
      </c>
      <c r="W167" s="1"/>
      <c r="X167" s="1">
        <f t="shared" ref="X167:X174" si="28">+P167-T167</f>
        <v>13608.379999999946</v>
      </c>
      <c r="Y167" s="1"/>
      <c r="Z167" s="5">
        <f t="shared" ref="Z167:Z174" si="29">IF(T167=0,0,X167/T167)</f>
        <v>2.9553421355824692E-2</v>
      </c>
    </row>
    <row r="168" spans="1:26" s="24" customFormat="1" hidden="1" outlineLevel="2" x14ac:dyDescent="0.25">
      <c r="A168" s="29"/>
      <c r="B168" s="11" t="str">
        <f>CONCATENATE("          ", "6001", " - ", "ADMINISTRATIVE SALARIES")</f>
        <v xml:space="preserve">          6001 - ADMINISTRATIVE SALARIES</v>
      </c>
      <c r="C168" s="11"/>
      <c r="D168" s="7">
        <v>10181.280000000001</v>
      </c>
      <c r="E168" s="2"/>
      <c r="F168" s="6">
        <f t="shared" si="22"/>
        <v>3.5954350848558143E-3</v>
      </c>
      <c r="G168" s="2"/>
      <c r="H168" s="7">
        <v>10405</v>
      </c>
      <c r="I168" s="2"/>
      <c r="J168" s="6">
        <f t="shared" si="23"/>
        <v>3.2870077425538459E-3</v>
      </c>
      <c r="K168" s="2"/>
      <c r="L168" s="7">
        <f t="shared" si="24"/>
        <v>-223.71999999999935</v>
      </c>
      <c r="M168" s="2"/>
      <c r="N168" s="6">
        <f t="shared" si="25"/>
        <v>-2.1501201345506905E-2</v>
      </c>
      <c r="O168" s="11"/>
      <c r="P168" s="7">
        <v>23041.56</v>
      </c>
      <c r="Q168" s="2"/>
      <c r="R168" s="6">
        <f t="shared" si="26"/>
        <v>7.1061371628411288E-3</v>
      </c>
      <c r="S168" s="2"/>
      <c r="T168" s="7">
        <v>23411</v>
      </c>
      <c r="U168" s="2"/>
      <c r="V168" s="6">
        <f t="shared" si="27"/>
        <v>6.4919023951085092E-3</v>
      </c>
      <c r="W168" s="2"/>
      <c r="X168" s="7">
        <f t="shared" si="28"/>
        <v>-369.43999999999869</v>
      </c>
      <c r="Y168" s="2"/>
      <c r="Z168" s="6">
        <f t="shared" si="29"/>
        <v>-1.5780615949767148E-2</v>
      </c>
    </row>
    <row r="169" spans="1:26" s="24" customFormat="1" hidden="1" outlineLevel="2" x14ac:dyDescent="0.25">
      <c r="A169" s="29"/>
      <c r="B169" s="11" t="str">
        <f>CONCATENATE("          ", "6002", " - ", "STAFF SALARIES")</f>
        <v xml:space="preserve">          6002 - STAFF SALARIES</v>
      </c>
      <c r="C169" s="11"/>
      <c r="D169" s="7">
        <v>72251.13</v>
      </c>
      <c r="E169" s="2"/>
      <c r="F169" s="6">
        <f t="shared" si="22"/>
        <v>2.5514890831258786E-2</v>
      </c>
      <c r="G169" s="2"/>
      <c r="H169" s="7">
        <v>67308.800000000003</v>
      </c>
      <c r="I169" s="2"/>
      <c r="J169" s="6">
        <f t="shared" si="23"/>
        <v>2.1263291373571198E-2</v>
      </c>
      <c r="K169" s="2"/>
      <c r="L169" s="7">
        <f t="shared" si="24"/>
        <v>4942.3300000000017</v>
      </c>
      <c r="M169" s="2"/>
      <c r="N169" s="6">
        <f t="shared" si="25"/>
        <v>7.342769444708569E-2</v>
      </c>
      <c r="O169" s="11"/>
      <c r="P169" s="7">
        <v>155662.78</v>
      </c>
      <c r="Q169" s="2"/>
      <c r="R169" s="6">
        <f t="shared" si="26"/>
        <v>4.8007212438270795E-2</v>
      </c>
      <c r="S169" s="2"/>
      <c r="T169" s="7">
        <v>148372.73000000001</v>
      </c>
      <c r="U169" s="2"/>
      <c r="V169" s="6">
        <f t="shared" si="27"/>
        <v>4.1143961439314349E-2</v>
      </c>
      <c r="W169" s="2"/>
      <c r="X169" s="7">
        <f t="shared" si="28"/>
        <v>7290.0499999999884</v>
      </c>
      <c r="Y169" s="2"/>
      <c r="Z169" s="6">
        <f t="shared" si="29"/>
        <v>4.9133354896145592E-2</v>
      </c>
    </row>
    <row r="170" spans="1:26" s="24" customFormat="1" hidden="1" outlineLevel="2" x14ac:dyDescent="0.25">
      <c r="A170" s="29"/>
      <c r="B170" s="11" t="str">
        <f>CONCATENATE("          ", "6004", " - ", "STAFF HOURLY")</f>
        <v xml:space="preserve">          6004 - STAFF HOURLY</v>
      </c>
      <c r="C170" s="11"/>
      <c r="D170" s="7">
        <v>3084.96</v>
      </c>
      <c r="E170" s="2"/>
      <c r="F170" s="6">
        <f t="shared" si="22"/>
        <v>1.0894281877501446E-3</v>
      </c>
      <c r="G170" s="2"/>
      <c r="H170" s="7">
        <v>6032.47</v>
      </c>
      <c r="I170" s="2"/>
      <c r="J170" s="6">
        <f t="shared" si="23"/>
        <v>1.9056968377437577E-3</v>
      </c>
      <c r="K170" s="2"/>
      <c r="L170" s="7">
        <f t="shared" si="24"/>
        <v>-2947.51</v>
      </c>
      <c r="M170" s="2"/>
      <c r="N170" s="6">
        <f t="shared" si="25"/>
        <v>-0.48860748582255692</v>
      </c>
      <c r="O170" s="11"/>
      <c r="P170" s="7">
        <v>5090.8900000000003</v>
      </c>
      <c r="Q170" s="2"/>
      <c r="R170" s="6">
        <f t="shared" si="26"/>
        <v>1.5700570022574979E-3</v>
      </c>
      <c r="S170" s="2"/>
      <c r="T170" s="7">
        <v>11401.51</v>
      </c>
      <c r="U170" s="2"/>
      <c r="V170" s="6">
        <f t="shared" si="27"/>
        <v>3.1616543538017863E-3</v>
      </c>
      <c r="W170" s="2"/>
      <c r="X170" s="7">
        <f t="shared" si="28"/>
        <v>-6310.62</v>
      </c>
      <c r="Y170" s="2"/>
      <c r="Z170" s="6">
        <f t="shared" si="29"/>
        <v>-0.55348984476617569</v>
      </c>
    </row>
    <row r="171" spans="1:26" s="24" customFormat="1" hidden="1" outlineLevel="2" x14ac:dyDescent="0.25">
      <c r="A171" s="29"/>
      <c r="B171" s="11" t="str">
        <f>CONCATENATE("          ", "6005", " - ", "TEMPORARY WAGES-HOURLY")</f>
        <v xml:space="preserve">          6005 - TEMPORARY WAGES-HOURLY</v>
      </c>
      <c r="C171" s="11"/>
      <c r="D171" s="7">
        <v>22727.5</v>
      </c>
      <c r="E171" s="2"/>
      <c r="F171" s="6">
        <f t="shared" si="22"/>
        <v>8.0260292312028074E-3</v>
      </c>
      <c r="G171" s="2"/>
      <c r="H171" s="7">
        <v>23014.21</v>
      </c>
      <c r="I171" s="2"/>
      <c r="J171" s="6">
        <f t="shared" si="23"/>
        <v>7.2703398807073662E-3</v>
      </c>
      <c r="K171" s="2"/>
      <c r="L171" s="7">
        <f t="shared" si="24"/>
        <v>-286.70999999999913</v>
      </c>
      <c r="M171" s="2"/>
      <c r="N171" s="6">
        <f t="shared" si="25"/>
        <v>-1.2457955324123623E-2</v>
      </c>
      <c r="O171" s="11"/>
      <c r="P171" s="7">
        <v>43563.55</v>
      </c>
      <c r="Q171" s="2"/>
      <c r="R171" s="6">
        <f t="shared" si="26"/>
        <v>1.3435225809376087E-2</v>
      </c>
      <c r="S171" s="2"/>
      <c r="T171" s="7">
        <v>40201.539999999994</v>
      </c>
      <c r="U171" s="2"/>
      <c r="V171" s="6">
        <f t="shared" si="27"/>
        <v>1.1147942155954486E-2</v>
      </c>
      <c r="W171" s="2"/>
      <c r="X171" s="7">
        <f t="shared" si="28"/>
        <v>3362.0100000000093</v>
      </c>
      <c r="Y171" s="2"/>
      <c r="Z171" s="6">
        <f t="shared" si="29"/>
        <v>8.3628885858601676E-2</v>
      </c>
    </row>
    <row r="172" spans="1:26" s="24" customFormat="1" hidden="1" outlineLevel="2" x14ac:dyDescent="0.25">
      <c r="A172" s="29"/>
      <c r="B172" s="11" t="str">
        <f>CONCATENATE("          ", "6006", " - ", "TEMPORARY PART TIME")</f>
        <v xml:space="preserve">          6006 - TEMPORARY PART TIME</v>
      </c>
      <c r="C172" s="11"/>
      <c r="D172" s="7">
        <v>5537.06</v>
      </c>
      <c r="E172" s="2"/>
      <c r="F172" s="6">
        <f t="shared" si="22"/>
        <v>1.9553670845858019E-3</v>
      </c>
      <c r="G172" s="2"/>
      <c r="H172" s="7">
        <v>11189</v>
      </c>
      <c r="I172" s="2"/>
      <c r="J172" s="6">
        <f t="shared" si="23"/>
        <v>3.534678484520421E-3</v>
      </c>
      <c r="K172" s="2"/>
      <c r="L172" s="7">
        <f t="shared" si="24"/>
        <v>-5651.94</v>
      </c>
      <c r="M172" s="2"/>
      <c r="N172" s="6">
        <f t="shared" si="25"/>
        <v>-0.50513361337027429</v>
      </c>
      <c r="O172" s="11"/>
      <c r="P172" s="7">
        <v>9455.25</v>
      </c>
      <c r="Q172" s="2"/>
      <c r="R172" s="6">
        <f t="shared" si="26"/>
        <v>2.9160483669054345E-3</v>
      </c>
      <c r="S172" s="2"/>
      <c r="T172" s="7">
        <v>22882.42</v>
      </c>
      <c r="U172" s="2"/>
      <c r="V172" s="6">
        <f t="shared" si="27"/>
        <v>6.3453264364563165E-3</v>
      </c>
      <c r="W172" s="2"/>
      <c r="X172" s="7">
        <f t="shared" si="28"/>
        <v>-13427.169999999998</v>
      </c>
      <c r="Y172" s="2"/>
      <c r="Z172" s="6">
        <f t="shared" si="29"/>
        <v>-0.58678977136159549</v>
      </c>
    </row>
    <row r="173" spans="1:26" s="24" customFormat="1" hidden="1" outlineLevel="2" x14ac:dyDescent="0.25">
      <c r="A173" s="29"/>
      <c r="B173" s="11" t="str">
        <f>CONCATENATE("          ", "6007", " - ", "STUDENT HOURLY")</f>
        <v xml:space="preserve">          6007 - STUDENT HOURLY</v>
      </c>
      <c r="C173" s="11"/>
      <c r="D173" s="7">
        <v>148881.35</v>
      </c>
      <c r="E173" s="2"/>
      <c r="F173" s="6">
        <f t="shared" si="22"/>
        <v>5.2576221189349293E-2</v>
      </c>
      <c r="G173" s="2"/>
      <c r="H173" s="7">
        <v>134207.23000000001</v>
      </c>
      <c r="I173" s="2"/>
      <c r="J173" s="6">
        <f t="shared" si="23"/>
        <v>4.2396944172677059E-2</v>
      </c>
      <c r="K173" s="2"/>
      <c r="L173" s="7">
        <f t="shared" si="24"/>
        <v>14674.119999999995</v>
      </c>
      <c r="M173" s="2"/>
      <c r="N173" s="6">
        <f t="shared" si="25"/>
        <v>0.10933926585028239</v>
      </c>
      <c r="O173" s="11"/>
      <c r="P173" s="7">
        <v>231807.97</v>
      </c>
      <c r="Q173" s="2"/>
      <c r="R173" s="6">
        <f t="shared" si="26"/>
        <v>7.1490785791403069E-2</v>
      </c>
      <c r="S173" s="2"/>
      <c r="T173" s="7">
        <v>206010.08</v>
      </c>
      <c r="U173" s="2"/>
      <c r="V173" s="6">
        <f t="shared" si="27"/>
        <v>5.712687761174215E-2</v>
      </c>
      <c r="W173" s="2"/>
      <c r="X173" s="7">
        <f t="shared" si="28"/>
        <v>25797.890000000014</v>
      </c>
      <c r="Y173" s="2"/>
      <c r="Z173" s="6">
        <f t="shared" si="29"/>
        <v>0.12522634814762471</v>
      </c>
    </row>
    <row r="174" spans="1:26" s="24" customFormat="1" hidden="1" outlineLevel="2" x14ac:dyDescent="0.25">
      <c r="A174" s="29"/>
      <c r="B174" s="11" t="str">
        <f>CONCATENATE("          ", "6008", " - ", "STUDENT HOURLY-FICA EXEMPT")</f>
        <v xml:space="preserve">          6008 - STUDENT HOURLY-FICA EXEMPT</v>
      </c>
      <c r="C174" s="11"/>
      <c r="D174" s="7">
        <v>3345.94</v>
      </c>
      <c r="E174" s="2"/>
      <c r="F174" s="6">
        <f t="shared" si="22"/>
        <v>1.1815911229062026E-3</v>
      </c>
      <c r="G174" s="2"/>
      <c r="H174" s="7">
        <v>5085.63</v>
      </c>
      <c r="I174" s="2"/>
      <c r="J174" s="6">
        <f t="shared" si="23"/>
        <v>1.6065838717697373E-3</v>
      </c>
      <c r="K174" s="2"/>
      <c r="L174" s="7">
        <f t="shared" si="24"/>
        <v>-1739.69</v>
      </c>
      <c r="M174" s="2"/>
      <c r="N174" s="6">
        <f t="shared" si="25"/>
        <v>-0.34207954570033605</v>
      </c>
      <c r="O174" s="11"/>
      <c r="P174" s="7">
        <v>5453.54</v>
      </c>
      <c r="Q174" s="2"/>
      <c r="R174" s="6">
        <f t="shared" si="26"/>
        <v>1.6819001518577998E-3</v>
      </c>
      <c r="S174" s="2"/>
      <c r="T174" s="7">
        <v>8187.88</v>
      </c>
      <c r="U174" s="2"/>
      <c r="V174" s="6">
        <f t="shared" si="27"/>
        <v>2.2705103491034583E-3</v>
      </c>
      <c r="W174" s="2"/>
      <c r="X174" s="7">
        <f t="shared" si="28"/>
        <v>-2734.34</v>
      </c>
      <c r="Y174" s="2"/>
      <c r="Z174" s="6">
        <f t="shared" si="29"/>
        <v>-0.33394969149523446</v>
      </c>
    </row>
    <row r="175" spans="1:26" s="27" customFormat="1" outlineLevel="1" collapsed="1" x14ac:dyDescent="0.25">
      <c r="A175" s="28"/>
      <c r="B175" s="14" t="str">
        <f>CONCATENATE("     ","Advertising/Promo                                 ")</f>
        <v xml:space="preserve">     Advertising/Promo                                 </v>
      </c>
      <c r="C175" s="14"/>
      <c r="D175" s="1">
        <f>SUM(OSRRefD22_2x_0)</f>
        <v>6850.59</v>
      </c>
      <c r="E175" s="1"/>
      <c r="F175" s="5">
        <f t="shared" ref="F175:F183" si="30">IF(D$12=0,0,D175/D$12)</f>
        <v>2.4192293737096307E-3</v>
      </c>
      <c r="G175" s="1"/>
      <c r="H175" s="1">
        <f>SUM(OSRRefH22_2x_0)</f>
        <v>3534.69</v>
      </c>
      <c r="I175" s="1"/>
      <c r="J175" s="5">
        <f t="shared" ref="J175:J183" si="31">IF(H$12=0,0,H175/H$12)</f>
        <v>1.1166317537268289E-3</v>
      </c>
      <c r="K175" s="1"/>
      <c r="L175" s="1">
        <f t="shared" ref="L175:L183" si="32">+D175-H175</f>
        <v>3315.9</v>
      </c>
      <c r="M175" s="1"/>
      <c r="N175" s="5">
        <f t="shared" ref="N175:N183" si="33">IF(H175=0,0,L175/H175)</f>
        <v>0.93810206835677246</v>
      </c>
      <c r="O175" s="14"/>
      <c r="P175" s="1">
        <f>SUM(OSRRefP22_2x_0)</f>
        <v>7782.51</v>
      </c>
      <c r="Q175" s="1"/>
      <c r="R175" s="5">
        <f t="shared" ref="R175:R183" si="34">IF(P$12=0,0,P175/P$12)</f>
        <v>2.4001666350361136E-3</v>
      </c>
      <c r="S175" s="1"/>
      <c r="T175" s="1">
        <f>SUM(OSRRefT22_2x_0)</f>
        <v>9022.3700000000008</v>
      </c>
      <c r="U175" s="1"/>
      <c r="V175" s="5">
        <f t="shared" ref="V175:V183" si="35">IF(T$12=0,0,T175/T$12)</f>
        <v>2.5019155701403255E-3</v>
      </c>
      <c r="W175" s="1"/>
      <c r="X175" s="1">
        <f t="shared" ref="X175:X183" si="36">+P175-T175</f>
        <v>-1239.8600000000006</v>
      </c>
      <c r="Y175" s="1"/>
      <c r="Z175" s="5">
        <f t="shared" ref="Z175:Z183" si="37">IF(T175=0,0,X175/T175)</f>
        <v>-0.13742065554837593</v>
      </c>
    </row>
    <row r="176" spans="1:26" s="24" customFormat="1" hidden="1" outlineLevel="2" x14ac:dyDescent="0.25">
      <c r="A176" s="29"/>
      <c r="B176" s="11" t="str">
        <f>CONCATENATE("          ", "6362", " - ", "ADVERTISING EXPENSE")</f>
        <v xml:space="preserve">          6362 - ADVERTISING EXPENSE</v>
      </c>
      <c r="C176" s="11"/>
      <c r="D176" s="7">
        <v>6850.59</v>
      </c>
      <c r="E176" s="2"/>
      <c r="F176" s="6">
        <f t="shared" si="30"/>
        <v>2.4192293737096307E-3</v>
      </c>
      <c r="G176" s="2"/>
      <c r="H176" s="7">
        <v>3534.69</v>
      </c>
      <c r="I176" s="2"/>
      <c r="J176" s="6">
        <f t="shared" si="31"/>
        <v>1.1166317537268289E-3</v>
      </c>
      <c r="K176" s="2"/>
      <c r="L176" s="7">
        <f t="shared" si="32"/>
        <v>3315.9</v>
      </c>
      <c r="M176" s="2"/>
      <c r="N176" s="6">
        <f t="shared" si="33"/>
        <v>0.93810206835677246</v>
      </c>
      <c r="O176" s="11"/>
      <c r="P176" s="7">
        <v>7782.51</v>
      </c>
      <c r="Q176" s="2"/>
      <c r="R176" s="6">
        <f t="shared" si="34"/>
        <v>2.4001666350361136E-3</v>
      </c>
      <c r="S176" s="2"/>
      <c r="T176" s="7">
        <v>9022.3700000000008</v>
      </c>
      <c r="U176" s="2"/>
      <c r="V176" s="6">
        <f t="shared" si="35"/>
        <v>2.5019155701403255E-3</v>
      </c>
      <c r="W176" s="2"/>
      <c r="X176" s="7">
        <f t="shared" si="36"/>
        <v>-1239.8600000000006</v>
      </c>
      <c r="Y176" s="2"/>
      <c r="Z176" s="6">
        <f t="shared" si="37"/>
        <v>-0.13742065554837593</v>
      </c>
    </row>
    <row r="177" spans="1:26" s="27" customFormat="1" outlineLevel="1" collapsed="1" x14ac:dyDescent="0.25">
      <c r="A177" s="28"/>
      <c r="B177" s="14" t="str">
        <f>CONCATENATE("     ","Bad Debts/Over/Short                              ")</f>
        <v xml:space="preserve">     Bad Debts/Over/Short                              </v>
      </c>
      <c r="C177" s="14"/>
      <c r="D177" s="1">
        <f>SUM(OSRRefD22_3x_0)</f>
        <v>-68.97</v>
      </c>
      <c r="E177" s="1"/>
      <c r="F177" s="5">
        <f t="shared" si="30"/>
        <v>-2.4356186825478277E-5</v>
      </c>
      <c r="G177" s="1"/>
      <c r="H177" s="1">
        <f>SUM(OSRRefH22_3x_0)</f>
        <v>6.14</v>
      </c>
      <c r="I177" s="1"/>
      <c r="J177" s="5">
        <f t="shared" si="31"/>
        <v>1.9396662699933314E-6</v>
      </c>
      <c r="K177" s="1"/>
      <c r="L177" s="1">
        <f t="shared" si="32"/>
        <v>-75.11</v>
      </c>
      <c r="M177" s="1"/>
      <c r="N177" s="5">
        <f t="shared" si="33"/>
        <v>-12.232899022801304</v>
      </c>
      <c r="O177" s="14"/>
      <c r="P177" s="1">
        <f>SUM(OSRRefP22_3x_0)</f>
        <v>-89.85</v>
      </c>
      <c r="Q177" s="1"/>
      <c r="R177" s="5">
        <f t="shared" si="34"/>
        <v>-2.7710208166516303E-5</v>
      </c>
      <c r="S177" s="1"/>
      <c r="T177" s="1">
        <f>SUM(OSRRefT22_3x_0)</f>
        <v>-43.59</v>
      </c>
      <c r="U177" s="1"/>
      <c r="V177" s="5">
        <f t="shared" si="35"/>
        <v>-1.2087566759334498E-5</v>
      </c>
      <c r="W177" s="1"/>
      <c r="X177" s="1">
        <f t="shared" si="36"/>
        <v>-46.259999999999991</v>
      </c>
      <c r="Y177" s="1"/>
      <c r="Z177" s="5">
        <f t="shared" si="37"/>
        <v>1.0612525808671711</v>
      </c>
    </row>
    <row r="178" spans="1:26" s="24" customFormat="1" hidden="1" outlineLevel="2" x14ac:dyDescent="0.25">
      <c r="A178" s="29"/>
      <c r="B178" s="11" t="str">
        <f>CONCATENATE("          ", "6272", " - ", "CASH (OVER/SHORT)")</f>
        <v xml:space="preserve">          6272 - CASH (OVER/SHORT)</v>
      </c>
      <c r="C178" s="11"/>
      <c r="D178" s="7">
        <v>-68.97</v>
      </c>
      <c r="E178" s="2"/>
      <c r="F178" s="6">
        <f t="shared" si="30"/>
        <v>-2.4356186825478277E-5</v>
      </c>
      <c r="G178" s="2"/>
      <c r="H178" s="7">
        <v>6.14</v>
      </c>
      <c r="I178" s="2"/>
      <c r="J178" s="6">
        <f t="shared" si="31"/>
        <v>1.9396662699933314E-6</v>
      </c>
      <c r="K178" s="2"/>
      <c r="L178" s="7">
        <f t="shared" si="32"/>
        <v>-75.11</v>
      </c>
      <c r="M178" s="2"/>
      <c r="N178" s="6">
        <f t="shared" si="33"/>
        <v>-12.232899022801304</v>
      </c>
      <c r="O178" s="11"/>
      <c r="P178" s="7">
        <v>-89.85</v>
      </c>
      <c r="Q178" s="2"/>
      <c r="R178" s="6">
        <f t="shared" si="34"/>
        <v>-2.7710208166516303E-5</v>
      </c>
      <c r="S178" s="2"/>
      <c r="T178" s="7">
        <v>-43.59</v>
      </c>
      <c r="U178" s="2"/>
      <c r="V178" s="6">
        <f t="shared" si="35"/>
        <v>-1.2087566759334498E-5</v>
      </c>
      <c r="W178" s="2"/>
      <c r="X178" s="7">
        <f t="shared" si="36"/>
        <v>-46.259999999999991</v>
      </c>
      <c r="Y178" s="2"/>
      <c r="Z178" s="6">
        <f t="shared" si="37"/>
        <v>1.0612525808671711</v>
      </c>
    </row>
    <row r="179" spans="1:26" s="27" customFormat="1" outlineLevel="1" collapsed="1" x14ac:dyDescent="0.25">
      <c r="A179" s="28"/>
      <c r="B179" s="14" t="str">
        <f>CONCATENATE("     ","Bank/card Fees                                    ")</f>
        <v xml:space="preserve">     Bank/card Fees                                    </v>
      </c>
      <c r="C179" s="14"/>
      <c r="D179" s="1">
        <f>SUM(OSRRefD22_4x_0)</f>
        <v>38087.279999999999</v>
      </c>
      <c r="E179" s="1"/>
      <c r="F179" s="5">
        <f t="shared" si="30"/>
        <v>1.3450208893059335E-2</v>
      </c>
      <c r="G179" s="1"/>
      <c r="H179" s="1">
        <f>SUM(OSRRefH22_4x_0)</f>
        <v>33989.369999999995</v>
      </c>
      <c r="I179" s="1"/>
      <c r="J179" s="5">
        <f t="shared" si="31"/>
        <v>1.0737464906730169E-2</v>
      </c>
      <c r="K179" s="1"/>
      <c r="L179" s="1">
        <f t="shared" si="32"/>
        <v>4097.9100000000035</v>
      </c>
      <c r="M179" s="1"/>
      <c r="N179" s="5">
        <f t="shared" si="33"/>
        <v>0.12056445882933411</v>
      </c>
      <c r="O179" s="14"/>
      <c r="P179" s="1">
        <f>SUM(OSRRefP22_4x_0)</f>
        <v>45422.630000000005</v>
      </c>
      <c r="Q179" s="1"/>
      <c r="R179" s="5">
        <f t="shared" si="34"/>
        <v>1.4008575768176389E-2</v>
      </c>
      <c r="S179" s="1"/>
      <c r="T179" s="1">
        <f>SUM(OSRRefT22_4x_0)</f>
        <v>41549.71</v>
      </c>
      <c r="U179" s="1"/>
      <c r="V179" s="5">
        <f t="shared" si="35"/>
        <v>1.1521791545216519E-2</v>
      </c>
      <c r="W179" s="1"/>
      <c r="X179" s="1">
        <f t="shared" si="36"/>
        <v>3872.9200000000055</v>
      </c>
      <c r="Y179" s="1"/>
      <c r="Z179" s="5">
        <f t="shared" si="37"/>
        <v>9.3211721573989464E-2</v>
      </c>
    </row>
    <row r="180" spans="1:26" s="24" customFormat="1" hidden="1" outlineLevel="2" x14ac:dyDescent="0.25">
      <c r="A180" s="29"/>
      <c r="B180" s="11" t="str">
        <f>CONCATENATE("          ", "6381", " - ", "BANK/CREDIT CARD FEES")</f>
        <v xml:space="preserve">          6381 - BANK/CREDIT CARD FEES</v>
      </c>
      <c r="C180" s="11"/>
      <c r="D180" s="7">
        <v>38087.279999999999</v>
      </c>
      <c r="E180" s="2"/>
      <c r="F180" s="6">
        <f t="shared" si="30"/>
        <v>1.3450208893059335E-2</v>
      </c>
      <c r="G180" s="2"/>
      <c r="H180" s="7">
        <v>33989.369999999995</v>
      </c>
      <c r="I180" s="2"/>
      <c r="J180" s="6">
        <f t="shared" si="31"/>
        <v>1.0737464906730169E-2</v>
      </c>
      <c r="K180" s="2"/>
      <c r="L180" s="7">
        <f t="shared" si="32"/>
        <v>4097.9100000000035</v>
      </c>
      <c r="M180" s="2"/>
      <c r="N180" s="6">
        <f t="shared" si="33"/>
        <v>0.12056445882933411</v>
      </c>
      <c r="O180" s="11"/>
      <c r="P180" s="7">
        <v>45422.630000000005</v>
      </c>
      <c r="Q180" s="2"/>
      <c r="R180" s="6">
        <f t="shared" si="34"/>
        <v>1.4008575768176389E-2</v>
      </c>
      <c r="S180" s="2"/>
      <c r="T180" s="7">
        <v>41549.71</v>
      </c>
      <c r="U180" s="2"/>
      <c r="V180" s="6">
        <f t="shared" si="35"/>
        <v>1.1521791545216519E-2</v>
      </c>
      <c r="W180" s="2"/>
      <c r="X180" s="7">
        <f t="shared" si="36"/>
        <v>3872.9200000000055</v>
      </c>
      <c r="Y180" s="2"/>
      <c r="Z180" s="6">
        <f t="shared" si="37"/>
        <v>9.3211721573989464E-2</v>
      </c>
    </row>
    <row r="181" spans="1:26" s="27" customFormat="1" outlineLevel="1" collapsed="1" x14ac:dyDescent="0.25">
      <c r="A181" s="28"/>
      <c r="B181" s="14" t="str">
        <f>CONCATENATE("     ","Depreciation                                      ")</f>
        <v xml:space="preserve">     Depreciation                                      </v>
      </c>
      <c r="C181" s="14"/>
      <c r="D181" s="1">
        <f>SUM(OSRRefD22_5x_0)</f>
        <v>38010.910000000003</v>
      </c>
      <c r="E181" s="1"/>
      <c r="F181" s="5">
        <f t="shared" si="30"/>
        <v>1.3423239457248668E-2</v>
      </c>
      <c r="G181" s="1"/>
      <c r="H181" s="1">
        <f>SUM(OSRRefH22_5x_0)</f>
        <v>37694.15</v>
      </c>
      <c r="I181" s="1"/>
      <c r="J181" s="5">
        <f t="shared" si="31"/>
        <v>1.1907829207014518E-2</v>
      </c>
      <c r="K181" s="1"/>
      <c r="L181" s="1">
        <f t="shared" si="32"/>
        <v>316.76000000000204</v>
      </c>
      <c r="M181" s="1"/>
      <c r="N181" s="5">
        <f t="shared" si="33"/>
        <v>8.403425995811075E-3</v>
      </c>
      <c r="O181" s="14"/>
      <c r="P181" s="1">
        <f>SUM(OSRRefP22_5x_0)</f>
        <v>76021.820000000007</v>
      </c>
      <c r="Q181" s="1"/>
      <c r="R181" s="5">
        <f t="shared" si="34"/>
        <v>2.3445525402308653E-2</v>
      </c>
      <c r="S181" s="1"/>
      <c r="T181" s="1">
        <f>SUM(OSRRefT22_5x_0)</f>
        <v>75388.3</v>
      </c>
      <c r="U181" s="1"/>
      <c r="V181" s="5">
        <f t="shared" si="35"/>
        <v>2.0905278942939594E-2</v>
      </c>
      <c r="W181" s="1"/>
      <c r="X181" s="1">
        <f t="shared" si="36"/>
        <v>633.52000000000407</v>
      </c>
      <c r="Y181" s="1"/>
      <c r="Z181" s="5">
        <f t="shared" si="37"/>
        <v>8.403425995811075E-3</v>
      </c>
    </row>
    <row r="182" spans="1:26" s="24" customFormat="1" hidden="1" outlineLevel="2" x14ac:dyDescent="0.25">
      <c r="A182" s="29"/>
      <c r="B182" s="11" t="str">
        <f>CONCATENATE("          ", "6321", " - ", "BUILDING DEPRECIATION")</f>
        <v xml:space="preserve">          6321 - BUILDING DEPRECIATION</v>
      </c>
      <c r="C182" s="11"/>
      <c r="D182" s="7">
        <v>21477.030000000002</v>
      </c>
      <c r="E182" s="2"/>
      <c r="F182" s="6">
        <f t="shared" si="30"/>
        <v>7.5844360611338523E-3</v>
      </c>
      <c r="G182" s="2"/>
      <c r="H182" s="7">
        <v>21533.89</v>
      </c>
      <c r="I182" s="2"/>
      <c r="J182" s="6">
        <f t="shared" si="31"/>
        <v>6.8026970838349675E-3</v>
      </c>
      <c r="K182" s="2"/>
      <c r="L182" s="7">
        <f t="shared" si="32"/>
        <v>-56.859999999996944</v>
      </c>
      <c r="M182" s="2"/>
      <c r="N182" s="6">
        <f t="shared" si="33"/>
        <v>-2.6404890152219103E-3</v>
      </c>
      <c r="O182" s="11"/>
      <c r="P182" s="7">
        <v>42954.060000000005</v>
      </c>
      <c r="Q182" s="2"/>
      <c r="R182" s="6">
        <f t="shared" si="34"/>
        <v>1.3247255917607472E-2</v>
      </c>
      <c r="S182" s="2"/>
      <c r="T182" s="7">
        <v>43067.78</v>
      </c>
      <c r="U182" s="2"/>
      <c r="V182" s="6">
        <f t="shared" si="35"/>
        <v>1.1942754437401492E-2</v>
      </c>
      <c r="W182" s="2"/>
      <c r="X182" s="7">
        <f t="shared" si="36"/>
        <v>-113.71999999999389</v>
      </c>
      <c r="Y182" s="2"/>
      <c r="Z182" s="6">
        <f t="shared" si="37"/>
        <v>-2.6404890152219103E-3</v>
      </c>
    </row>
    <row r="183" spans="1:26" s="24" customFormat="1" hidden="1" outlineLevel="2" x14ac:dyDescent="0.25">
      <c r="A183" s="29"/>
      <c r="B183" s="11" t="str">
        <f>CONCATENATE("          ", "6322", " - ", "EQUIPMENT DEPRECIATION EXPENSE")</f>
        <v xml:space="preserve">          6322 - EQUIPMENT DEPRECIATION EXPENSE</v>
      </c>
      <c r="C183" s="11"/>
      <c r="D183" s="7">
        <v>16533.88</v>
      </c>
      <c r="E183" s="2"/>
      <c r="F183" s="6">
        <f t="shared" si="30"/>
        <v>5.8388033961148155E-3</v>
      </c>
      <c r="G183" s="2"/>
      <c r="H183" s="7">
        <v>16160.26</v>
      </c>
      <c r="I183" s="2"/>
      <c r="J183" s="6">
        <f t="shared" si="31"/>
        <v>5.10513212317955E-3</v>
      </c>
      <c r="K183" s="2"/>
      <c r="L183" s="7">
        <f t="shared" si="32"/>
        <v>373.6200000000008</v>
      </c>
      <c r="M183" s="2"/>
      <c r="N183" s="6">
        <f t="shared" si="33"/>
        <v>2.311967752994078E-2</v>
      </c>
      <c r="O183" s="11"/>
      <c r="P183" s="7">
        <v>33067.760000000002</v>
      </c>
      <c r="Q183" s="2"/>
      <c r="R183" s="6">
        <f t="shared" si="34"/>
        <v>1.0198269484701181E-2</v>
      </c>
      <c r="S183" s="2"/>
      <c r="T183" s="7">
        <v>32320.52</v>
      </c>
      <c r="U183" s="2"/>
      <c r="V183" s="6">
        <f t="shared" si="35"/>
        <v>8.9625245055381005E-3</v>
      </c>
      <c r="W183" s="2"/>
      <c r="X183" s="7">
        <f t="shared" si="36"/>
        <v>747.2400000000016</v>
      </c>
      <c r="Y183" s="2"/>
      <c r="Z183" s="6">
        <f t="shared" si="37"/>
        <v>2.311967752994078E-2</v>
      </c>
    </row>
    <row r="184" spans="1:26" s="27" customFormat="1" outlineLevel="1" collapsed="1" x14ac:dyDescent="0.25">
      <c r="A184" s="28"/>
      <c r="B184" s="14" t="str">
        <f>CONCATENATE("     ","Discounts and Markdowns                           ")</f>
        <v xml:space="preserve">     Discounts and Markdowns                           </v>
      </c>
      <c r="C184" s="14"/>
      <c r="D184" s="1">
        <f>SUM(OSRRefD22_6x_0)</f>
        <v>34600.54</v>
      </c>
      <c r="E184" s="1"/>
      <c r="F184" s="5">
        <f t="shared" ref="F184:F186" si="38">IF(D$12=0,0,D184/D$12)</f>
        <v>1.2218895411083576E-2</v>
      </c>
      <c r="G184" s="1"/>
      <c r="H184" s="1">
        <f>SUM(OSRRefH22_6x_0)</f>
        <v>39320.289999999994</v>
      </c>
      <c r="I184" s="1"/>
      <c r="J184" s="5">
        <f t="shared" ref="J184:J186" si="39">IF(H$12=0,0,H184/H$12)</f>
        <v>1.2421537498266463E-2</v>
      </c>
      <c r="K184" s="1"/>
      <c r="L184" s="1">
        <f t="shared" ref="L184:L186" si="40">+D184-H184</f>
        <v>-4719.7499999999927</v>
      </c>
      <c r="M184" s="1"/>
      <c r="N184" s="5">
        <f t="shared" ref="N184:N186" si="41">IF(H184=0,0,L184/H184)</f>
        <v>-0.12003344837995837</v>
      </c>
      <c r="O184" s="14"/>
      <c r="P184" s="1">
        <f>SUM(OSRRefP22_6x_0)</f>
        <v>59103.5</v>
      </c>
      <c r="Q184" s="1"/>
      <c r="R184" s="5">
        <f t="shared" ref="R184:R186" si="42">IF(P$12=0,0,P184/P$12)</f>
        <v>1.8227827360820216E-2</v>
      </c>
      <c r="S184" s="1"/>
      <c r="T184" s="1">
        <f>SUM(OSRRefT22_6x_0)</f>
        <v>58681.77</v>
      </c>
      <c r="U184" s="1"/>
      <c r="V184" s="5">
        <f t="shared" ref="V184:V186" si="43">IF(T$12=0,0,T184/T$12)</f>
        <v>1.6272535270266397E-2</v>
      </c>
      <c r="W184" s="1"/>
      <c r="X184" s="1">
        <f t="shared" ref="X184:X186" si="44">+P184-T184</f>
        <v>421.7300000000032</v>
      </c>
      <c r="Y184" s="1"/>
      <c r="Z184" s="5">
        <f t="shared" ref="Z184:Z186" si="45">IF(T184=0,0,X184/T184)</f>
        <v>7.1867293709784695E-3</v>
      </c>
    </row>
    <row r="185" spans="1:26" s="24" customFormat="1" hidden="1" outlineLevel="2" x14ac:dyDescent="0.25">
      <c r="A185" s="29"/>
      <c r="B185" s="11" t="str">
        <f>CONCATENATE("          ", "6382", " - ", "DISCOUNTS/MARK DOWNS")</f>
        <v xml:space="preserve">          6382 - DISCOUNTS/MARK DOWNS</v>
      </c>
      <c r="C185" s="11"/>
      <c r="D185" s="7">
        <v>35406.39</v>
      </c>
      <c r="E185" s="2"/>
      <c r="F185" s="6">
        <f t="shared" si="38"/>
        <v>1.2503474694153196E-2</v>
      </c>
      <c r="G185" s="2"/>
      <c r="H185" s="7">
        <v>39810.769999999997</v>
      </c>
      <c r="I185" s="2"/>
      <c r="J185" s="6">
        <f t="shared" si="39"/>
        <v>1.2576483347143716E-2</v>
      </c>
      <c r="K185" s="2"/>
      <c r="L185" s="7">
        <f t="shared" si="40"/>
        <v>-4404.3799999999974</v>
      </c>
      <c r="M185" s="2"/>
      <c r="N185" s="6">
        <f t="shared" si="41"/>
        <v>-0.11063287648040965</v>
      </c>
      <c r="O185" s="11"/>
      <c r="P185" s="7">
        <v>60353.06</v>
      </c>
      <c r="Q185" s="2"/>
      <c r="R185" s="6">
        <f t="shared" si="42"/>
        <v>1.8613198175695587E-2</v>
      </c>
      <c r="S185" s="2"/>
      <c r="T185" s="7">
        <v>60082.409999999996</v>
      </c>
      <c r="U185" s="2"/>
      <c r="V185" s="6">
        <f t="shared" si="43"/>
        <v>1.6660934662461723E-2</v>
      </c>
      <c r="W185" s="2"/>
      <c r="X185" s="7">
        <f t="shared" si="44"/>
        <v>270.65000000000146</v>
      </c>
      <c r="Y185" s="2"/>
      <c r="Z185" s="6">
        <f t="shared" si="45"/>
        <v>4.50464620177522E-3</v>
      </c>
    </row>
    <row r="186" spans="1:26" s="24" customFormat="1" hidden="1" outlineLevel="2" x14ac:dyDescent="0.25">
      <c r="A186" s="29"/>
      <c r="B186" s="11" t="str">
        <f>CONCATENATE("          ", "9175", " - ", "EARNED DISCOUNTS")</f>
        <v xml:space="preserve">          9175 - EARNED DISCOUNTS</v>
      </c>
      <c r="C186" s="11"/>
      <c r="D186" s="7">
        <v>-805.85</v>
      </c>
      <c r="E186" s="2"/>
      <c r="F186" s="6">
        <f t="shared" si="38"/>
        <v>-2.8457928306961969E-4</v>
      </c>
      <c r="G186" s="2"/>
      <c r="H186" s="7">
        <v>-490.48</v>
      </c>
      <c r="I186" s="2"/>
      <c r="J186" s="6">
        <f t="shared" si="39"/>
        <v>-1.5494584887725232E-4</v>
      </c>
      <c r="K186" s="2"/>
      <c r="L186" s="7">
        <f t="shared" si="40"/>
        <v>-315.37</v>
      </c>
      <c r="M186" s="2"/>
      <c r="N186" s="6">
        <f t="shared" si="41"/>
        <v>0.64298238460283808</v>
      </c>
      <c r="O186" s="11"/>
      <c r="P186" s="7">
        <v>-1249.56</v>
      </c>
      <c r="Q186" s="2"/>
      <c r="R186" s="6">
        <f t="shared" si="42"/>
        <v>-3.8537081487537129E-4</v>
      </c>
      <c r="S186" s="2"/>
      <c r="T186" s="7">
        <v>-1400.64</v>
      </c>
      <c r="U186" s="2"/>
      <c r="V186" s="6">
        <f t="shared" si="43"/>
        <v>-3.8839939219532623E-4</v>
      </c>
      <c r="W186" s="2"/>
      <c r="X186" s="7">
        <f t="shared" si="44"/>
        <v>151.08000000000015</v>
      </c>
      <c r="Y186" s="2"/>
      <c r="Z186" s="6">
        <f t="shared" si="45"/>
        <v>-0.10786497601096652</v>
      </c>
    </row>
    <row r="187" spans="1:26" s="27" customFormat="1" outlineLevel="1" collapsed="1" x14ac:dyDescent="0.25">
      <c r="A187" s="28"/>
      <c r="B187" s="14" t="str">
        <f>CONCATENATE("     ","Donations                                         ")</f>
        <v xml:space="preserve">     Donations                                         </v>
      </c>
      <c r="C187" s="14"/>
      <c r="D187" s="1">
        <f>SUM(OSRRefD22_7x_0)</f>
        <v>2691.56</v>
      </c>
      <c r="E187" s="1"/>
      <c r="F187" s="5">
        <f t="shared" ref="F187:F195" si="46">IF(D$12=0,0,D187/D$12)</f>
        <v>9.5050222142937959E-4</v>
      </c>
      <c r="G187" s="1"/>
      <c r="H187" s="1">
        <f>SUM(OSRRefH22_7x_0)</f>
        <v>859.6</v>
      </c>
      <c r="I187" s="1"/>
      <c r="J187" s="5">
        <f t="shared" ref="J187:J195" si="47">IF(H$12=0,0,H187/H$12)</f>
        <v>2.7155327779906642E-4</v>
      </c>
      <c r="K187" s="1"/>
      <c r="L187" s="1">
        <f t="shared" ref="L187:L195" si="48">+D187-H187</f>
        <v>1831.96</v>
      </c>
      <c r="M187" s="1"/>
      <c r="N187" s="5">
        <f t="shared" ref="N187:N195" si="49">IF(H187=0,0,L187/H187)</f>
        <v>2.1311772917636111</v>
      </c>
      <c r="O187" s="14"/>
      <c r="P187" s="1">
        <f>SUM(OSRRefP22_7x_0)</f>
        <v>3616.98</v>
      </c>
      <c r="Q187" s="1"/>
      <c r="R187" s="5">
        <f t="shared" ref="R187:R195" si="50">IF(P$12=0,0,P187/P$12)</f>
        <v>1.1154954783987327E-3</v>
      </c>
      <c r="S187" s="1"/>
      <c r="T187" s="1">
        <f>SUM(OSRRefT22_7x_0)</f>
        <v>2295.81</v>
      </c>
      <c r="U187" s="1"/>
      <c r="V187" s="5">
        <f t="shared" ref="V187:V195" si="51">IF(T$12=0,0,T187/T$12)</f>
        <v>6.3663126042091608E-4</v>
      </c>
      <c r="W187" s="1"/>
      <c r="X187" s="1">
        <f t="shared" ref="X187:X195" si="52">+P187-T187</f>
        <v>1321.17</v>
      </c>
      <c r="Y187" s="1"/>
      <c r="Z187" s="5">
        <f t="shared" ref="Z187:Z195" si="53">IF(T187=0,0,X187/T187)</f>
        <v>0.57547009552184203</v>
      </c>
    </row>
    <row r="188" spans="1:26" s="24" customFormat="1" hidden="1" outlineLevel="2" x14ac:dyDescent="0.25">
      <c r="A188" s="29"/>
      <c r="B188" s="11" t="str">
        <f>CONCATENATE("          ", "6399", " - ", "DONATION-ON CAMPUS")</f>
        <v xml:space="preserve">          6399 - DONATION-ON CAMPUS</v>
      </c>
      <c r="C188" s="11"/>
      <c r="D188" s="7">
        <v>2691.56</v>
      </c>
      <c r="E188" s="2"/>
      <c r="F188" s="6">
        <f t="shared" si="46"/>
        <v>9.5050222142937959E-4</v>
      </c>
      <c r="G188" s="2"/>
      <c r="H188" s="7">
        <v>859.6</v>
      </c>
      <c r="I188" s="2"/>
      <c r="J188" s="6">
        <f t="shared" si="47"/>
        <v>2.7155327779906642E-4</v>
      </c>
      <c r="K188" s="2"/>
      <c r="L188" s="7">
        <f t="shared" si="48"/>
        <v>1831.96</v>
      </c>
      <c r="M188" s="2"/>
      <c r="N188" s="6">
        <f t="shared" si="49"/>
        <v>2.1311772917636111</v>
      </c>
      <c r="O188" s="11"/>
      <c r="P188" s="7">
        <v>3616.98</v>
      </c>
      <c r="Q188" s="2"/>
      <c r="R188" s="6">
        <f t="shared" si="50"/>
        <v>1.1154954783987327E-3</v>
      </c>
      <c r="S188" s="2"/>
      <c r="T188" s="7">
        <v>2295.81</v>
      </c>
      <c r="U188" s="2"/>
      <c r="V188" s="6">
        <f t="shared" si="51"/>
        <v>6.3663126042091608E-4</v>
      </c>
      <c r="W188" s="2"/>
      <c r="X188" s="7">
        <f t="shared" si="52"/>
        <v>1321.17</v>
      </c>
      <c r="Y188" s="2"/>
      <c r="Z188" s="6">
        <f t="shared" si="53"/>
        <v>0.57547009552184203</v>
      </c>
    </row>
    <row r="189" spans="1:26" s="27" customFormat="1" outlineLevel="1" collapsed="1" x14ac:dyDescent="0.25">
      <c r="A189" s="28"/>
      <c r="B189" s="14" t="str">
        <f>CONCATENATE("     ","Employees' Appreciation                           ")</f>
        <v xml:space="preserve">     Employees' Appreciation                           </v>
      </c>
      <c r="C189" s="14"/>
      <c r="D189" s="1">
        <f>SUM(OSRRefD22_8x_0)</f>
        <v>57.33</v>
      </c>
      <c r="E189" s="1"/>
      <c r="F189" s="5">
        <f t="shared" si="46"/>
        <v>2.0245616800125701E-5</v>
      </c>
      <c r="G189" s="1"/>
      <c r="H189" s="1">
        <f>SUM(OSRRefH22_8x_0)</f>
        <v>507.83</v>
      </c>
      <c r="I189" s="1"/>
      <c r="J189" s="5">
        <f t="shared" si="47"/>
        <v>1.6042682766949731E-4</v>
      </c>
      <c r="K189" s="1"/>
      <c r="L189" s="1">
        <f t="shared" si="48"/>
        <v>-450.5</v>
      </c>
      <c r="M189" s="1"/>
      <c r="N189" s="5">
        <f t="shared" si="49"/>
        <v>-0.88710789043577576</v>
      </c>
      <c r="O189" s="14"/>
      <c r="P189" s="1">
        <f>SUM(OSRRefP22_8x_0)</f>
        <v>450.87</v>
      </c>
      <c r="Q189" s="1"/>
      <c r="R189" s="5">
        <f t="shared" si="50"/>
        <v>1.3905065727364726E-4</v>
      </c>
      <c r="S189" s="1"/>
      <c r="T189" s="1">
        <f>SUM(OSRRefT22_8x_0)</f>
        <v>800.54</v>
      </c>
      <c r="U189" s="1"/>
      <c r="V189" s="5">
        <f t="shared" si="51"/>
        <v>2.219908394934076E-4</v>
      </c>
      <c r="W189" s="1"/>
      <c r="X189" s="1">
        <f t="shared" si="52"/>
        <v>-349.66999999999996</v>
      </c>
      <c r="Y189" s="1"/>
      <c r="Z189" s="5">
        <f t="shared" si="53"/>
        <v>-0.43679266495115793</v>
      </c>
    </row>
    <row r="190" spans="1:26" s="24" customFormat="1" hidden="1" outlineLevel="2" x14ac:dyDescent="0.25">
      <c r="A190" s="29"/>
      <c r="B190" s="11" t="str">
        <f>CONCATENATE("          ", "6277", " - ", "EMPLOYEE APPRECIATION")</f>
        <v xml:space="preserve">          6277 - EMPLOYEE APPRECIATION</v>
      </c>
      <c r="C190" s="11"/>
      <c r="D190" s="7">
        <v>57.33</v>
      </c>
      <c r="E190" s="2"/>
      <c r="F190" s="6">
        <f t="shared" si="46"/>
        <v>2.0245616800125701E-5</v>
      </c>
      <c r="G190" s="2"/>
      <c r="H190" s="7">
        <v>507.83</v>
      </c>
      <c r="I190" s="2"/>
      <c r="J190" s="6">
        <f t="shared" si="47"/>
        <v>1.6042682766949731E-4</v>
      </c>
      <c r="K190" s="2"/>
      <c r="L190" s="7">
        <f t="shared" si="48"/>
        <v>-450.5</v>
      </c>
      <c r="M190" s="2"/>
      <c r="N190" s="6">
        <f t="shared" si="49"/>
        <v>-0.88710789043577576</v>
      </c>
      <c r="O190" s="11"/>
      <c r="P190" s="7">
        <v>450.87</v>
      </c>
      <c r="Q190" s="2"/>
      <c r="R190" s="6">
        <f t="shared" si="50"/>
        <v>1.3905065727364726E-4</v>
      </c>
      <c r="S190" s="2"/>
      <c r="T190" s="7">
        <v>800.54</v>
      </c>
      <c r="U190" s="2"/>
      <c r="V190" s="6">
        <f t="shared" si="51"/>
        <v>2.219908394934076E-4</v>
      </c>
      <c r="W190" s="2"/>
      <c r="X190" s="7">
        <f t="shared" si="52"/>
        <v>-349.66999999999996</v>
      </c>
      <c r="Y190" s="2"/>
      <c r="Z190" s="6">
        <f t="shared" si="53"/>
        <v>-0.43679266495115793</v>
      </c>
    </row>
    <row r="191" spans="1:26" s="27" customFormat="1" outlineLevel="1" collapsed="1" x14ac:dyDescent="0.25">
      <c r="A191" s="28"/>
      <c r="B191" s="14" t="str">
        <f>CONCATENATE("     ","Equipment Rental                                  ")</f>
        <v xml:space="preserve">     Equipment Rental                                  </v>
      </c>
      <c r="C191" s="14"/>
      <c r="D191" s="1">
        <f>SUM(OSRRefD22_9x_0)</f>
        <v>1442.95</v>
      </c>
      <c r="E191" s="1"/>
      <c r="F191" s="5">
        <f t="shared" si="46"/>
        <v>5.0956589502426967E-4</v>
      </c>
      <c r="G191" s="1"/>
      <c r="H191" s="1">
        <f>SUM(OSRRefH22_9x_0)</f>
        <v>3487.21</v>
      </c>
      <c r="I191" s="1"/>
      <c r="J191" s="5">
        <f t="shared" si="47"/>
        <v>1.1016325103230368E-3</v>
      </c>
      <c r="K191" s="1"/>
      <c r="L191" s="1">
        <f t="shared" si="48"/>
        <v>-2044.26</v>
      </c>
      <c r="M191" s="1"/>
      <c r="N191" s="5">
        <f t="shared" si="49"/>
        <v>-0.5862164882527866</v>
      </c>
      <c r="O191" s="14"/>
      <c r="P191" s="1">
        <f>SUM(OSRRefP22_9x_0)</f>
        <v>2886.32</v>
      </c>
      <c r="Q191" s="1"/>
      <c r="R191" s="5">
        <f t="shared" si="50"/>
        <v>8.9015612726966434E-4</v>
      </c>
      <c r="S191" s="1"/>
      <c r="T191" s="1">
        <f>SUM(OSRRefT22_9x_0)</f>
        <v>7033.65</v>
      </c>
      <c r="U191" s="1"/>
      <c r="V191" s="5">
        <f t="shared" si="51"/>
        <v>1.9504407877217959E-3</v>
      </c>
      <c r="W191" s="1"/>
      <c r="X191" s="1">
        <f t="shared" si="52"/>
        <v>-4147.33</v>
      </c>
      <c r="Y191" s="1"/>
      <c r="Z191" s="5">
        <f t="shared" si="53"/>
        <v>-0.58964122468419666</v>
      </c>
    </row>
    <row r="192" spans="1:26" s="24" customFormat="1" hidden="1" outlineLevel="2" x14ac:dyDescent="0.25">
      <c r="A192" s="29"/>
      <c r="B192" s="11" t="str">
        <f>CONCATENATE("          ", "6351", " - ", "EQUIPMENT RENTAL")</f>
        <v xml:space="preserve">          6351 - EQUIPMENT RENTAL</v>
      </c>
      <c r="C192" s="11"/>
      <c r="D192" s="7">
        <v>1442.95</v>
      </c>
      <c r="E192" s="2"/>
      <c r="F192" s="6">
        <f t="shared" si="46"/>
        <v>5.0956589502426967E-4</v>
      </c>
      <c r="G192" s="2"/>
      <c r="H192" s="7">
        <v>3487.21</v>
      </c>
      <c r="I192" s="2"/>
      <c r="J192" s="6">
        <f t="shared" si="47"/>
        <v>1.1016325103230368E-3</v>
      </c>
      <c r="K192" s="2"/>
      <c r="L192" s="7">
        <f t="shared" si="48"/>
        <v>-2044.26</v>
      </c>
      <c r="M192" s="2"/>
      <c r="N192" s="6">
        <f t="shared" si="49"/>
        <v>-0.5862164882527866</v>
      </c>
      <c r="O192" s="11"/>
      <c r="P192" s="7">
        <v>2886.32</v>
      </c>
      <c r="Q192" s="2"/>
      <c r="R192" s="6">
        <f t="shared" si="50"/>
        <v>8.9015612726966434E-4</v>
      </c>
      <c r="S192" s="2"/>
      <c r="T192" s="7">
        <v>7033.65</v>
      </c>
      <c r="U192" s="2"/>
      <c r="V192" s="6">
        <f t="shared" si="51"/>
        <v>1.9504407877217959E-3</v>
      </c>
      <c r="W192" s="2"/>
      <c r="X192" s="7">
        <f t="shared" si="52"/>
        <v>-4147.33</v>
      </c>
      <c r="Y192" s="2"/>
      <c r="Z192" s="6">
        <f t="shared" si="53"/>
        <v>-0.58964122468419666</v>
      </c>
    </row>
    <row r="193" spans="1:26" s="27" customFormat="1" outlineLevel="1" collapsed="1" x14ac:dyDescent="0.25">
      <c r="A193" s="28"/>
      <c r="B193" s="14" t="str">
        <f>CONCATENATE("     ","Freight out/Postage                               ")</f>
        <v xml:space="preserve">     Freight out/Postage                               </v>
      </c>
      <c r="C193" s="14"/>
      <c r="D193" s="1">
        <f>SUM(OSRRefD22_10x_0)</f>
        <v>-12859.049999999997</v>
      </c>
      <c r="E193" s="1"/>
      <c r="F193" s="5">
        <f t="shared" si="46"/>
        <v>-4.541067481487116E-3</v>
      </c>
      <c r="G193" s="1"/>
      <c r="H193" s="1">
        <f>SUM(OSRRefH22_10x_0)</f>
        <v>-8579.0400000000009</v>
      </c>
      <c r="I193" s="1"/>
      <c r="J193" s="5">
        <f t="shared" si="47"/>
        <v>-2.7101750027562852E-3</v>
      </c>
      <c r="K193" s="1"/>
      <c r="L193" s="1">
        <f t="shared" si="48"/>
        <v>-4280.0099999999966</v>
      </c>
      <c r="M193" s="1"/>
      <c r="N193" s="5">
        <f t="shared" si="49"/>
        <v>0.49889148436188618</v>
      </c>
      <c r="O193" s="14"/>
      <c r="P193" s="1">
        <f>SUM(OSRRefP22_10x_0)</f>
        <v>-15019.189999999999</v>
      </c>
      <c r="Q193" s="1"/>
      <c r="R193" s="5">
        <f t="shared" si="50"/>
        <v>-4.6319964540062321E-3</v>
      </c>
      <c r="S193" s="1"/>
      <c r="T193" s="1">
        <f>SUM(OSRRefT22_10x_0)</f>
        <v>-8529.8700000000008</v>
      </c>
      <c r="U193" s="1"/>
      <c r="V193" s="5">
        <f t="shared" si="51"/>
        <v>-2.3653446449516989E-3</v>
      </c>
      <c r="W193" s="1"/>
      <c r="X193" s="1">
        <f t="shared" si="52"/>
        <v>-6489.3199999999979</v>
      </c>
      <c r="Y193" s="1"/>
      <c r="Z193" s="5">
        <f t="shared" si="53"/>
        <v>0.76077595555383581</v>
      </c>
    </row>
    <row r="194" spans="1:26" s="24" customFormat="1" hidden="1" outlineLevel="2" x14ac:dyDescent="0.25">
      <c r="A194" s="29"/>
      <c r="B194" s="11" t="str">
        <f>CONCATENATE("          ", "6305", " - ", "FREIGHT OUT")</f>
        <v xml:space="preserve">          6305 - FREIGHT OUT</v>
      </c>
      <c r="C194" s="11"/>
      <c r="D194" s="7">
        <v>2905</v>
      </c>
      <c r="E194" s="2"/>
      <c r="F194" s="6">
        <f t="shared" si="46"/>
        <v>1.0258767975643672E-3</v>
      </c>
      <c r="G194" s="2"/>
      <c r="H194" s="7">
        <v>3053</v>
      </c>
      <c r="I194" s="2"/>
      <c r="J194" s="6">
        <f t="shared" si="47"/>
        <v>9.6446272349994151E-4</v>
      </c>
      <c r="K194" s="2"/>
      <c r="L194" s="7">
        <f t="shared" si="48"/>
        <v>-148</v>
      </c>
      <c r="M194" s="2"/>
      <c r="N194" s="6">
        <f t="shared" si="49"/>
        <v>-4.8476907959384211E-2</v>
      </c>
      <c r="O194" s="11"/>
      <c r="P194" s="7">
        <v>4394.41</v>
      </c>
      <c r="Q194" s="2"/>
      <c r="R194" s="6">
        <f t="shared" si="50"/>
        <v>1.3552589412244953E-3</v>
      </c>
      <c r="S194" s="2"/>
      <c r="T194" s="7">
        <v>5629.07</v>
      </c>
      <c r="U194" s="2"/>
      <c r="V194" s="6">
        <f t="shared" si="51"/>
        <v>1.5609488281249607E-3</v>
      </c>
      <c r="W194" s="2"/>
      <c r="X194" s="7">
        <f t="shared" si="52"/>
        <v>-1234.6599999999999</v>
      </c>
      <c r="Y194" s="2"/>
      <c r="Z194" s="6">
        <f t="shared" si="53"/>
        <v>-0.21933640903381907</v>
      </c>
    </row>
    <row r="195" spans="1:26" s="24" customFormat="1" hidden="1" outlineLevel="2" x14ac:dyDescent="0.25">
      <c r="A195" s="29"/>
      <c r="B195" s="11" t="str">
        <f>CONCATENATE("          ", "6307", " - ", "POSTAGE")</f>
        <v xml:space="preserve">          6307 - POSTAGE</v>
      </c>
      <c r="C195" s="11"/>
      <c r="D195" s="7">
        <v>-15764.049999999997</v>
      </c>
      <c r="E195" s="2"/>
      <c r="F195" s="6">
        <f t="shared" si="46"/>
        <v>-5.5669442790514832E-3</v>
      </c>
      <c r="G195" s="2"/>
      <c r="H195" s="7">
        <v>-11632.04</v>
      </c>
      <c r="I195" s="2"/>
      <c r="J195" s="6">
        <f t="shared" si="47"/>
        <v>-3.6746377262562267E-3</v>
      </c>
      <c r="K195" s="2"/>
      <c r="L195" s="7">
        <f t="shared" si="48"/>
        <v>-4132.0099999999966</v>
      </c>
      <c r="M195" s="2"/>
      <c r="N195" s="6">
        <f t="shared" si="49"/>
        <v>0.35522659825791486</v>
      </c>
      <c r="O195" s="11"/>
      <c r="P195" s="7">
        <v>-19413.599999999999</v>
      </c>
      <c r="Q195" s="2"/>
      <c r="R195" s="6">
        <f t="shared" si="50"/>
        <v>-5.9872553952307278E-3</v>
      </c>
      <c r="S195" s="2"/>
      <c r="T195" s="7">
        <v>-14158.94</v>
      </c>
      <c r="U195" s="2"/>
      <c r="V195" s="6">
        <f t="shared" si="51"/>
        <v>-3.9262934730766594E-3</v>
      </c>
      <c r="W195" s="2"/>
      <c r="X195" s="7">
        <f t="shared" si="52"/>
        <v>-5254.659999999998</v>
      </c>
      <c r="Y195" s="2"/>
      <c r="Z195" s="6">
        <f t="shared" si="53"/>
        <v>0.37111958946079282</v>
      </c>
    </row>
    <row r="196" spans="1:26" s="27" customFormat="1" outlineLevel="1" collapsed="1" x14ac:dyDescent="0.25">
      <c r="A196" s="28"/>
      <c r="B196" s="14" t="str">
        <f>CONCATENATE("     ","General                                           ")</f>
        <v xml:space="preserve">     General                                           </v>
      </c>
      <c r="C196" s="14"/>
      <c r="D196" s="1">
        <f>SUM(OSRRefD22_11x_0)</f>
        <v>-14987.02</v>
      </c>
      <c r="E196" s="1"/>
      <c r="F196" s="5">
        <f t="shared" ref="F196:F211" si="54">IF(D$12=0,0,D196/D$12)</f>
        <v>-5.2925425413539147E-3</v>
      </c>
      <c r="G196" s="1"/>
      <c r="H196" s="1">
        <f>SUM(OSRRefH22_11x_0)</f>
        <v>169.91</v>
      </c>
      <c r="I196" s="1"/>
      <c r="J196" s="5">
        <f t="shared" ref="J196:J211" si="55">IF(H$12=0,0,H196/H$12)</f>
        <v>5.3675683376965303E-5</v>
      </c>
      <c r="K196" s="1"/>
      <c r="L196" s="1">
        <f t="shared" ref="L196:L211" si="56">+D196-H196</f>
        <v>-15156.93</v>
      </c>
      <c r="M196" s="1"/>
      <c r="N196" s="5">
        <f t="shared" ref="N196:N211" si="57">IF(H196=0,0,L196/H196)</f>
        <v>-89.20563827908893</v>
      </c>
      <c r="O196" s="14"/>
      <c r="P196" s="1">
        <f>SUM(OSRRefP22_11x_0)</f>
        <v>-9782.0400000000009</v>
      </c>
      <c r="Q196" s="1"/>
      <c r="R196" s="5">
        <f t="shared" ref="R196:R211" si="58">IF(P$12=0,0,P196/P$12)</f>
        <v>-3.0168321056559728E-3</v>
      </c>
      <c r="S196" s="1"/>
      <c r="T196" s="1">
        <f>SUM(OSRRefT22_11x_0)</f>
        <v>4423.08</v>
      </c>
      <c r="U196" s="1"/>
      <c r="V196" s="5">
        <f t="shared" ref="V196:V211" si="59">IF(T$12=0,0,T196/T$12)</f>
        <v>1.2265261477833729E-3</v>
      </c>
      <c r="W196" s="1"/>
      <c r="X196" s="1">
        <f t="shared" ref="X196:X211" si="60">+P196-T196</f>
        <v>-14205.12</v>
      </c>
      <c r="Y196" s="1"/>
      <c r="Z196" s="5">
        <f t="shared" ref="Z196:Z211" si="61">IF(T196=0,0,X196/T196)</f>
        <v>-3.2115901136764431</v>
      </c>
    </row>
    <row r="197" spans="1:26" s="24" customFormat="1" hidden="1" outlineLevel="2" x14ac:dyDescent="0.25">
      <c r="A197" s="29"/>
      <c r="B197" s="11" t="str">
        <f>CONCATENATE("          ", "6279", " - ", "GENERAL EXPENSE")</f>
        <v xml:space="preserve">          6279 - GENERAL EXPENSE</v>
      </c>
      <c r="C197" s="11"/>
      <c r="D197" s="7">
        <v>-14987.02</v>
      </c>
      <c r="E197" s="2"/>
      <c r="F197" s="6">
        <f t="shared" si="54"/>
        <v>-5.2925425413539147E-3</v>
      </c>
      <c r="G197" s="2"/>
      <c r="H197" s="7">
        <v>169.91</v>
      </c>
      <c r="I197" s="2"/>
      <c r="J197" s="6">
        <f t="shared" si="55"/>
        <v>5.3675683376965303E-5</v>
      </c>
      <c r="K197" s="2"/>
      <c r="L197" s="7">
        <f t="shared" si="56"/>
        <v>-15156.93</v>
      </c>
      <c r="M197" s="2"/>
      <c r="N197" s="6">
        <f t="shared" si="57"/>
        <v>-89.20563827908893</v>
      </c>
      <c r="O197" s="11"/>
      <c r="P197" s="7">
        <v>-9782.0400000000009</v>
      </c>
      <c r="Q197" s="2"/>
      <c r="R197" s="6">
        <f t="shared" si="58"/>
        <v>-3.0168321056559728E-3</v>
      </c>
      <c r="S197" s="2"/>
      <c r="T197" s="7">
        <v>4423.08</v>
      </c>
      <c r="U197" s="2"/>
      <c r="V197" s="6">
        <f t="shared" si="59"/>
        <v>1.2265261477833729E-3</v>
      </c>
      <c r="W197" s="2"/>
      <c r="X197" s="7">
        <f t="shared" si="60"/>
        <v>-14205.12</v>
      </c>
      <c r="Y197" s="2"/>
      <c r="Z197" s="6">
        <f t="shared" si="61"/>
        <v>-3.2115901136764431</v>
      </c>
    </row>
    <row r="198" spans="1:26" s="27" customFormat="1" outlineLevel="1" collapsed="1" x14ac:dyDescent="0.25">
      <c r="A198" s="28"/>
      <c r="B198" s="14" t="str">
        <f>CONCATENATE("     ","Insurance                                         ")</f>
        <v xml:space="preserve">     Insurance                                         </v>
      </c>
      <c r="C198" s="14"/>
      <c r="D198" s="1">
        <f>SUM(OSRRefD22_12x_0)</f>
        <v>4288.28</v>
      </c>
      <c r="E198" s="1"/>
      <c r="F198" s="5">
        <f t="shared" si="54"/>
        <v>1.5143707240823834E-3</v>
      </c>
      <c r="G198" s="1"/>
      <c r="H198" s="1">
        <f>SUM(OSRRefH22_12x_0)</f>
        <v>4039.41</v>
      </c>
      <c r="I198" s="1"/>
      <c r="J198" s="5">
        <f t="shared" si="55"/>
        <v>1.2760761119989842E-3</v>
      </c>
      <c r="K198" s="1"/>
      <c r="L198" s="1">
        <f t="shared" si="56"/>
        <v>248.86999999999989</v>
      </c>
      <c r="M198" s="1"/>
      <c r="N198" s="5">
        <f t="shared" si="57"/>
        <v>6.1610482719010921E-2</v>
      </c>
      <c r="O198" s="14"/>
      <c r="P198" s="1">
        <f>SUM(OSRRefP22_12x_0)</f>
        <v>8576.56</v>
      </c>
      <c r="Q198" s="1"/>
      <c r="R198" s="5">
        <f t="shared" si="58"/>
        <v>2.6450557924609579E-3</v>
      </c>
      <c r="S198" s="1"/>
      <c r="T198" s="1">
        <f>SUM(OSRRefT22_12x_0)</f>
        <v>8078.82</v>
      </c>
      <c r="U198" s="1"/>
      <c r="V198" s="5">
        <f t="shared" si="59"/>
        <v>2.2402678615885919E-3</v>
      </c>
      <c r="W198" s="1"/>
      <c r="X198" s="1">
        <f t="shared" si="60"/>
        <v>497.73999999999978</v>
      </c>
      <c r="Y198" s="1"/>
      <c r="Z198" s="5">
        <f t="shared" si="61"/>
        <v>6.1610482719010921E-2</v>
      </c>
    </row>
    <row r="199" spans="1:26" s="24" customFormat="1" hidden="1" outlineLevel="2" x14ac:dyDescent="0.25">
      <c r="A199" s="29"/>
      <c r="B199" s="11" t="str">
        <f>CONCATENATE("          ", "6314", " - ", "LIABILITY INSURANCE")</f>
        <v xml:space="preserve">          6314 - LIABILITY INSURANCE</v>
      </c>
      <c r="C199" s="11"/>
      <c r="D199" s="7">
        <v>4288.28</v>
      </c>
      <c r="E199" s="2"/>
      <c r="F199" s="6">
        <f t="shared" si="54"/>
        <v>1.5143707240823834E-3</v>
      </c>
      <c r="G199" s="2"/>
      <c r="H199" s="7">
        <v>4039.41</v>
      </c>
      <c r="I199" s="2"/>
      <c r="J199" s="6">
        <f t="shared" si="55"/>
        <v>1.2760761119989842E-3</v>
      </c>
      <c r="K199" s="2"/>
      <c r="L199" s="7">
        <f t="shared" si="56"/>
        <v>248.86999999999989</v>
      </c>
      <c r="M199" s="2"/>
      <c r="N199" s="6">
        <f t="shared" si="57"/>
        <v>6.1610482719010921E-2</v>
      </c>
      <c r="O199" s="11"/>
      <c r="P199" s="7">
        <v>8576.56</v>
      </c>
      <c r="Q199" s="2"/>
      <c r="R199" s="6">
        <f t="shared" si="58"/>
        <v>2.6450557924609579E-3</v>
      </c>
      <c r="S199" s="2"/>
      <c r="T199" s="7">
        <v>8078.82</v>
      </c>
      <c r="U199" s="2"/>
      <c r="V199" s="6">
        <f t="shared" si="59"/>
        <v>2.2402678615885919E-3</v>
      </c>
      <c r="W199" s="2"/>
      <c r="X199" s="7">
        <f t="shared" si="60"/>
        <v>497.73999999999978</v>
      </c>
      <c r="Y199" s="2"/>
      <c r="Z199" s="6">
        <f t="shared" si="61"/>
        <v>6.1610482719010921E-2</v>
      </c>
    </row>
    <row r="200" spans="1:26" s="27" customFormat="1" outlineLevel="1" collapsed="1" x14ac:dyDescent="0.25">
      <c r="A200" s="28"/>
      <c r="B200" s="14" t="str">
        <f>CONCATENATE("     ","Interest                                          ")</f>
        <v xml:space="preserve">     Interest                                          </v>
      </c>
      <c r="C200" s="14"/>
      <c r="D200" s="1">
        <f>SUM(OSRRefD22_13x_0)</f>
        <v>4110</v>
      </c>
      <c r="E200" s="1"/>
      <c r="F200" s="5">
        <f t="shared" si="54"/>
        <v>1.4514126120445951E-3</v>
      </c>
      <c r="G200" s="1"/>
      <c r="H200" s="1">
        <f>SUM(OSRRefH22_13x_0)</f>
        <v>4280</v>
      </c>
      <c r="I200" s="1"/>
      <c r="J200" s="5">
        <f t="shared" si="55"/>
        <v>1.3520800709399771E-3</v>
      </c>
      <c r="K200" s="1"/>
      <c r="L200" s="1">
        <f t="shared" si="56"/>
        <v>-170</v>
      </c>
      <c r="M200" s="1"/>
      <c r="N200" s="5">
        <f t="shared" si="57"/>
        <v>-3.9719626168224297E-2</v>
      </c>
      <c r="O200" s="14"/>
      <c r="P200" s="1">
        <f>SUM(OSRRefP22_13x_0)</f>
        <v>8220</v>
      </c>
      <c r="Q200" s="1"/>
      <c r="R200" s="5">
        <f t="shared" si="58"/>
        <v>2.5350908305928105E-3</v>
      </c>
      <c r="S200" s="1"/>
      <c r="T200" s="1">
        <f>SUM(OSRRefT22_13x_0)</f>
        <v>8560</v>
      </c>
      <c r="U200" s="1"/>
      <c r="V200" s="5">
        <f t="shared" si="59"/>
        <v>2.373699735258162E-3</v>
      </c>
      <c r="W200" s="1"/>
      <c r="X200" s="1">
        <f t="shared" si="60"/>
        <v>-340</v>
      </c>
      <c r="Y200" s="1"/>
      <c r="Z200" s="5">
        <f t="shared" si="61"/>
        <v>-3.9719626168224297E-2</v>
      </c>
    </row>
    <row r="201" spans="1:26" s="24" customFormat="1" hidden="1" outlineLevel="2" x14ac:dyDescent="0.25">
      <c r="A201" s="29"/>
      <c r="B201" s="11" t="str">
        <f>CONCATENATE("          ", "6401", " - ", "INTEREST EXPENSE")</f>
        <v xml:space="preserve">          6401 - INTEREST EXPENSE</v>
      </c>
      <c r="C201" s="11"/>
      <c r="D201" s="7">
        <v>4110</v>
      </c>
      <c r="E201" s="2"/>
      <c r="F201" s="6">
        <f t="shared" si="54"/>
        <v>1.4514126120445951E-3</v>
      </c>
      <c r="G201" s="2"/>
      <c r="H201" s="7">
        <v>4280</v>
      </c>
      <c r="I201" s="2"/>
      <c r="J201" s="6">
        <f t="shared" si="55"/>
        <v>1.3520800709399771E-3</v>
      </c>
      <c r="K201" s="2"/>
      <c r="L201" s="7">
        <f t="shared" si="56"/>
        <v>-170</v>
      </c>
      <c r="M201" s="2"/>
      <c r="N201" s="6">
        <f t="shared" si="57"/>
        <v>-3.9719626168224297E-2</v>
      </c>
      <c r="O201" s="11"/>
      <c r="P201" s="7">
        <v>8220</v>
      </c>
      <c r="Q201" s="2"/>
      <c r="R201" s="6">
        <f t="shared" si="58"/>
        <v>2.5350908305928105E-3</v>
      </c>
      <c r="S201" s="2"/>
      <c r="T201" s="7">
        <v>8560</v>
      </c>
      <c r="U201" s="2"/>
      <c r="V201" s="6">
        <f t="shared" si="59"/>
        <v>2.373699735258162E-3</v>
      </c>
      <c r="W201" s="2"/>
      <c r="X201" s="7">
        <f t="shared" si="60"/>
        <v>-340</v>
      </c>
      <c r="Y201" s="2"/>
      <c r="Z201" s="6">
        <f t="shared" si="61"/>
        <v>-3.9719626168224297E-2</v>
      </c>
    </row>
    <row r="202" spans="1:26" s="27" customFormat="1" outlineLevel="1" collapsed="1" x14ac:dyDescent="0.25">
      <c r="A202" s="28"/>
      <c r="B202" s="14" t="str">
        <f>CONCATENATE("     ","Inventory Adjustment                              ")</f>
        <v xml:space="preserve">     Inventory Adjustment                              </v>
      </c>
      <c r="C202" s="14"/>
      <c r="D202" s="1">
        <f>SUM(OSRRefD22_14x_0)</f>
        <v>4250</v>
      </c>
      <c r="E202" s="1"/>
      <c r="F202" s="5">
        <f t="shared" si="54"/>
        <v>1.5008524577103477E-3</v>
      </c>
      <c r="G202" s="1"/>
      <c r="H202" s="1">
        <f>SUM(OSRRefH22_14x_0)</f>
        <v>8750</v>
      </c>
      <c r="I202" s="1"/>
      <c r="J202" s="5">
        <f t="shared" si="55"/>
        <v>2.7641823880198129E-3</v>
      </c>
      <c r="K202" s="1"/>
      <c r="L202" s="1">
        <f t="shared" si="56"/>
        <v>-4500</v>
      </c>
      <c r="M202" s="1"/>
      <c r="N202" s="5">
        <f t="shared" si="57"/>
        <v>-0.51428571428571423</v>
      </c>
      <c r="O202" s="14"/>
      <c r="P202" s="1">
        <f>SUM(OSRRefP22_14x_0)</f>
        <v>8400</v>
      </c>
      <c r="Q202" s="1"/>
      <c r="R202" s="5">
        <f t="shared" si="58"/>
        <v>2.5906037684890033E-3</v>
      </c>
      <c r="S202" s="1"/>
      <c r="T202" s="1">
        <f>SUM(OSRRefT22_14x_0)</f>
        <v>17500</v>
      </c>
      <c r="U202" s="1"/>
      <c r="V202" s="5">
        <f t="shared" si="59"/>
        <v>4.8527739914740464E-3</v>
      </c>
      <c r="W202" s="1"/>
      <c r="X202" s="1">
        <f t="shared" si="60"/>
        <v>-9100</v>
      </c>
      <c r="Y202" s="1"/>
      <c r="Z202" s="5">
        <f t="shared" si="61"/>
        <v>-0.52</v>
      </c>
    </row>
    <row r="203" spans="1:26" s="24" customFormat="1" hidden="1" outlineLevel="2" x14ac:dyDescent="0.25">
      <c r="A203" s="29"/>
      <c r="B203" s="11" t="str">
        <f>CONCATENATE("          ", "6408", " - ", "INVENTORY ADJUSTMENT")</f>
        <v xml:space="preserve">          6408 - INVENTORY ADJUSTMENT</v>
      </c>
      <c r="C203" s="11"/>
      <c r="D203" s="7">
        <v>4250</v>
      </c>
      <c r="E203" s="2"/>
      <c r="F203" s="6">
        <f t="shared" si="54"/>
        <v>1.5008524577103477E-3</v>
      </c>
      <c r="G203" s="2"/>
      <c r="H203" s="7">
        <v>8750</v>
      </c>
      <c r="I203" s="2"/>
      <c r="J203" s="6">
        <f t="shared" si="55"/>
        <v>2.7641823880198129E-3</v>
      </c>
      <c r="K203" s="2"/>
      <c r="L203" s="7">
        <f t="shared" si="56"/>
        <v>-4500</v>
      </c>
      <c r="M203" s="2"/>
      <c r="N203" s="6">
        <f t="shared" si="57"/>
        <v>-0.51428571428571423</v>
      </c>
      <c r="O203" s="11"/>
      <c r="P203" s="7">
        <v>8400</v>
      </c>
      <c r="Q203" s="2"/>
      <c r="R203" s="6">
        <f t="shared" si="58"/>
        <v>2.5906037684890033E-3</v>
      </c>
      <c r="S203" s="2"/>
      <c r="T203" s="7">
        <v>17500</v>
      </c>
      <c r="U203" s="2"/>
      <c r="V203" s="6">
        <f t="shared" si="59"/>
        <v>4.8527739914740464E-3</v>
      </c>
      <c r="W203" s="2"/>
      <c r="X203" s="7">
        <f t="shared" si="60"/>
        <v>-9100</v>
      </c>
      <c r="Y203" s="2"/>
      <c r="Z203" s="6">
        <f t="shared" si="61"/>
        <v>-0.52</v>
      </c>
    </row>
    <row r="204" spans="1:26" s="27" customFormat="1" outlineLevel="1" collapsed="1" x14ac:dyDescent="0.25">
      <c r="A204" s="28"/>
      <c r="B204" s="14" t="str">
        <f>CONCATENATE("     ","Professional Services                             ")</f>
        <v xml:space="preserve">     Professional Services                             </v>
      </c>
      <c r="C204" s="14"/>
      <c r="D204" s="1">
        <f>SUM(OSRRefD22_15x_0)</f>
        <v>0</v>
      </c>
      <c r="E204" s="1"/>
      <c r="F204" s="5">
        <f t="shared" si="54"/>
        <v>0</v>
      </c>
      <c r="G204" s="1"/>
      <c r="H204" s="1">
        <f>SUM(OSRRefH22_15x_0)</f>
        <v>0</v>
      </c>
      <c r="I204" s="1"/>
      <c r="J204" s="5">
        <f t="shared" si="55"/>
        <v>0</v>
      </c>
      <c r="K204" s="1"/>
      <c r="L204" s="1">
        <f t="shared" si="56"/>
        <v>0</v>
      </c>
      <c r="M204" s="1"/>
      <c r="N204" s="5">
        <f t="shared" si="57"/>
        <v>0</v>
      </c>
      <c r="O204" s="14"/>
      <c r="P204" s="1">
        <f>SUM(OSRRefP22_15x_0)</f>
        <v>6158.41</v>
      </c>
      <c r="Q204" s="1"/>
      <c r="R204" s="5">
        <f t="shared" si="58"/>
        <v>1.899285732607186E-3</v>
      </c>
      <c r="S204" s="1"/>
      <c r="T204" s="1">
        <f>SUM(OSRRefT22_15x_0)</f>
        <v>8276.43</v>
      </c>
      <c r="U204" s="1"/>
      <c r="V204" s="5">
        <f t="shared" si="59"/>
        <v>2.2950653855003168E-3</v>
      </c>
      <c r="W204" s="1"/>
      <c r="X204" s="1">
        <f t="shared" si="60"/>
        <v>-2118.0200000000004</v>
      </c>
      <c r="Y204" s="1"/>
      <c r="Z204" s="5">
        <f t="shared" si="61"/>
        <v>-0.25590985485287743</v>
      </c>
    </row>
    <row r="205" spans="1:26" s="24" customFormat="1" hidden="1" outlineLevel="2" x14ac:dyDescent="0.25">
      <c r="A205" s="29"/>
      <c r="B205" s="11" t="str">
        <f>CONCATENATE("          ", "6336", " - ", "PROFESSIONAL SERVICES")</f>
        <v xml:space="preserve">          6336 - PROFESSIONAL SERVICES</v>
      </c>
      <c r="C205" s="11"/>
      <c r="D205" s="7"/>
      <c r="E205" s="2"/>
      <c r="F205" s="6">
        <f t="shared" si="54"/>
        <v>0</v>
      </c>
      <c r="G205" s="2"/>
      <c r="H205" s="7"/>
      <c r="I205" s="2"/>
      <c r="J205" s="6">
        <f t="shared" si="55"/>
        <v>0</v>
      </c>
      <c r="K205" s="2"/>
      <c r="L205" s="7">
        <f t="shared" si="56"/>
        <v>0</v>
      </c>
      <c r="M205" s="2"/>
      <c r="N205" s="6">
        <f t="shared" si="57"/>
        <v>0</v>
      </c>
      <c r="O205" s="11"/>
      <c r="P205" s="7">
        <v>6158.41</v>
      </c>
      <c r="Q205" s="2"/>
      <c r="R205" s="6">
        <f t="shared" si="58"/>
        <v>1.899285732607186E-3</v>
      </c>
      <c r="S205" s="2"/>
      <c r="T205" s="7">
        <v>8276.43</v>
      </c>
      <c r="U205" s="2"/>
      <c r="V205" s="6">
        <f t="shared" si="59"/>
        <v>2.2950653855003168E-3</v>
      </c>
      <c r="W205" s="2"/>
      <c r="X205" s="7">
        <f t="shared" si="60"/>
        <v>-2118.0200000000004</v>
      </c>
      <c r="Y205" s="2"/>
      <c r="Z205" s="6">
        <f t="shared" si="61"/>
        <v>-0.25590985485287743</v>
      </c>
    </row>
    <row r="206" spans="1:26" s="27" customFormat="1" outlineLevel="1" collapsed="1" x14ac:dyDescent="0.25">
      <c r="A206" s="28"/>
      <c r="B206" s="14" t="str">
        <f>CONCATENATE("     ","Rent                                              ")</f>
        <v xml:space="preserve">     Rent                                              </v>
      </c>
      <c r="C206" s="14"/>
      <c r="D206" s="1">
        <f>SUM(OSRRefD22_16x_0)</f>
        <v>7250</v>
      </c>
      <c r="E206" s="1"/>
      <c r="F206" s="5">
        <f t="shared" si="54"/>
        <v>2.5602777219764757E-3</v>
      </c>
      <c r="G206" s="1"/>
      <c r="H206" s="1">
        <f>SUM(OSRRefH22_16x_0)</f>
        <v>8050</v>
      </c>
      <c r="I206" s="1"/>
      <c r="J206" s="5">
        <f t="shared" si="55"/>
        <v>2.5430477969782279E-3</v>
      </c>
      <c r="K206" s="1"/>
      <c r="L206" s="1">
        <f t="shared" si="56"/>
        <v>-800</v>
      </c>
      <c r="M206" s="1"/>
      <c r="N206" s="5">
        <f t="shared" si="57"/>
        <v>-9.9378881987577633E-2</v>
      </c>
      <c r="O206" s="14"/>
      <c r="P206" s="1">
        <f>SUM(OSRRefP22_16x_0)</f>
        <v>14500</v>
      </c>
      <c r="Q206" s="1"/>
      <c r="R206" s="5">
        <f t="shared" si="58"/>
        <v>4.4718755527488746E-3</v>
      </c>
      <c r="S206" s="1"/>
      <c r="T206" s="1">
        <f>SUM(OSRRefT22_16x_0)</f>
        <v>15401.08</v>
      </c>
      <c r="U206" s="1"/>
      <c r="V206" s="5">
        <f t="shared" si="59"/>
        <v>4.2707405979777778E-3</v>
      </c>
      <c r="W206" s="1"/>
      <c r="X206" s="1">
        <f t="shared" si="60"/>
        <v>-901.07999999999993</v>
      </c>
      <c r="Y206" s="1"/>
      <c r="Z206" s="5">
        <f t="shared" si="61"/>
        <v>-5.8507585182337861E-2</v>
      </c>
    </row>
    <row r="207" spans="1:26" s="24" customFormat="1" hidden="1" outlineLevel="2" x14ac:dyDescent="0.25">
      <c r="A207" s="29"/>
      <c r="B207" s="11" t="str">
        <f>CONCATENATE("          ", "6273", " - ", "RENT")</f>
        <v xml:space="preserve">          6273 - RENT</v>
      </c>
      <c r="C207" s="11"/>
      <c r="D207" s="7">
        <v>7250</v>
      </c>
      <c r="E207" s="2"/>
      <c r="F207" s="6">
        <f t="shared" si="54"/>
        <v>2.5602777219764757E-3</v>
      </c>
      <c r="G207" s="2"/>
      <c r="H207" s="7">
        <v>8050</v>
      </c>
      <c r="I207" s="2"/>
      <c r="J207" s="6">
        <f t="shared" si="55"/>
        <v>2.5430477969782279E-3</v>
      </c>
      <c r="K207" s="2"/>
      <c r="L207" s="7">
        <f t="shared" si="56"/>
        <v>-800</v>
      </c>
      <c r="M207" s="2"/>
      <c r="N207" s="6">
        <f t="shared" si="57"/>
        <v>-9.9378881987577633E-2</v>
      </c>
      <c r="O207" s="11"/>
      <c r="P207" s="7">
        <v>14500</v>
      </c>
      <c r="Q207" s="2"/>
      <c r="R207" s="6">
        <f t="shared" si="58"/>
        <v>4.4718755527488746E-3</v>
      </c>
      <c r="S207" s="2"/>
      <c r="T207" s="7">
        <v>15401.08</v>
      </c>
      <c r="U207" s="2"/>
      <c r="V207" s="6">
        <f t="shared" si="59"/>
        <v>4.2707405979777778E-3</v>
      </c>
      <c r="W207" s="2"/>
      <c r="X207" s="7">
        <f t="shared" si="60"/>
        <v>-901.07999999999993</v>
      </c>
      <c r="Y207" s="2"/>
      <c r="Z207" s="6">
        <f t="shared" si="61"/>
        <v>-5.8507585182337861E-2</v>
      </c>
    </row>
    <row r="208" spans="1:26" s="27" customFormat="1" outlineLevel="1" collapsed="1" x14ac:dyDescent="0.25">
      <c r="A208" s="28"/>
      <c r="B208" s="14" t="str">
        <f>CONCATENATE("     ","Repair and Maintenance                            ")</f>
        <v xml:space="preserve">     Repair and Maintenance                            </v>
      </c>
      <c r="C208" s="14"/>
      <c r="D208" s="1">
        <f>SUM(OSRRefD22_17x_0)</f>
        <v>16162.5</v>
      </c>
      <c r="E208" s="1"/>
      <c r="F208" s="5">
        <f t="shared" si="54"/>
        <v>5.7076536112337633E-3</v>
      </c>
      <c r="G208" s="1"/>
      <c r="H208" s="1">
        <f>SUM(OSRRefH22_17x_0)</f>
        <v>18458.37</v>
      </c>
      <c r="I208" s="1"/>
      <c r="J208" s="5">
        <f t="shared" si="55"/>
        <v>5.8311201446346597E-3</v>
      </c>
      <c r="K208" s="1"/>
      <c r="L208" s="1">
        <f t="shared" si="56"/>
        <v>-2295.869999999999</v>
      </c>
      <c r="M208" s="1"/>
      <c r="N208" s="5">
        <f t="shared" si="57"/>
        <v>-0.1243809718842996</v>
      </c>
      <c r="O208" s="14"/>
      <c r="P208" s="1">
        <f>SUM(OSRRefP22_17x_0)</f>
        <v>40670.600000000006</v>
      </c>
      <c r="Q208" s="1"/>
      <c r="R208" s="5">
        <f t="shared" si="58"/>
        <v>1.254302495556058E-2</v>
      </c>
      <c r="S208" s="1"/>
      <c r="T208" s="1">
        <f>SUM(OSRRefT22_17x_0)</f>
        <v>76452.12</v>
      </c>
      <c r="U208" s="1"/>
      <c r="V208" s="5">
        <f t="shared" si="59"/>
        <v>2.1200277687374446E-2</v>
      </c>
      <c r="W208" s="1"/>
      <c r="X208" s="1">
        <f t="shared" si="60"/>
        <v>-35781.51999999999</v>
      </c>
      <c r="Y208" s="1"/>
      <c r="Z208" s="5">
        <f t="shared" si="61"/>
        <v>-0.46802521630531624</v>
      </c>
    </row>
    <row r="209" spans="1:26" s="24" customFormat="1" hidden="1" outlineLevel="2" x14ac:dyDescent="0.25">
      <c r="A209" s="29"/>
      <c r="B209" s="11" t="str">
        <f>CONCATENATE("          ", "6371", " - ", "COMPUTER SOFTWARE MAINTENANCE")</f>
        <v xml:space="preserve">          6371 - COMPUTER SOFTWARE MAINTENANCE</v>
      </c>
      <c r="C209" s="11"/>
      <c r="D209" s="7">
        <v>7887.25</v>
      </c>
      <c r="E209" s="2"/>
      <c r="F209" s="6">
        <f t="shared" si="54"/>
        <v>2.7853173051943388E-3</v>
      </c>
      <c r="G209" s="2"/>
      <c r="H209" s="7">
        <v>1832.8</v>
      </c>
      <c r="I209" s="2"/>
      <c r="J209" s="6">
        <f t="shared" si="55"/>
        <v>5.7899354065859578E-4</v>
      </c>
      <c r="K209" s="2"/>
      <c r="L209" s="7">
        <f t="shared" si="56"/>
        <v>6054.45</v>
      </c>
      <c r="M209" s="2"/>
      <c r="N209" s="6">
        <f t="shared" si="57"/>
        <v>3.3033882584024443</v>
      </c>
      <c r="O209" s="11"/>
      <c r="P209" s="7">
        <v>8488.25</v>
      </c>
      <c r="Q209" s="2"/>
      <c r="R209" s="6">
        <f t="shared" si="58"/>
        <v>2.6178205283186647E-3</v>
      </c>
      <c r="S209" s="2"/>
      <c r="T209" s="7">
        <v>44163.38</v>
      </c>
      <c r="U209" s="2"/>
      <c r="V209" s="6">
        <f t="shared" si="59"/>
        <v>1.2246565819404861E-2</v>
      </c>
      <c r="W209" s="2"/>
      <c r="X209" s="7">
        <f t="shared" si="60"/>
        <v>-35675.129999999997</v>
      </c>
      <c r="Y209" s="2"/>
      <c r="Z209" s="6">
        <f t="shared" si="61"/>
        <v>-0.80779890488454464</v>
      </c>
    </row>
    <row r="210" spans="1:26" s="24" customFormat="1" hidden="1" outlineLevel="2" x14ac:dyDescent="0.25">
      <c r="A210" s="29"/>
      <c r="B210" s="11" t="str">
        <f>CONCATENATE("          ", "6373", " - ", "MAINTENANCE CONTRACTS")</f>
        <v xml:space="preserve">          6373 - MAINTENANCE CONTRACTS</v>
      </c>
      <c r="C210" s="11"/>
      <c r="D210" s="7">
        <v>5896.58</v>
      </c>
      <c r="E210" s="2"/>
      <c r="F210" s="6">
        <f t="shared" si="54"/>
        <v>2.0823286082554547E-3</v>
      </c>
      <c r="G210" s="2"/>
      <c r="H210" s="7">
        <v>10968.79</v>
      </c>
      <c r="I210" s="2"/>
      <c r="J210" s="6">
        <f t="shared" si="55"/>
        <v>3.465112701244325E-3</v>
      </c>
      <c r="K210" s="2"/>
      <c r="L210" s="7">
        <f t="shared" si="56"/>
        <v>-5072.2100000000009</v>
      </c>
      <c r="M210" s="2"/>
      <c r="N210" s="6">
        <f t="shared" si="57"/>
        <v>-0.46242201737839822</v>
      </c>
      <c r="O210" s="11"/>
      <c r="P210" s="7">
        <v>12375.44</v>
      </c>
      <c r="Q210" s="2"/>
      <c r="R210" s="6">
        <f t="shared" si="58"/>
        <v>3.8166501786558991E-3</v>
      </c>
      <c r="S210" s="2"/>
      <c r="T210" s="7">
        <v>21090.73</v>
      </c>
      <c r="U210" s="2"/>
      <c r="V210" s="6">
        <f t="shared" si="59"/>
        <v>5.8484883431543667E-3</v>
      </c>
      <c r="W210" s="2"/>
      <c r="X210" s="7">
        <f t="shared" si="60"/>
        <v>-8715.2899999999991</v>
      </c>
      <c r="Y210" s="2"/>
      <c r="Z210" s="6">
        <f t="shared" si="61"/>
        <v>-0.41322846577619643</v>
      </c>
    </row>
    <row r="211" spans="1:26" s="24" customFormat="1" hidden="1" outlineLevel="2" x14ac:dyDescent="0.25">
      <c r="A211" s="29"/>
      <c r="B211" s="11" t="str">
        <f>CONCATENATE("          ", "6375", " - ", "OUTSIDE REPAIRS &amp; MAINTENANCE")</f>
        <v xml:space="preserve">          6375 - OUTSIDE REPAIRS &amp; MAINTENANCE</v>
      </c>
      <c r="C211" s="11"/>
      <c r="D211" s="7">
        <v>2378.67</v>
      </c>
      <c r="E211" s="2"/>
      <c r="F211" s="6">
        <f t="shared" si="54"/>
        <v>8.4000769778397007E-4</v>
      </c>
      <c r="G211" s="2"/>
      <c r="H211" s="7">
        <v>5656.78</v>
      </c>
      <c r="I211" s="2"/>
      <c r="J211" s="6">
        <f t="shared" si="55"/>
        <v>1.787013902731739E-3</v>
      </c>
      <c r="K211" s="2"/>
      <c r="L211" s="7">
        <f t="shared" si="56"/>
        <v>-3278.1099999999997</v>
      </c>
      <c r="M211" s="2"/>
      <c r="N211" s="6">
        <f t="shared" si="57"/>
        <v>-0.57950105890630355</v>
      </c>
      <c r="O211" s="11"/>
      <c r="P211" s="7">
        <v>19806.91</v>
      </c>
      <c r="Q211" s="2"/>
      <c r="R211" s="6">
        <f t="shared" si="58"/>
        <v>6.108554248586015E-3</v>
      </c>
      <c r="S211" s="2"/>
      <c r="T211" s="7">
        <v>11198.01</v>
      </c>
      <c r="U211" s="2"/>
      <c r="V211" s="6">
        <f t="shared" si="59"/>
        <v>3.1052235248152167E-3</v>
      </c>
      <c r="W211" s="2"/>
      <c r="X211" s="7">
        <f t="shared" si="60"/>
        <v>8608.9</v>
      </c>
      <c r="Y211" s="2"/>
      <c r="Z211" s="6">
        <f t="shared" si="61"/>
        <v>0.76878838293589657</v>
      </c>
    </row>
    <row r="212" spans="1:26" s="27" customFormat="1" outlineLevel="1" collapsed="1" x14ac:dyDescent="0.25">
      <c r="A212" s="28"/>
      <c r="B212" s="14" t="str">
        <f>CONCATENATE("     ","Royalty &amp; Commissions                             ")</f>
        <v xml:space="preserve">     Royalty &amp; Commissions                             </v>
      </c>
      <c r="C212" s="14"/>
      <c r="D212" s="1">
        <f>SUM(OSRRefD22_18x_0)</f>
        <v>3785.57</v>
      </c>
      <c r="E212" s="1"/>
      <c r="F212" s="5">
        <f t="shared" ref="F212:F215" si="62">IF(D$12=0,0,D212/D$12)</f>
        <v>1.3368428325493086E-3</v>
      </c>
      <c r="G212" s="1"/>
      <c r="H212" s="1">
        <f>SUM(OSRRefH22_18x_0)</f>
        <v>5208.28</v>
      </c>
      <c r="I212" s="1"/>
      <c r="J212" s="5">
        <f t="shared" ref="J212:J215" si="63">IF(H$12=0,0,H212/H$12)</f>
        <v>1.6453298111858091E-3</v>
      </c>
      <c r="K212" s="1"/>
      <c r="L212" s="1">
        <f t="shared" ref="L212:L215" si="64">+D212-H212</f>
        <v>-1422.7099999999996</v>
      </c>
      <c r="M212" s="1"/>
      <c r="N212" s="5">
        <f t="shared" ref="N212:N215" si="65">IF(H212=0,0,L212/H212)</f>
        <v>-0.27316311719031994</v>
      </c>
      <c r="O212" s="14"/>
      <c r="P212" s="1">
        <f>SUM(OSRRefP22_18x_0)</f>
        <v>8871.619999999999</v>
      </c>
      <c r="Q212" s="1"/>
      <c r="R212" s="5">
        <f t="shared" ref="R212:R215" si="66">IF(P$12=0,0,P212/P$12)</f>
        <v>2.7360538338812392E-3</v>
      </c>
      <c r="S212" s="1"/>
      <c r="T212" s="1">
        <f>SUM(OSRRefT22_18x_0)</f>
        <v>12986.81</v>
      </c>
      <c r="U212" s="1"/>
      <c r="V212" s="5">
        <f t="shared" ref="V212:V215" si="67">IF(T$12=0,0,T212/T$12)</f>
        <v>3.6012602171551465E-3</v>
      </c>
      <c r="W212" s="1"/>
      <c r="X212" s="1">
        <f t="shared" ref="X212:X215" si="68">+P212-T212</f>
        <v>-4115.1900000000005</v>
      </c>
      <c r="Y212" s="1"/>
      <c r="Z212" s="5">
        <f t="shared" ref="Z212:Z215" si="69">IF(T212=0,0,X212/T212)</f>
        <v>-0.31687458274972841</v>
      </c>
    </row>
    <row r="213" spans="1:26" s="24" customFormat="1" hidden="1" outlineLevel="2" x14ac:dyDescent="0.25">
      <c r="A213" s="29"/>
      <c r="B213" s="11" t="str">
        <f>CONCATENATE("          ", "6253", " - ", "ROYALTY DUE ATHLETICS-LRG")</f>
        <v xml:space="preserve">          6253 - ROYALTY DUE ATHLETICS-LRG</v>
      </c>
      <c r="C213" s="11"/>
      <c r="D213" s="7"/>
      <c r="E213" s="2"/>
      <c r="F213" s="6">
        <f t="shared" si="62"/>
        <v>0</v>
      </c>
      <c r="G213" s="2"/>
      <c r="H213" s="7"/>
      <c r="I213" s="2"/>
      <c r="J213" s="6">
        <f t="shared" si="63"/>
        <v>0</v>
      </c>
      <c r="K213" s="2"/>
      <c r="L213" s="7">
        <f t="shared" si="64"/>
        <v>0</v>
      </c>
      <c r="M213" s="2"/>
      <c r="N213" s="6">
        <f t="shared" si="65"/>
        <v>0</v>
      </c>
      <c r="O213" s="11"/>
      <c r="P213" s="7">
        <v>4366.95</v>
      </c>
      <c r="Q213" s="2"/>
      <c r="R213" s="6">
        <f t="shared" si="66"/>
        <v>1.3467901341432205E-3</v>
      </c>
      <c r="S213" s="2"/>
      <c r="T213" s="7">
        <v>6645.39</v>
      </c>
      <c r="U213" s="2"/>
      <c r="V213" s="6">
        <f t="shared" si="67"/>
        <v>1.8427757574400981E-3</v>
      </c>
      <c r="W213" s="2"/>
      <c r="X213" s="7">
        <f t="shared" si="68"/>
        <v>-2278.4400000000005</v>
      </c>
      <c r="Y213" s="2"/>
      <c r="Z213" s="6">
        <f t="shared" si="69"/>
        <v>-0.34286023845101649</v>
      </c>
    </row>
    <row r="214" spans="1:26" s="24" customFormat="1" hidden="1" outlineLevel="2" x14ac:dyDescent="0.25">
      <c r="A214" s="29"/>
      <c r="B214" s="11" t="str">
        <f>CONCATENATE("          ", "6254", " - ", "ROYALTY &amp; COMMISSIONS")</f>
        <v xml:space="preserve">          6254 - ROYALTY &amp; COMMISSIONS</v>
      </c>
      <c r="C214" s="11"/>
      <c r="D214" s="7">
        <v>136.4</v>
      </c>
      <c r="E214" s="2"/>
      <c r="F214" s="6">
        <f t="shared" si="62"/>
        <v>4.816853534863328E-5</v>
      </c>
      <c r="G214" s="2"/>
      <c r="H214" s="7">
        <v>1503.04</v>
      </c>
      <c r="I214" s="2"/>
      <c r="J214" s="6">
        <f t="shared" si="63"/>
        <v>4.7482019388449134E-4</v>
      </c>
      <c r="K214" s="2"/>
      <c r="L214" s="7">
        <f t="shared" si="64"/>
        <v>-1366.6399999999999</v>
      </c>
      <c r="M214" s="2"/>
      <c r="N214" s="6">
        <f t="shared" si="65"/>
        <v>-0.90925058548009363</v>
      </c>
      <c r="O214" s="11"/>
      <c r="P214" s="7">
        <v>250.49</v>
      </c>
      <c r="Q214" s="2"/>
      <c r="R214" s="6">
        <f t="shared" si="66"/>
        <v>7.7252421186763145E-5</v>
      </c>
      <c r="S214" s="2"/>
      <c r="T214" s="7">
        <v>1944.34</v>
      </c>
      <c r="U214" s="2"/>
      <c r="V214" s="6">
        <f t="shared" si="67"/>
        <v>5.391681475761513E-4</v>
      </c>
      <c r="W214" s="2"/>
      <c r="X214" s="7">
        <f t="shared" si="68"/>
        <v>-1693.85</v>
      </c>
      <c r="Y214" s="2"/>
      <c r="Z214" s="6">
        <f t="shared" si="69"/>
        <v>-0.87116965139841795</v>
      </c>
    </row>
    <row r="215" spans="1:26" s="24" customFormat="1" hidden="1" outlineLevel="2" x14ac:dyDescent="0.25">
      <c r="A215" s="29"/>
      <c r="B215" s="11" t="str">
        <f>CONCATENATE("          ", "6259", " - ", "ROYALTY &amp; COMMISSIONS")</f>
        <v xml:space="preserve">          6259 - ROYALTY &amp; COMMISSIONS</v>
      </c>
      <c r="C215" s="11"/>
      <c r="D215" s="7">
        <v>3649.17</v>
      </c>
      <c r="E215" s="2"/>
      <c r="F215" s="6">
        <f t="shared" si="62"/>
        <v>1.2886742972006752E-3</v>
      </c>
      <c r="G215" s="2"/>
      <c r="H215" s="7">
        <v>3705.24</v>
      </c>
      <c r="I215" s="2"/>
      <c r="J215" s="6">
        <f t="shared" si="63"/>
        <v>1.1705096173013178E-3</v>
      </c>
      <c r="K215" s="2"/>
      <c r="L215" s="7">
        <f t="shared" si="64"/>
        <v>-56.069999999999709</v>
      </c>
      <c r="M215" s="2"/>
      <c r="N215" s="6">
        <f t="shared" si="65"/>
        <v>-1.5132622987984507E-2</v>
      </c>
      <c r="O215" s="11"/>
      <c r="P215" s="7">
        <v>4254.18</v>
      </c>
      <c r="Q215" s="2"/>
      <c r="R215" s="6">
        <f t="shared" si="66"/>
        <v>1.3120112785512559E-3</v>
      </c>
      <c r="S215" s="2"/>
      <c r="T215" s="7">
        <v>4397.08</v>
      </c>
      <c r="U215" s="2"/>
      <c r="V215" s="6">
        <f t="shared" si="67"/>
        <v>1.2193163121388972E-3</v>
      </c>
      <c r="W215" s="2"/>
      <c r="X215" s="7">
        <f t="shared" si="68"/>
        <v>-142.89999999999964</v>
      </c>
      <c r="Y215" s="2"/>
      <c r="Z215" s="6">
        <f t="shared" si="69"/>
        <v>-3.2498840139365132E-2</v>
      </c>
    </row>
    <row r="216" spans="1:26" s="27" customFormat="1" outlineLevel="1" collapsed="1" x14ac:dyDescent="0.25">
      <c r="A216" s="28"/>
      <c r="B216" s="14" t="str">
        <f>CONCATENATE("     ","Services                                          ")</f>
        <v xml:space="preserve">     Services                                          </v>
      </c>
      <c r="C216" s="14"/>
      <c r="D216" s="1">
        <f>SUM(OSRRefD22_19x_0)</f>
        <v>6677.17</v>
      </c>
      <c r="E216" s="1"/>
      <c r="F216" s="5">
        <f t="shared" ref="F216:F221" si="70">IF(D$12=0,0,D216/D$12)</f>
        <v>2.3579875305999535E-3</v>
      </c>
      <c r="G216" s="1"/>
      <c r="H216" s="1">
        <f>SUM(OSRRefH22_19x_0)</f>
        <v>5809.31</v>
      </c>
      <c r="I216" s="1"/>
      <c r="J216" s="5">
        <f t="shared" ref="J216:J221" si="71">IF(H$12=0,0,H216/H$12)</f>
        <v>1.8351991301197006E-3</v>
      </c>
      <c r="K216" s="1"/>
      <c r="L216" s="1">
        <f t="shared" ref="L216:L221" si="72">+D216-H216</f>
        <v>867.85999999999967</v>
      </c>
      <c r="M216" s="1"/>
      <c r="N216" s="5">
        <f t="shared" ref="N216:N221" si="73">IF(H216=0,0,L216/H216)</f>
        <v>0.14939123579220245</v>
      </c>
      <c r="O216" s="14"/>
      <c r="P216" s="1">
        <f>SUM(OSRRefP22_19x_0)</f>
        <v>12758.689999999999</v>
      </c>
      <c r="Q216" s="1"/>
      <c r="R216" s="5">
        <f t="shared" ref="R216:R221" si="74">IF(P$12=0,0,P216/P$12)</f>
        <v>3.9348464755932094E-3</v>
      </c>
      <c r="S216" s="1"/>
      <c r="T216" s="1">
        <f>SUM(OSRRefT22_19x_0)</f>
        <v>11720.539999999999</v>
      </c>
      <c r="U216" s="1"/>
      <c r="V216" s="5">
        <f t="shared" ref="V216:V221" si="75">IF(T$12=0,0,T216/T$12)</f>
        <v>3.2501218101732123E-3</v>
      </c>
      <c r="W216" s="1"/>
      <c r="X216" s="1">
        <f t="shared" ref="X216:X221" si="76">+P216-T216</f>
        <v>1038.1499999999996</v>
      </c>
      <c r="Y216" s="1"/>
      <c r="Z216" s="5">
        <f t="shared" ref="Z216:Z221" si="77">IF(T216=0,0,X216/T216)</f>
        <v>8.8575270422693808E-2</v>
      </c>
    </row>
    <row r="217" spans="1:26" s="24" customFormat="1" hidden="1" outlineLevel="2" x14ac:dyDescent="0.25">
      <c r="A217" s="29"/>
      <c r="B217" s="11" t="str">
        <f>CONCATENATE("          ", "6282", " - ", "JANITORIAL/EXTERMINATOR EXPENS")</f>
        <v xml:space="preserve">          6282 - JANITORIAL/EXTERMINATOR EXPENS</v>
      </c>
      <c r="C217" s="11"/>
      <c r="D217" s="7">
        <v>1313.33</v>
      </c>
      <c r="E217" s="2"/>
      <c r="F217" s="6">
        <f t="shared" si="70"/>
        <v>4.6379166077287784E-4</v>
      </c>
      <c r="G217" s="2"/>
      <c r="H217" s="7">
        <v>796.59</v>
      </c>
      <c r="I217" s="2"/>
      <c r="J217" s="6">
        <f t="shared" si="71"/>
        <v>2.5164800553973744E-4</v>
      </c>
      <c r="K217" s="2"/>
      <c r="L217" s="7">
        <f t="shared" si="72"/>
        <v>516.7399999999999</v>
      </c>
      <c r="M217" s="2"/>
      <c r="N217" s="6">
        <f t="shared" si="73"/>
        <v>0.64869004130104557</v>
      </c>
      <c r="O217" s="11"/>
      <c r="P217" s="7">
        <v>2181.92</v>
      </c>
      <c r="Q217" s="2"/>
      <c r="R217" s="6">
        <f t="shared" si="74"/>
        <v>6.7291549696922928E-4</v>
      </c>
      <c r="S217" s="2"/>
      <c r="T217" s="7">
        <v>1634.68</v>
      </c>
      <c r="U217" s="2"/>
      <c r="V217" s="6">
        <f t="shared" si="75"/>
        <v>4.5329900505044541E-4</v>
      </c>
      <c r="W217" s="2"/>
      <c r="X217" s="7">
        <f t="shared" si="76"/>
        <v>547.24</v>
      </c>
      <c r="Y217" s="2"/>
      <c r="Z217" s="6">
        <f t="shared" si="77"/>
        <v>0.33476888442998015</v>
      </c>
    </row>
    <row r="218" spans="1:26" s="24" customFormat="1" hidden="1" outlineLevel="2" x14ac:dyDescent="0.25">
      <c r="A218" s="29"/>
      <c r="B218" s="11" t="str">
        <f>CONCATENATE("          ", "6283", " - ", "PLANT SERVICE")</f>
        <v xml:space="preserve">          6283 - PLANT SERVICE</v>
      </c>
      <c r="C218" s="11"/>
      <c r="D218" s="7">
        <v>180.66</v>
      </c>
      <c r="E218" s="2"/>
      <c r="F218" s="6">
        <f t="shared" si="70"/>
        <v>6.3798589414106215E-5</v>
      </c>
      <c r="G218" s="2"/>
      <c r="H218" s="7">
        <v>173</v>
      </c>
      <c r="I218" s="2"/>
      <c r="J218" s="6">
        <f t="shared" si="71"/>
        <v>5.4651834643134584E-5</v>
      </c>
      <c r="K218" s="2"/>
      <c r="L218" s="7">
        <f t="shared" si="72"/>
        <v>7.6599999999999966</v>
      </c>
      <c r="M218" s="2"/>
      <c r="N218" s="6">
        <f t="shared" si="73"/>
        <v>4.4277456647398822E-2</v>
      </c>
      <c r="O218" s="11"/>
      <c r="P218" s="7">
        <v>361.32</v>
      </c>
      <c r="Q218" s="2"/>
      <c r="R218" s="6">
        <f t="shared" si="74"/>
        <v>1.1143297067029127E-4</v>
      </c>
      <c r="S218" s="2"/>
      <c r="T218" s="7">
        <v>346</v>
      </c>
      <c r="U218" s="2"/>
      <c r="V218" s="6">
        <f t="shared" si="75"/>
        <v>9.5946274345715436E-5</v>
      </c>
      <c r="W218" s="2"/>
      <c r="X218" s="7">
        <f t="shared" si="76"/>
        <v>15.319999999999993</v>
      </c>
      <c r="Y218" s="2"/>
      <c r="Z218" s="6">
        <f t="shared" si="77"/>
        <v>4.4277456647398822E-2</v>
      </c>
    </row>
    <row r="219" spans="1:26" s="24" customFormat="1" hidden="1" outlineLevel="2" x14ac:dyDescent="0.25">
      <c r="A219" s="29"/>
      <c r="B219" s="11" t="str">
        <f>CONCATENATE("          ", "6284", " - ", "TRASH REMOVAL EXPENSE")</f>
        <v xml:space="preserve">          6284 - TRASH REMOVAL EXPENSE</v>
      </c>
      <c r="C219" s="11"/>
      <c r="D219" s="7">
        <v>134.82</v>
      </c>
      <c r="E219" s="2"/>
      <c r="F219" s="6">
        <f t="shared" si="70"/>
        <v>4.7610571376119778E-5</v>
      </c>
      <c r="G219" s="2"/>
      <c r="H219" s="7">
        <v>301.45999999999998</v>
      </c>
      <c r="I219" s="2"/>
      <c r="J219" s="6">
        <f t="shared" si="71"/>
        <v>9.5233191164851745E-5</v>
      </c>
      <c r="K219" s="2"/>
      <c r="L219" s="7">
        <f t="shared" si="72"/>
        <v>-166.64</v>
      </c>
      <c r="M219" s="2"/>
      <c r="N219" s="6">
        <f t="shared" si="73"/>
        <v>-0.55277648775957011</v>
      </c>
      <c r="O219" s="11"/>
      <c r="P219" s="7">
        <v>506.64</v>
      </c>
      <c r="Q219" s="2"/>
      <c r="R219" s="6">
        <f t="shared" si="74"/>
        <v>1.5625041586515102E-4</v>
      </c>
      <c r="S219" s="2"/>
      <c r="T219" s="7">
        <v>602.91999999999996</v>
      </c>
      <c r="U219" s="2"/>
      <c r="V219" s="6">
        <f t="shared" si="75"/>
        <v>1.6719054256797325E-4</v>
      </c>
      <c r="W219" s="2"/>
      <c r="X219" s="7">
        <f t="shared" si="76"/>
        <v>-96.279999999999973</v>
      </c>
      <c r="Y219" s="2"/>
      <c r="Z219" s="6">
        <f t="shared" si="77"/>
        <v>-0.1596895110462416</v>
      </c>
    </row>
    <row r="220" spans="1:26" s="24" customFormat="1" hidden="1" outlineLevel="2" x14ac:dyDescent="0.25">
      <c r="A220" s="29"/>
      <c r="B220" s="11" t="str">
        <f>CONCATENATE("          ", "6285", " - ", "JANITORIAL SERVICES")</f>
        <v xml:space="preserve">          6285 - JANITORIAL SERVICES</v>
      </c>
      <c r="C220" s="11"/>
      <c r="D220" s="7">
        <v>4219.84</v>
      </c>
      <c r="E220" s="2"/>
      <c r="F220" s="6">
        <f t="shared" si="70"/>
        <v>1.4902017023869256E-3</v>
      </c>
      <c r="G220" s="2"/>
      <c r="H220" s="7">
        <v>3913.46</v>
      </c>
      <c r="I220" s="2"/>
      <c r="J220" s="6">
        <f t="shared" si="71"/>
        <v>1.2362876809394305E-3</v>
      </c>
      <c r="K220" s="2"/>
      <c r="L220" s="7">
        <f t="shared" si="72"/>
        <v>306.38000000000011</v>
      </c>
      <c r="M220" s="2"/>
      <c r="N220" s="6">
        <f t="shared" si="73"/>
        <v>7.8288777705662019E-2</v>
      </c>
      <c r="O220" s="11"/>
      <c r="P220" s="7">
        <v>8289.56</v>
      </c>
      <c r="Q220" s="2"/>
      <c r="R220" s="6">
        <f t="shared" si="74"/>
        <v>2.5565434970375835E-3</v>
      </c>
      <c r="S220" s="2"/>
      <c r="T220" s="7">
        <v>7911.03</v>
      </c>
      <c r="U220" s="2"/>
      <c r="V220" s="6">
        <f t="shared" si="75"/>
        <v>2.1937394645583385E-3</v>
      </c>
      <c r="W220" s="2"/>
      <c r="X220" s="7">
        <f t="shared" si="76"/>
        <v>378.52999999999975</v>
      </c>
      <c r="Y220" s="2"/>
      <c r="Z220" s="6">
        <f t="shared" si="77"/>
        <v>4.7848383838766856E-2</v>
      </c>
    </row>
    <row r="221" spans="1:26" s="24" customFormat="1" hidden="1" outlineLevel="2" x14ac:dyDescent="0.25">
      <c r="A221" s="29"/>
      <c r="B221" s="11" t="str">
        <f>CONCATENATE("          ", "6286", " - ", "LAUNDRY EXPENSE")</f>
        <v xml:space="preserve">          6286 - LAUNDRY EXPENSE</v>
      </c>
      <c r="C221" s="11"/>
      <c r="D221" s="7">
        <v>828.52</v>
      </c>
      <c r="E221" s="2"/>
      <c r="F221" s="6">
        <f t="shared" si="70"/>
        <v>2.9258500664992404E-4</v>
      </c>
      <c r="G221" s="2"/>
      <c r="H221" s="7">
        <v>624.79999999999995</v>
      </c>
      <c r="I221" s="2"/>
      <c r="J221" s="6">
        <f t="shared" si="71"/>
        <v>1.9737841783254616E-4</v>
      </c>
      <c r="K221" s="2"/>
      <c r="L221" s="7">
        <f t="shared" si="72"/>
        <v>203.72000000000003</v>
      </c>
      <c r="M221" s="2"/>
      <c r="N221" s="6">
        <f t="shared" si="73"/>
        <v>0.32605633802816908</v>
      </c>
      <c r="O221" s="11"/>
      <c r="P221" s="7">
        <v>1419.25</v>
      </c>
      <c r="Q221" s="2"/>
      <c r="R221" s="6">
        <f t="shared" si="74"/>
        <v>4.3770409505095454E-4</v>
      </c>
      <c r="S221" s="2"/>
      <c r="T221" s="7">
        <v>1225.9100000000001</v>
      </c>
      <c r="U221" s="2"/>
      <c r="V221" s="6">
        <f t="shared" si="75"/>
        <v>3.3994652365073994E-4</v>
      </c>
      <c r="W221" s="2"/>
      <c r="X221" s="7">
        <f t="shared" si="76"/>
        <v>193.33999999999992</v>
      </c>
      <c r="Y221" s="2"/>
      <c r="Z221" s="6">
        <f t="shared" si="77"/>
        <v>0.15771141437789063</v>
      </c>
    </row>
    <row r="222" spans="1:26" s="27" customFormat="1" outlineLevel="1" collapsed="1" x14ac:dyDescent="0.25">
      <c r="A222" s="28"/>
      <c r="B222" s="14" t="str">
        <f>CONCATENATE("     ","Subscriptions &amp; Dues                              ")</f>
        <v xml:space="preserve">     Subscriptions &amp; Dues                              </v>
      </c>
      <c r="C222" s="14"/>
      <c r="D222" s="1">
        <f>SUM(OSRRefD22_20x_0)</f>
        <v>706.38</v>
      </c>
      <c r="E222" s="1"/>
      <c r="F222" s="5">
        <f t="shared" ref="F222:F224" si="78">IF(D$12=0,0,D222/D$12)</f>
        <v>2.4945227272410247E-4</v>
      </c>
      <c r="G222" s="1"/>
      <c r="H222" s="1">
        <f>SUM(OSRRefH22_20x_0)</f>
        <v>685.58</v>
      </c>
      <c r="I222" s="1"/>
      <c r="J222" s="5">
        <f t="shared" ref="J222:J224" si="79">IF(H$12=0,0,H222/H$12)</f>
        <v>2.1657921846612838E-4</v>
      </c>
      <c r="K222" s="1"/>
      <c r="L222" s="1">
        <f t="shared" ref="L222:L224" si="80">+D222-H222</f>
        <v>20.799999999999955</v>
      </c>
      <c r="M222" s="1"/>
      <c r="N222" s="5">
        <f t="shared" ref="N222:N224" si="81">IF(H222=0,0,L222/H222)</f>
        <v>3.03392747746433E-2</v>
      </c>
      <c r="O222" s="14"/>
      <c r="P222" s="1">
        <f>SUM(OSRRefP22_20x_0)</f>
        <v>1345.03</v>
      </c>
      <c r="Q222" s="1"/>
      <c r="R222" s="5">
        <f t="shared" ref="R222:R224" si="82">IF(P$12=0,0,P222/P$12)</f>
        <v>4.1481426032509097E-4</v>
      </c>
      <c r="S222" s="1"/>
      <c r="T222" s="1">
        <f>SUM(OSRRefT22_20x_0)</f>
        <v>1466.57</v>
      </c>
      <c r="U222" s="1"/>
      <c r="V222" s="5">
        <f t="shared" ref="V222:V224" si="83">IF(T$12=0,0,T222/T$12)</f>
        <v>4.06681871581491E-4</v>
      </c>
      <c r="W222" s="1"/>
      <c r="X222" s="1">
        <f t="shared" ref="X222:X224" si="84">+P222-T222</f>
        <v>-121.53999999999996</v>
      </c>
      <c r="Y222" s="1"/>
      <c r="Z222" s="5">
        <f t="shared" ref="Z222:Z224" si="85">IF(T222=0,0,X222/T222)</f>
        <v>-8.2873643944714512E-2</v>
      </c>
    </row>
    <row r="223" spans="1:26" s="24" customFormat="1" hidden="1" outlineLevel="2" x14ac:dyDescent="0.25">
      <c r="A223" s="29"/>
      <c r="B223" s="11" t="str">
        <f>CONCATENATE("          ", "6258", " - ", "MEMBERSHIP DUES")</f>
        <v xml:space="preserve">          6258 - MEMBERSHIP DUES</v>
      </c>
      <c r="C223" s="11"/>
      <c r="D223" s="7">
        <v>370</v>
      </c>
      <c r="E223" s="2"/>
      <c r="F223" s="6">
        <f t="shared" si="78"/>
        <v>1.306624492594891E-4</v>
      </c>
      <c r="G223" s="2"/>
      <c r="H223" s="7">
        <v>272.10000000000002</v>
      </c>
      <c r="I223" s="2"/>
      <c r="J223" s="6">
        <f t="shared" si="79"/>
        <v>8.5958174603450411E-5</v>
      </c>
      <c r="K223" s="2"/>
      <c r="L223" s="7">
        <f t="shared" si="80"/>
        <v>97.899999999999977</v>
      </c>
      <c r="M223" s="2"/>
      <c r="N223" s="6">
        <f t="shared" si="81"/>
        <v>0.35979419331128248</v>
      </c>
      <c r="O223" s="11"/>
      <c r="P223" s="7">
        <v>658.85</v>
      </c>
      <c r="Q223" s="2"/>
      <c r="R223" s="6">
        <f t="shared" si="82"/>
        <v>2.0319277296059285E-4</v>
      </c>
      <c r="S223" s="2"/>
      <c r="T223" s="7">
        <v>553.9</v>
      </c>
      <c r="U223" s="2"/>
      <c r="V223" s="6">
        <f t="shared" si="83"/>
        <v>1.5359722936442711E-4</v>
      </c>
      <c r="W223" s="2"/>
      <c r="X223" s="7">
        <f t="shared" si="84"/>
        <v>104.95000000000005</v>
      </c>
      <c r="Y223" s="2"/>
      <c r="Z223" s="6">
        <f t="shared" si="85"/>
        <v>0.18947463441054352</v>
      </c>
    </row>
    <row r="224" spans="1:26" s="24" customFormat="1" hidden="1" outlineLevel="2" x14ac:dyDescent="0.25">
      <c r="A224" s="29"/>
      <c r="B224" s="11" t="str">
        <f>CONCATENATE("          ", "6275", " - ", "SUBSCRIPTIONS")</f>
        <v xml:space="preserve">          6275 - SUBSCRIPTIONS</v>
      </c>
      <c r="C224" s="11"/>
      <c r="D224" s="7">
        <v>336.38</v>
      </c>
      <c r="E224" s="2"/>
      <c r="F224" s="6">
        <f t="shared" si="78"/>
        <v>1.1878982346461336E-4</v>
      </c>
      <c r="G224" s="2"/>
      <c r="H224" s="7">
        <v>413.48</v>
      </c>
      <c r="I224" s="2"/>
      <c r="J224" s="6">
        <f t="shared" si="79"/>
        <v>1.3062104386267798E-4</v>
      </c>
      <c r="K224" s="2"/>
      <c r="L224" s="7">
        <f t="shared" si="80"/>
        <v>-77.100000000000023</v>
      </c>
      <c r="M224" s="2"/>
      <c r="N224" s="6">
        <f t="shared" si="81"/>
        <v>-0.18646609267679215</v>
      </c>
      <c r="O224" s="11"/>
      <c r="P224" s="7">
        <v>686.18</v>
      </c>
      <c r="Q224" s="2"/>
      <c r="R224" s="6">
        <f t="shared" si="82"/>
        <v>2.1162148736449812E-4</v>
      </c>
      <c r="S224" s="2"/>
      <c r="T224" s="7">
        <v>912.67</v>
      </c>
      <c r="U224" s="2"/>
      <c r="V224" s="6">
        <f t="shared" si="83"/>
        <v>2.5308464221706386E-4</v>
      </c>
      <c r="W224" s="2"/>
      <c r="X224" s="7">
        <f t="shared" si="84"/>
        <v>-226.49</v>
      </c>
      <c r="Y224" s="2"/>
      <c r="Z224" s="6">
        <f t="shared" si="85"/>
        <v>-0.24816198626009403</v>
      </c>
    </row>
    <row r="225" spans="1:26" s="27" customFormat="1" outlineLevel="1" collapsed="1" x14ac:dyDescent="0.25">
      <c r="A225" s="28"/>
      <c r="B225" s="14" t="str">
        <f>CONCATENATE("     ","Supplies                                          ")</f>
        <v xml:space="preserve">     Supplies                                          </v>
      </c>
      <c r="C225" s="14"/>
      <c r="D225" s="1">
        <f>SUM(OSRRefD22_21x_0)</f>
        <v>15654.390000000003</v>
      </c>
      <c r="E225" s="1"/>
      <c r="F225" s="5">
        <f t="shared" ref="F225:F232" si="86">IF(D$12=0,0,D225/D$12)</f>
        <v>5.5282187542250102E-3</v>
      </c>
      <c r="G225" s="1"/>
      <c r="H225" s="1">
        <f>SUM(OSRRefH22_21x_0)</f>
        <v>19598.07</v>
      </c>
      <c r="I225" s="1"/>
      <c r="J225" s="5">
        <f t="shared" ref="J225:J232" si="87">IF(H$12=0,0,H225/H$12)</f>
        <v>6.1911588495062227E-3</v>
      </c>
      <c r="K225" s="1"/>
      <c r="L225" s="1">
        <f t="shared" ref="L225:L232" si="88">+D225-H225</f>
        <v>-3943.6799999999967</v>
      </c>
      <c r="M225" s="1"/>
      <c r="N225" s="5">
        <f t="shared" ref="N225:N232" si="89">IF(H225=0,0,L225/H225)</f>
        <v>-0.20122797806110482</v>
      </c>
      <c r="O225" s="14"/>
      <c r="P225" s="1">
        <f>SUM(OSRRefP22_21x_0)</f>
        <v>30002.07</v>
      </c>
      <c r="Q225" s="1"/>
      <c r="R225" s="5">
        <f t="shared" ref="R225:R232" si="90">IF(P$12=0,0,P225/P$12)</f>
        <v>9.2527947148179617E-3</v>
      </c>
      <c r="S225" s="1"/>
      <c r="T225" s="1">
        <f>SUM(OSRRefT22_21x_0)</f>
        <v>46275.96</v>
      </c>
      <c r="U225" s="1"/>
      <c r="V225" s="5">
        <f t="shared" ref="V225:V232" si="91">IF(T$12=0,0,T225/T$12)</f>
        <v>1.2832387149628189E-2</v>
      </c>
      <c r="W225" s="1"/>
      <c r="X225" s="1">
        <f t="shared" ref="X225:X232" si="92">+P225-T225</f>
        <v>-16273.89</v>
      </c>
      <c r="Y225" s="1"/>
      <c r="Z225" s="5">
        <f t="shared" ref="Z225:Z232" si="93">IF(T225=0,0,X225/T225)</f>
        <v>-0.3516705001905957</v>
      </c>
    </row>
    <row r="226" spans="1:26" s="24" customFormat="1" hidden="1" outlineLevel="2" x14ac:dyDescent="0.25">
      <c r="A226" s="29"/>
      <c r="B226" s="11" t="str">
        <f>CONCATENATE("          ", "6234", " - ", "EXPENDABLE SUPPLIES &amp; EQUIPMEN")</f>
        <v xml:space="preserve">          6234 - EXPENDABLE SUPPLIES &amp; EQUIPMEN</v>
      </c>
      <c r="C226" s="11"/>
      <c r="D226" s="7">
        <v>2078.2600000000002</v>
      </c>
      <c r="E226" s="2"/>
      <c r="F226" s="6">
        <f t="shared" si="86"/>
        <v>7.3392038323790766E-4</v>
      </c>
      <c r="G226" s="2"/>
      <c r="H226" s="7">
        <v>1018.75</v>
      </c>
      <c r="I226" s="2"/>
      <c r="J226" s="6">
        <f t="shared" si="87"/>
        <v>3.2182980660516394E-4</v>
      </c>
      <c r="K226" s="2"/>
      <c r="L226" s="7">
        <f t="shared" si="88"/>
        <v>1059.5100000000002</v>
      </c>
      <c r="M226" s="2"/>
      <c r="N226" s="6">
        <f t="shared" si="89"/>
        <v>1.0400098159509206</v>
      </c>
      <c r="O226" s="11"/>
      <c r="P226" s="7">
        <v>2780.34</v>
      </c>
      <c r="Q226" s="2"/>
      <c r="R226" s="6">
        <f t="shared" si="90"/>
        <v>8.5747134305722808E-4</v>
      </c>
      <c r="S226" s="2"/>
      <c r="T226" s="7">
        <v>1375.96</v>
      </c>
      <c r="U226" s="2"/>
      <c r="V226" s="6">
        <f t="shared" si="91"/>
        <v>3.8155559436049312E-4</v>
      </c>
      <c r="W226" s="2"/>
      <c r="X226" s="7">
        <f t="shared" si="92"/>
        <v>1404.38</v>
      </c>
      <c r="Y226" s="2"/>
      <c r="Z226" s="6">
        <f t="shared" si="93"/>
        <v>1.020654670193901</v>
      </c>
    </row>
    <row r="227" spans="1:26" s="24" customFormat="1" hidden="1" outlineLevel="2" x14ac:dyDescent="0.25">
      <c r="A227" s="29"/>
      <c r="B227" s="11" t="str">
        <f>CONCATENATE("          ", "6237", " - ", "JANITORIAL SUPPLIES")</f>
        <v xml:space="preserve">          6237 - JANITORIAL SUPPLIES</v>
      </c>
      <c r="C227" s="11"/>
      <c r="D227" s="7">
        <v>963.19</v>
      </c>
      <c r="E227" s="2"/>
      <c r="F227" s="6">
        <f t="shared" si="86"/>
        <v>3.4014260676283056E-4</v>
      </c>
      <c r="G227" s="2"/>
      <c r="H227" s="7">
        <v>815.99</v>
      </c>
      <c r="I227" s="2"/>
      <c r="J227" s="6">
        <f t="shared" si="87"/>
        <v>2.5777659277717569E-4</v>
      </c>
      <c r="K227" s="2"/>
      <c r="L227" s="7">
        <f t="shared" si="88"/>
        <v>147.20000000000005</v>
      </c>
      <c r="M227" s="2"/>
      <c r="N227" s="6">
        <f t="shared" si="89"/>
        <v>0.18039436757803409</v>
      </c>
      <c r="O227" s="11"/>
      <c r="P227" s="7">
        <v>1789.34</v>
      </c>
      <c r="Q227" s="2"/>
      <c r="R227" s="6">
        <f t="shared" si="90"/>
        <v>5.518417794176325E-4</v>
      </c>
      <c r="S227" s="2"/>
      <c r="T227" s="7">
        <v>1803.56</v>
      </c>
      <c r="U227" s="2"/>
      <c r="V227" s="6">
        <f t="shared" si="91"/>
        <v>5.0012966057502467E-4</v>
      </c>
      <c r="W227" s="2"/>
      <c r="X227" s="7">
        <f t="shared" si="92"/>
        <v>-14.220000000000027</v>
      </c>
      <c r="Y227" s="2"/>
      <c r="Z227" s="6">
        <f t="shared" si="93"/>
        <v>-7.8844063962385663E-3</v>
      </c>
    </row>
    <row r="228" spans="1:26" s="24" customFormat="1" hidden="1" outlineLevel="2" x14ac:dyDescent="0.25">
      <c r="A228" s="29"/>
      <c r="B228" s="11" t="str">
        <f>CONCATENATE("          ", "6241", " - ", "OFFICE EXPENSE")</f>
        <v xml:space="preserve">          6241 - OFFICE EXPENSE</v>
      </c>
      <c r="C228" s="11"/>
      <c r="D228" s="7">
        <v>5076.67</v>
      </c>
      <c r="E228" s="2"/>
      <c r="F228" s="6">
        <f t="shared" si="86"/>
        <v>1.7927841521139744E-3</v>
      </c>
      <c r="G228" s="2"/>
      <c r="H228" s="7">
        <v>4169.04</v>
      </c>
      <c r="I228" s="2"/>
      <c r="J228" s="6">
        <f t="shared" si="87"/>
        <v>1.3170270791942995E-3</v>
      </c>
      <c r="K228" s="2"/>
      <c r="L228" s="7">
        <f t="shared" si="88"/>
        <v>907.63000000000011</v>
      </c>
      <c r="M228" s="2"/>
      <c r="N228" s="6">
        <f t="shared" si="89"/>
        <v>0.2177071939823077</v>
      </c>
      <c r="O228" s="11"/>
      <c r="P228" s="7">
        <v>7748.08</v>
      </c>
      <c r="Q228" s="2"/>
      <c r="R228" s="6">
        <f t="shared" si="90"/>
        <v>2.3895482436374141E-3</v>
      </c>
      <c r="S228" s="2"/>
      <c r="T228" s="7">
        <v>9343.4500000000007</v>
      </c>
      <c r="U228" s="2"/>
      <c r="V228" s="6">
        <f t="shared" si="91"/>
        <v>2.5909514943221819E-3</v>
      </c>
      <c r="W228" s="2"/>
      <c r="X228" s="7">
        <f t="shared" si="92"/>
        <v>-1595.3700000000008</v>
      </c>
      <c r="Y228" s="2"/>
      <c r="Z228" s="6">
        <f t="shared" si="93"/>
        <v>-0.17074742199080647</v>
      </c>
    </row>
    <row r="229" spans="1:26" s="24" customFormat="1" hidden="1" outlineLevel="2" x14ac:dyDescent="0.25">
      <c r="A229" s="29"/>
      <c r="B229" s="11" t="str">
        <f>CONCATENATE("          ", "6243", " - ", "PAPER SUPPLIES")</f>
        <v xml:space="preserve">          6243 - PAPER SUPPLIES</v>
      </c>
      <c r="C229" s="11"/>
      <c r="D229" s="7">
        <v>2098.62</v>
      </c>
      <c r="E229" s="2"/>
      <c r="F229" s="6">
        <f t="shared" si="86"/>
        <v>7.4111034936472705E-4</v>
      </c>
      <c r="G229" s="2"/>
      <c r="H229" s="7">
        <v>649.4</v>
      </c>
      <c r="I229" s="2"/>
      <c r="J229" s="6">
        <f t="shared" si="87"/>
        <v>2.0514971917486472E-4</v>
      </c>
      <c r="K229" s="2"/>
      <c r="L229" s="7">
        <f t="shared" si="88"/>
        <v>1449.2199999999998</v>
      </c>
      <c r="M229" s="2"/>
      <c r="N229" s="6">
        <f t="shared" si="89"/>
        <v>2.2316291961810899</v>
      </c>
      <c r="O229" s="11"/>
      <c r="P229" s="7">
        <v>3259.96</v>
      </c>
      <c r="Q229" s="2"/>
      <c r="R229" s="6">
        <f t="shared" si="90"/>
        <v>1.0053886501337395E-3</v>
      </c>
      <c r="S229" s="2"/>
      <c r="T229" s="7">
        <v>3364.51</v>
      </c>
      <c r="U229" s="2"/>
      <c r="V229" s="6">
        <f t="shared" si="91"/>
        <v>9.3298323554596259E-4</v>
      </c>
      <c r="W229" s="2"/>
      <c r="X229" s="7">
        <f t="shared" si="92"/>
        <v>-104.55000000000018</v>
      </c>
      <c r="Y229" s="2"/>
      <c r="Z229" s="6">
        <f t="shared" si="93"/>
        <v>-3.1074361496919365E-2</v>
      </c>
    </row>
    <row r="230" spans="1:26" s="24" customFormat="1" hidden="1" outlineLevel="2" x14ac:dyDescent="0.25">
      <c r="A230" s="29"/>
      <c r="B230" s="11" t="str">
        <f>CONCATENATE("          ", "6245", " - ", "PRINTING")</f>
        <v xml:space="preserve">          6245 - PRINTING</v>
      </c>
      <c r="C230" s="11"/>
      <c r="D230" s="7">
        <v>4985.1099999999997</v>
      </c>
      <c r="E230" s="2"/>
      <c r="F230" s="6">
        <f t="shared" si="86"/>
        <v>1.760450493048572E-3</v>
      </c>
      <c r="G230" s="2"/>
      <c r="H230" s="7">
        <v>517.21</v>
      </c>
      <c r="I230" s="2"/>
      <c r="J230" s="6">
        <f t="shared" si="87"/>
        <v>1.6339003118945458E-4</v>
      </c>
      <c r="K230" s="2"/>
      <c r="L230" s="7">
        <f t="shared" si="88"/>
        <v>4467.8999999999996</v>
      </c>
      <c r="M230" s="2"/>
      <c r="N230" s="6">
        <f t="shared" si="89"/>
        <v>8.6384640668200525</v>
      </c>
      <c r="O230" s="11"/>
      <c r="P230" s="7">
        <v>4985.1099999999997</v>
      </c>
      <c r="Q230" s="2"/>
      <c r="R230" s="6">
        <f t="shared" si="90"/>
        <v>1.5374338990871684E-3</v>
      </c>
      <c r="S230" s="2"/>
      <c r="T230" s="7">
        <v>1827.27</v>
      </c>
      <c r="U230" s="2"/>
      <c r="V230" s="6">
        <f t="shared" si="91"/>
        <v>5.067044760800446E-4</v>
      </c>
      <c r="W230" s="2"/>
      <c r="X230" s="7">
        <f t="shared" si="92"/>
        <v>3157.8399999999997</v>
      </c>
      <c r="Y230" s="2"/>
      <c r="Z230" s="6">
        <f t="shared" si="93"/>
        <v>1.7281737236423735</v>
      </c>
    </row>
    <row r="231" spans="1:26" s="24" customFormat="1" hidden="1" outlineLevel="2" x14ac:dyDescent="0.25">
      <c r="A231" s="29"/>
      <c r="B231" s="11" t="str">
        <f>CONCATENATE("          ", "6247", " - ", "STORE SUPPLIES")</f>
        <v xml:space="preserve">          6247 - STORE SUPPLIES</v>
      </c>
      <c r="C231" s="11"/>
      <c r="D231" s="7">
        <v>452.54</v>
      </c>
      <c r="E231" s="2"/>
      <c r="F231" s="6">
        <f t="shared" si="86"/>
        <v>1.5981076969699785E-4</v>
      </c>
      <c r="G231" s="2"/>
      <c r="H231" s="7">
        <v>11276.5</v>
      </c>
      <c r="I231" s="2"/>
      <c r="J231" s="6">
        <f t="shared" si="87"/>
        <v>3.5623203084006192E-3</v>
      </c>
      <c r="K231" s="2"/>
      <c r="L231" s="7">
        <f t="shared" si="88"/>
        <v>-10823.96</v>
      </c>
      <c r="M231" s="2"/>
      <c r="N231" s="6">
        <f t="shared" si="89"/>
        <v>-0.9598687536026248</v>
      </c>
      <c r="O231" s="11"/>
      <c r="P231" s="7">
        <v>9439.24</v>
      </c>
      <c r="Q231" s="2"/>
      <c r="R231" s="6">
        <f t="shared" si="90"/>
        <v>2.9111107994847785E-3</v>
      </c>
      <c r="S231" s="2"/>
      <c r="T231" s="7">
        <v>27410.030000000002</v>
      </c>
      <c r="U231" s="2"/>
      <c r="V231" s="6">
        <f t="shared" si="91"/>
        <v>7.6008388965441926E-3</v>
      </c>
      <c r="W231" s="2"/>
      <c r="X231" s="7">
        <f t="shared" si="92"/>
        <v>-17970.79</v>
      </c>
      <c r="Y231" s="2"/>
      <c r="Z231" s="6">
        <f t="shared" si="93"/>
        <v>-0.65562824995083913</v>
      </c>
    </row>
    <row r="232" spans="1:26" s="24" customFormat="1" hidden="1" outlineLevel="2" x14ac:dyDescent="0.25">
      <c r="A232" s="29"/>
      <c r="B232" s="11" t="str">
        <f>CONCATENATE("          ", "6248", " - ", "UNIFORMS")</f>
        <v xml:space="preserve">          6248 - UNIFORMS</v>
      </c>
      <c r="C232" s="11"/>
      <c r="D232" s="7"/>
      <c r="E232" s="2"/>
      <c r="F232" s="6">
        <f t="shared" si="86"/>
        <v>0</v>
      </c>
      <c r="G232" s="2"/>
      <c r="H232" s="7">
        <v>1151.18</v>
      </c>
      <c r="I232" s="2"/>
      <c r="J232" s="6">
        <f t="shared" si="87"/>
        <v>3.6366531216464553E-4</v>
      </c>
      <c r="K232" s="2"/>
      <c r="L232" s="7">
        <f t="shared" si="88"/>
        <v>-1151.18</v>
      </c>
      <c r="M232" s="2"/>
      <c r="N232" s="6">
        <f t="shared" si="89"/>
        <v>-1</v>
      </c>
      <c r="O232" s="11"/>
      <c r="P232" s="7"/>
      <c r="Q232" s="2"/>
      <c r="R232" s="6">
        <f t="shared" si="90"/>
        <v>0</v>
      </c>
      <c r="S232" s="2"/>
      <c r="T232" s="7">
        <v>1151.18</v>
      </c>
      <c r="U232" s="2"/>
      <c r="V232" s="6">
        <f t="shared" si="91"/>
        <v>3.1922379220029103E-4</v>
      </c>
      <c r="W232" s="2"/>
      <c r="X232" s="7">
        <f t="shared" si="92"/>
        <v>-1151.18</v>
      </c>
      <c r="Y232" s="2"/>
      <c r="Z232" s="6">
        <f t="shared" si="93"/>
        <v>-1</v>
      </c>
    </row>
    <row r="233" spans="1:26" s="27" customFormat="1" outlineLevel="1" collapsed="1" x14ac:dyDescent="0.25">
      <c r="A233" s="28"/>
      <c r="B233" s="14" t="str">
        <f>CONCATENATE("     ","Telephone/Data Lines                              ")</f>
        <v xml:space="preserve">     Telephone/Data Lines                              </v>
      </c>
      <c r="C233" s="14"/>
      <c r="D233" s="1">
        <f>SUM(OSRRefD22_22x_0)</f>
        <v>2972.86</v>
      </c>
      <c r="E233" s="1"/>
      <c r="F233" s="5">
        <f t="shared" ref="F233:F235" si="94">IF(D$12=0,0,D233/D$12)</f>
        <v>1.049840997042067E-3</v>
      </c>
      <c r="G233" s="1"/>
      <c r="H233" s="1">
        <f>SUM(OSRRefH22_22x_0)</f>
        <v>3441.99</v>
      </c>
      <c r="I233" s="1"/>
      <c r="J233" s="5">
        <f t="shared" ref="J233:J235" si="95">IF(H$12=0,0,H233/H$12)</f>
        <v>1.0873472157417502E-3</v>
      </c>
      <c r="K233" s="1"/>
      <c r="L233" s="1">
        <f t="shared" ref="L233:L235" si="96">+D233-H233</f>
        <v>-469.12999999999965</v>
      </c>
      <c r="M233" s="1"/>
      <c r="N233" s="5">
        <f t="shared" ref="N233:N235" si="97">IF(H233=0,0,L233/H233)</f>
        <v>-0.13629615425959973</v>
      </c>
      <c r="O233" s="14"/>
      <c r="P233" s="1">
        <f>SUM(OSRRefP22_22x_0)</f>
        <v>4998.9399999999996</v>
      </c>
      <c r="Q233" s="1"/>
      <c r="R233" s="5">
        <f t="shared" ref="R233:R235" si="98">IF(P$12=0,0,P233/P$12)</f>
        <v>1.5416991431488592E-3</v>
      </c>
      <c r="S233" s="1"/>
      <c r="T233" s="1">
        <f>SUM(OSRRefT22_22x_0)</f>
        <v>5678.77</v>
      </c>
      <c r="U233" s="1"/>
      <c r="V233" s="5">
        <f t="shared" ref="V233:V235" si="99">IF(T$12=0,0,T233/T$12)</f>
        <v>1.574730706260747E-3</v>
      </c>
      <c r="W233" s="1"/>
      <c r="X233" s="1">
        <f t="shared" ref="X233:X235" si="100">+P233-T233</f>
        <v>-679.83000000000084</v>
      </c>
      <c r="Y233" s="1"/>
      <c r="Z233" s="5">
        <f t="shared" ref="Z233:Z235" si="101">IF(T233=0,0,X233/T233)</f>
        <v>-0.11971430432998709</v>
      </c>
    </row>
    <row r="234" spans="1:26" s="24" customFormat="1" hidden="1" outlineLevel="2" x14ac:dyDescent="0.25">
      <c r="A234" s="29"/>
      <c r="B234" s="11" t="str">
        <f>CONCATENATE("          ", "6303", " - ", "DATA PHONE LINES")</f>
        <v xml:space="preserve">          6303 - DATA PHONE LINES</v>
      </c>
      <c r="C234" s="11"/>
      <c r="D234" s="7">
        <v>295</v>
      </c>
      <c r="E234" s="2"/>
      <c r="F234" s="6">
        <f t="shared" si="94"/>
        <v>1.041768176528359E-4</v>
      </c>
      <c r="G234" s="2"/>
      <c r="H234" s="7">
        <v>590</v>
      </c>
      <c r="I234" s="2"/>
      <c r="J234" s="6">
        <f t="shared" si="95"/>
        <v>1.8638486959219309E-4</v>
      </c>
      <c r="K234" s="2"/>
      <c r="L234" s="7">
        <f t="shared" si="96"/>
        <v>-295</v>
      </c>
      <c r="M234" s="2"/>
      <c r="N234" s="6">
        <f t="shared" si="97"/>
        <v>-0.5</v>
      </c>
      <c r="O234" s="11"/>
      <c r="P234" s="7">
        <v>590</v>
      </c>
      <c r="Q234" s="2"/>
      <c r="R234" s="6">
        <f t="shared" si="98"/>
        <v>1.8195907421529904E-4</v>
      </c>
      <c r="S234" s="2"/>
      <c r="T234" s="7">
        <v>590</v>
      </c>
      <c r="U234" s="2"/>
      <c r="V234" s="6">
        <f t="shared" si="99"/>
        <v>1.636078088554107E-4</v>
      </c>
      <c r="W234" s="2"/>
      <c r="X234" s="7">
        <f t="shared" si="100"/>
        <v>0</v>
      </c>
      <c r="Y234" s="2"/>
      <c r="Z234" s="6">
        <f t="shared" si="101"/>
        <v>0</v>
      </c>
    </row>
    <row r="235" spans="1:26" s="24" customFormat="1" hidden="1" outlineLevel="2" x14ac:dyDescent="0.25">
      <c r="A235" s="29"/>
      <c r="B235" s="11" t="str">
        <f>CONCATENATE("          ", "6309", " - ", "TELEPHONE")</f>
        <v xml:space="preserve">          6309 - TELEPHONE</v>
      </c>
      <c r="C235" s="11"/>
      <c r="D235" s="7">
        <v>2677.86</v>
      </c>
      <c r="E235" s="2"/>
      <c r="F235" s="6">
        <f t="shared" si="94"/>
        <v>9.4566417938923104E-4</v>
      </c>
      <c r="G235" s="2"/>
      <c r="H235" s="7">
        <v>2851.99</v>
      </c>
      <c r="I235" s="2"/>
      <c r="J235" s="6">
        <f t="shared" si="95"/>
        <v>9.009623461495572E-4</v>
      </c>
      <c r="K235" s="2"/>
      <c r="L235" s="7">
        <f t="shared" si="96"/>
        <v>-174.12999999999965</v>
      </c>
      <c r="M235" s="2"/>
      <c r="N235" s="6">
        <f t="shared" si="97"/>
        <v>-6.1055613799487256E-2</v>
      </c>
      <c r="O235" s="11"/>
      <c r="P235" s="7">
        <v>4408.9399999999996</v>
      </c>
      <c r="Q235" s="2"/>
      <c r="R235" s="6">
        <f t="shared" si="98"/>
        <v>1.3597400689335602E-3</v>
      </c>
      <c r="S235" s="2"/>
      <c r="T235" s="7">
        <v>5088.7700000000004</v>
      </c>
      <c r="U235" s="2"/>
      <c r="V235" s="6">
        <f t="shared" si="99"/>
        <v>1.4111228974053364E-3</v>
      </c>
      <c r="W235" s="2"/>
      <c r="X235" s="7">
        <f t="shared" si="100"/>
        <v>-679.83000000000084</v>
      </c>
      <c r="Y235" s="2"/>
      <c r="Z235" s="6">
        <f t="shared" si="101"/>
        <v>-0.1335941691214185</v>
      </c>
    </row>
    <row r="236" spans="1:26" s="27" customFormat="1" outlineLevel="1" collapsed="1" x14ac:dyDescent="0.25">
      <c r="A236" s="28"/>
      <c r="B236" s="14" t="str">
        <f>CONCATENATE("     ","Training                                          ")</f>
        <v xml:space="preserve">     Training                                          </v>
      </c>
      <c r="C236" s="14"/>
      <c r="D236" s="1">
        <f>SUM(OSRRefD22_23x_0)</f>
        <v>6530.86</v>
      </c>
      <c r="E236" s="1"/>
      <c r="F236" s="5">
        <f t="shared" ref="F236:F241" si="102">IF(D$12=0,0,D236/D$12)</f>
        <v>2.3063193604616942E-3</v>
      </c>
      <c r="G236" s="1"/>
      <c r="H236" s="1">
        <f>SUM(OSRRefH22_23x_0)</f>
        <v>-1834.05</v>
      </c>
      <c r="I236" s="1"/>
      <c r="J236" s="5">
        <f t="shared" ref="J236:J241" si="103">IF(H$12=0,0,H236/H$12)</f>
        <v>-5.7938842385688429E-4</v>
      </c>
      <c r="K236" s="1"/>
      <c r="L236" s="1">
        <f t="shared" ref="L236:L241" si="104">+D236-H236</f>
        <v>8364.91</v>
      </c>
      <c r="M236" s="1"/>
      <c r="N236" s="5">
        <f t="shared" ref="N236:N241" si="105">IF(H236=0,0,L236/H236)</f>
        <v>-4.5608952863880488</v>
      </c>
      <c r="O236" s="14"/>
      <c r="P236" s="1">
        <f>SUM(OSRRefP22_23x_0)</f>
        <v>7322.53</v>
      </c>
      <c r="Q236" s="1"/>
      <c r="R236" s="5">
        <f t="shared" ref="R236:R241" si="106">IF(P$12=0,0,P236/P$12)</f>
        <v>2.2583064062944979E-3</v>
      </c>
      <c r="S236" s="1"/>
      <c r="T236" s="1">
        <f>SUM(OSRRefT22_23x_0)</f>
        <v>-1756.09</v>
      </c>
      <c r="U236" s="1"/>
      <c r="V236" s="5">
        <f t="shared" ref="V236:V241" si="107">IF(T$12=0,0,T236/T$12)</f>
        <v>-4.869661644964376E-4</v>
      </c>
      <c r="W236" s="1"/>
      <c r="X236" s="1">
        <f t="shared" ref="X236:X241" si="108">+P236-T236</f>
        <v>9078.619999999999</v>
      </c>
      <c r="Y236" s="1"/>
      <c r="Z236" s="5">
        <f t="shared" ref="Z236:Z241" si="109">IF(T236=0,0,X236/T236)</f>
        <v>-5.1697919810488067</v>
      </c>
    </row>
    <row r="237" spans="1:26" s="24" customFormat="1" hidden="1" outlineLevel="2" x14ac:dyDescent="0.25">
      <c r="A237" s="29"/>
      <c r="B237" s="11" t="str">
        <f>CONCATENATE("          ", "6376", " - ", "TRAINING")</f>
        <v xml:space="preserve">          6376 - TRAINING</v>
      </c>
      <c r="C237" s="11"/>
      <c r="D237" s="7">
        <v>6530.86</v>
      </c>
      <c r="E237" s="2"/>
      <c r="F237" s="6">
        <f t="shared" si="102"/>
        <v>2.3063193604616942E-3</v>
      </c>
      <c r="G237" s="2"/>
      <c r="H237" s="7">
        <v>-1834.05</v>
      </c>
      <c r="I237" s="2"/>
      <c r="J237" s="6">
        <f t="shared" si="103"/>
        <v>-5.7938842385688429E-4</v>
      </c>
      <c r="K237" s="2"/>
      <c r="L237" s="7">
        <f t="shared" si="104"/>
        <v>8364.91</v>
      </c>
      <c r="M237" s="2"/>
      <c r="N237" s="6">
        <f t="shared" si="105"/>
        <v>-4.5608952863880488</v>
      </c>
      <c r="O237" s="11"/>
      <c r="P237" s="7">
        <v>7322.53</v>
      </c>
      <c r="Q237" s="2"/>
      <c r="R237" s="6">
        <f t="shared" si="106"/>
        <v>2.2583064062944979E-3</v>
      </c>
      <c r="S237" s="2"/>
      <c r="T237" s="7">
        <v>-1756.09</v>
      </c>
      <c r="U237" s="2"/>
      <c r="V237" s="6">
        <f t="shared" si="107"/>
        <v>-4.869661644964376E-4</v>
      </c>
      <c r="W237" s="2"/>
      <c r="X237" s="7">
        <f t="shared" si="108"/>
        <v>9078.619999999999</v>
      </c>
      <c r="Y237" s="2"/>
      <c r="Z237" s="6">
        <f t="shared" si="109"/>
        <v>-5.1697919810488067</v>
      </c>
    </row>
    <row r="238" spans="1:26" s="27" customFormat="1" outlineLevel="1" collapsed="1" x14ac:dyDescent="0.25">
      <c r="A238" s="28"/>
      <c r="B238" s="14" t="str">
        <f>CONCATENATE("     ","Travel                                            ")</f>
        <v xml:space="preserve">     Travel                                            </v>
      </c>
      <c r="C238" s="14"/>
      <c r="D238" s="1">
        <f>SUM(OSRRefD22_24x_0)</f>
        <v>184.35</v>
      </c>
      <c r="E238" s="1"/>
      <c r="F238" s="5">
        <f t="shared" si="102"/>
        <v>6.5101682489153556E-5</v>
      </c>
      <c r="G238" s="1"/>
      <c r="H238" s="1">
        <f>SUM(OSRRefH22_24x_0)</f>
        <v>359.96999999999997</v>
      </c>
      <c r="I238" s="1"/>
      <c r="J238" s="5">
        <f t="shared" si="103"/>
        <v>1.1371688391034194E-4</v>
      </c>
      <c r="K238" s="1"/>
      <c r="L238" s="1">
        <f t="shared" si="104"/>
        <v>-175.61999999999998</v>
      </c>
      <c r="M238" s="1"/>
      <c r="N238" s="5">
        <f t="shared" si="105"/>
        <v>-0.48787398949912492</v>
      </c>
      <c r="O238" s="14"/>
      <c r="P238" s="1">
        <f>SUM(OSRRefP22_24x_0)</f>
        <v>406.03</v>
      </c>
      <c r="Q238" s="1"/>
      <c r="R238" s="5">
        <f t="shared" si="106"/>
        <v>1.2522176763328451E-4</v>
      </c>
      <c r="S238" s="1"/>
      <c r="T238" s="1">
        <f>SUM(OSRRefT22_24x_0)</f>
        <v>604.22</v>
      </c>
      <c r="U238" s="1"/>
      <c r="V238" s="5">
        <f t="shared" si="107"/>
        <v>1.6755103435019705E-4</v>
      </c>
      <c r="W238" s="1"/>
      <c r="X238" s="1">
        <f t="shared" si="108"/>
        <v>-198.19000000000005</v>
      </c>
      <c r="Y238" s="1"/>
      <c r="Z238" s="5">
        <f t="shared" si="109"/>
        <v>-0.3280096653536792</v>
      </c>
    </row>
    <row r="239" spans="1:26" s="24" customFormat="1" hidden="1" outlineLevel="2" x14ac:dyDescent="0.25">
      <c r="A239" s="29"/>
      <c r="B239" s="11" t="str">
        <f>CONCATENATE("          ", "6292", " - ", "TRAVEL/CONFERENCE")</f>
        <v xml:space="preserve">          6292 - TRAVEL/CONFERENCE</v>
      </c>
      <c r="C239" s="11"/>
      <c r="D239" s="7">
        <v>100.16</v>
      </c>
      <c r="E239" s="2"/>
      <c r="F239" s="6">
        <f t="shared" si="102"/>
        <v>3.5370678156298453E-5</v>
      </c>
      <c r="G239" s="2"/>
      <c r="H239" s="7">
        <v>229.64</v>
      </c>
      <c r="I239" s="2"/>
      <c r="J239" s="6">
        <f t="shared" si="103"/>
        <v>7.2544782123985113E-5</v>
      </c>
      <c r="K239" s="2"/>
      <c r="L239" s="7">
        <f t="shared" si="104"/>
        <v>-129.47999999999999</v>
      </c>
      <c r="M239" s="2"/>
      <c r="N239" s="6">
        <f t="shared" si="105"/>
        <v>-0.5638390524298903</v>
      </c>
      <c r="O239" s="11"/>
      <c r="P239" s="7">
        <v>250.64</v>
      </c>
      <c r="Q239" s="2"/>
      <c r="R239" s="6">
        <f t="shared" si="106"/>
        <v>7.7298681968343306E-5</v>
      </c>
      <c r="S239" s="2"/>
      <c r="T239" s="7">
        <v>353.48</v>
      </c>
      <c r="U239" s="2"/>
      <c r="V239" s="6">
        <f t="shared" si="107"/>
        <v>9.8020488600356924E-5</v>
      </c>
      <c r="W239" s="2"/>
      <c r="X239" s="7">
        <f t="shared" si="108"/>
        <v>-102.84000000000003</v>
      </c>
      <c r="Y239" s="2"/>
      <c r="Z239" s="6">
        <f t="shared" si="109"/>
        <v>-0.29093583795405686</v>
      </c>
    </row>
    <row r="240" spans="1:26" s="24" customFormat="1" hidden="1" outlineLevel="2" x14ac:dyDescent="0.25">
      <c r="A240" s="29"/>
      <c r="B240" s="11" t="str">
        <f>CONCATENATE("          ", "6294", " - ", "TRAVEL OPERATIONAL")</f>
        <v xml:space="preserve">          6294 - TRAVEL OPERATIONAL</v>
      </c>
      <c r="C240" s="11"/>
      <c r="D240" s="7">
        <v>68.67</v>
      </c>
      <c r="E240" s="2"/>
      <c r="F240" s="6">
        <f t="shared" si="102"/>
        <v>2.4250244299051668E-5</v>
      </c>
      <c r="G240" s="2"/>
      <c r="H240" s="7">
        <v>102.9</v>
      </c>
      <c r="I240" s="2"/>
      <c r="J240" s="6">
        <f t="shared" si="103"/>
        <v>3.2506784883113002E-5</v>
      </c>
      <c r="K240" s="2"/>
      <c r="L240" s="7">
        <f t="shared" si="104"/>
        <v>-34.230000000000004</v>
      </c>
      <c r="M240" s="2"/>
      <c r="N240" s="6">
        <f t="shared" si="105"/>
        <v>-0.33265306122448984</v>
      </c>
      <c r="O240" s="11"/>
      <c r="P240" s="7">
        <v>68.67</v>
      </c>
      <c r="Q240" s="2"/>
      <c r="R240" s="6">
        <f t="shared" si="106"/>
        <v>2.1178185807397601E-5</v>
      </c>
      <c r="S240" s="2"/>
      <c r="T240" s="7">
        <v>199.96</v>
      </c>
      <c r="U240" s="2"/>
      <c r="V240" s="6">
        <f t="shared" si="107"/>
        <v>5.5449182133437168E-5</v>
      </c>
      <c r="W240" s="2"/>
      <c r="X240" s="7">
        <f t="shared" si="108"/>
        <v>-131.29000000000002</v>
      </c>
      <c r="Y240" s="2"/>
      <c r="Z240" s="6">
        <f t="shared" si="109"/>
        <v>-0.65658131626325278</v>
      </c>
    </row>
    <row r="241" spans="1:26" s="24" customFormat="1" hidden="1" outlineLevel="2" x14ac:dyDescent="0.25">
      <c r="A241" s="29"/>
      <c r="B241" s="11" t="str">
        <f>CONCATENATE("          ", "6298", " - ", "VEHICLE MILEAGE")</f>
        <v xml:space="preserve">          6298 - VEHICLE MILEAGE</v>
      </c>
      <c r="C241" s="11"/>
      <c r="D241" s="7">
        <v>15.52</v>
      </c>
      <c r="E241" s="2"/>
      <c r="F241" s="6">
        <f t="shared" si="102"/>
        <v>5.4807600338034348E-6</v>
      </c>
      <c r="G241" s="2"/>
      <c r="H241" s="7">
        <v>27.43</v>
      </c>
      <c r="I241" s="2"/>
      <c r="J241" s="6">
        <f t="shared" si="103"/>
        <v>8.6653169032438242E-6</v>
      </c>
      <c r="K241" s="2"/>
      <c r="L241" s="7">
        <f t="shared" si="104"/>
        <v>-11.91</v>
      </c>
      <c r="M241" s="2"/>
      <c r="N241" s="6">
        <f t="shared" si="105"/>
        <v>-0.43419613561793657</v>
      </c>
      <c r="O241" s="11"/>
      <c r="P241" s="7">
        <v>86.72</v>
      </c>
      <c r="Q241" s="2"/>
      <c r="R241" s="6">
        <f t="shared" si="106"/>
        <v>2.6744899857543616E-5</v>
      </c>
      <c r="S241" s="2"/>
      <c r="T241" s="7">
        <v>50.78</v>
      </c>
      <c r="U241" s="2"/>
      <c r="V241" s="6">
        <f t="shared" si="107"/>
        <v>1.4081363616402976E-5</v>
      </c>
      <c r="W241" s="2"/>
      <c r="X241" s="7">
        <f t="shared" si="108"/>
        <v>35.94</v>
      </c>
      <c r="Y241" s="2"/>
      <c r="Z241" s="6">
        <f t="shared" si="109"/>
        <v>0.70775896022055917</v>
      </c>
    </row>
    <row r="242" spans="1:26" s="27" customFormat="1" outlineLevel="1" collapsed="1" x14ac:dyDescent="0.25">
      <c r="A242" s="28"/>
      <c r="B242" s="14" t="str">
        <f>CONCATENATE("     ","Utilities                                         ")</f>
        <v xml:space="preserve">     Utilities                                         </v>
      </c>
      <c r="C242" s="14"/>
      <c r="D242" s="1">
        <f>SUM(OSRRefD22_25x_0)</f>
        <v>-849.1</v>
      </c>
      <c r="E242" s="1"/>
      <c r="F242" s="5">
        <f t="shared" ref="F242:F243" si="110">IF(D$12=0,0,D242/D$12)</f>
        <v>-2.9985266396278973E-4</v>
      </c>
      <c r="G242" s="1"/>
      <c r="H242" s="1">
        <f>SUM(OSRRefH22_25x_0)</f>
        <v>7126.11</v>
      </c>
      <c r="I242" s="1"/>
      <c r="J242" s="5">
        <f t="shared" ref="J242:J243" si="111">IF(H$12=0,0,H242/H$12)</f>
        <v>2.2511848865247848E-3</v>
      </c>
      <c r="K242" s="1"/>
      <c r="L242" s="1">
        <f t="shared" ref="L242:L243" si="112">+D242-H242</f>
        <v>-7975.21</v>
      </c>
      <c r="M242" s="1"/>
      <c r="N242" s="5">
        <f t="shared" ref="N242:N243" si="113">IF(H242=0,0,L242/H242)</f>
        <v>-1.1191533669842313</v>
      </c>
      <c r="O242" s="14"/>
      <c r="P242" s="1">
        <f>SUM(OSRRefP22_25x_0)</f>
        <v>5745.9</v>
      </c>
      <c r="Q242" s="1"/>
      <c r="R242" s="5">
        <f t="shared" ref="R242:R243" si="114">IF(P$12=0,0,P242/P$12)</f>
        <v>1.7720654992096384E-3</v>
      </c>
      <c r="S242" s="1"/>
      <c r="T242" s="1">
        <f>SUM(OSRRefT22_25x_0)</f>
        <v>14215.36</v>
      </c>
      <c r="U242" s="1"/>
      <c r="V242" s="5">
        <f t="shared" ref="V242:V243" si="115">IF(T$12=0,0,T242/T$12)</f>
        <v>3.9419388164251721E-3</v>
      </c>
      <c r="W242" s="1"/>
      <c r="X242" s="1">
        <f t="shared" ref="X242:X243" si="116">+P242-T242</f>
        <v>-8469.4600000000009</v>
      </c>
      <c r="Y242" s="1"/>
      <c r="Z242" s="5">
        <f t="shared" ref="Z242:Z243" si="117">IF(T242=0,0,X242/T242)</f>
        <v>-0.59579637800238616</v>
      </c>
    </row>
    <row r="243" spans="1:26" s="24" customFormat="1" hidden="1" outlineLevel="2" x14ac:dyDescent="0.25">
      <c r="A243" s="29"/>
      <c r="B243" s="11" t="str">
        <f>CONCATENATE("          ", "6274", " - ", "UTILITIES")</f>
        <v xml:space="preserve">          6274 - UTILITIES</v>
      </c>
      <c r="C243" s="11"/>
      <c r="D243" s="7">
        <v>-849.1</v>
      </c>
      <c r="E243" s="2"/>
      <c r="F243" s="6">
        <f t="shared" si="110"/>
        <v>-2.9985266396278973E-4</v>
      </c>
      <c r="G243" s="2"/>
      <c r="H243" s="7">
        <v>7126.11</v>
      </c>
      <c r="I243" s="2"/>
      <c r="J243" s="6">
        <f t="shared" si="111"/>
        <v>2.2511848865247848E-3</v>
      </c>
      <c r="K243" s="2"/>
      <c r="L243" s="7">
        <f t="shared" si="112"/>
        <v>-7975.21</v>
      </c>
      <c r="M243" s="2"/>
      <c r="N243" s="6">
        <f t="shared" si="113"/>
        <v>-1.1191533669842313</v>
      </c>
      <c r="O243" s="11"/>
      <c r="P243" s="7">
        <v>5745.9</v>
      </c>
      <c r="Q243" s="2"/>
      <c r="R243" s="6">
        <f t="shared" si="114"/>
        <v>1.7720654992096384E-3</v>
      </c>
      <c r="S243" s="2"/>
      <c r="T243" s="7">
        <v>14215.36</v>
      </c>
      <c r="U243" s="2"/>
      <c r="V243" s="6">
        <f t="shared" si="115"/>
        <v>3.9419388164251721E-3</v>
      </c>
      <c r="W243" s="2"/>
      <c r="X243" s="7">
        <f t="shared" si="116"/>
        <v>-8469.4600000000009</v>
      </c>
      <c r="Y243" s="2"/>
      <c r="Z243" s="6">
        <f t="shared" si="117"/>
        <v>-0.59579637800238616</v>
      </c>
    </row>
    <row r="244" spans="1:26" s="62" customFormat="1" x14ac:dyDescent="0.25">
      <c r="A244" s="37"/>
      <c r="B244" s="37"/>
      <c r="C244" s="37"/>
      <c r="D244" s="1"/>
      <c r="E244" s="1"/>
      <c r="F244" s="5"/>
      <c r="G244" s="1"/>
      <c r="H244" s="1"/>
      <c r="I244" s="1"/>
      <c r="J244" s="5"/>
      <c r="K244" s="1"/>
      <c r="L244" s="1"/>
      <c r="M244" s="1"/>
      <c r="N244" s="5"/>
      <c r="O244" s="37"/>
      <c r="P244" s="1"/>
      <c r="Q244" s="1"/>
      <c r="R244" s="5"/>
      <c r="S244" s="1"/>
      <c r="T244" s="1"/>
      <c r="U244" s="1"/>
      <c r="V244" s="5"/>
      <c r="W244" s="1"/>
      <c r="X244" s="1"/>
      <c r="Y244" s="1"/>
      <c r="Z244" s="5"/>
    </row>
    <row r="245" spans="1:26" s="23" customFormat="1" collapsed="1" x14ac:dyDescent="0.25">
      <c r="A245" s="10"/>
      <c r="B245" s="25" t="s">
        <v>0</v>
      </c>
      <c r="C245" s="10"/>
      <c r="D245" s="4">
        <f>SUM(OSRRefD25x_0)</f>
        <v>50335.740000000005</v>
      </c>
      <c r="E245" s="4"/>
      <c r="F245" s="12">
        <f t="shared" ref="F245:F252" si="118">IF(D$12=0,0,D245/D$12)</f>
        <v>1.777565155051037E-2</v>
      </c>
      <c r="G245" s="4"/>
      <c r="H245" s="4">
        <f>SUM(OSRRefH25x_0)</f>
        <v>72199.86</v>
      </c>
      <c r="I245" s="4"/>
      <c r="J245" s="12">
        <f t="shared" ref="J245:J252" si="119">IF(H$12=0,0,H245/H$12)</f>
        <v>2.2808409306228131E-2</v>
      </c>
      <c r="K245" s="4"/>
      <c r="L245" s="4">
        <f t="shared" ref="L245:L252" si="120">+D245-H245</f>
        <v>-21864.119999999995</v>
      </c>
      <c r="M245" s="4"/>
      <c r="N245" s="12">
        <f t="shared" ref="N245:N252" si="121">IF(H245=0,0,L245/H245)</f>
        <v>-0.30282773401499663</v>
      </c>
      <c r="O245" s="10"/>
      <c r="P245" s="4">
        <f>SUM(OSRRefP25x_0)</f>
        <v>121202.85</v>
      </c>
      <c r="Q245" s="4"/>
      <c r="R245" s="12">
        <f t="shared" ref="R245:R252" si="122">IF(P$12=0,0,P245/P$12)</f>
        <v>3.7379590471619928E-2</v>
      </c>
      <c r="S245" s="4"/>
      <c r="T245" s="4">
        <f>SUM(OSRRefT25x_0)</f>
        <v>152162.42000000001</v>
      </c>
      <c r="U245" s="4"/>
      <c r="V245" s="12">
        <f t="shared" ref="V245:V252" si="123">IF(T$12=0,0,T245/T$12)</f>
        <v>4.2194847671757164E-2</v>
      </c>
      <c r="W245" s="4"/>
      <c r="X245" s="4">
        <f t="shared" ref="X245:X252" si="124">+P245-T245</f>
        <v>-30959.570000000007</v>
      </c>
      <c r="Y245" s="4"/>
      <c r="Z245" s="12">
        <f t="shared" ref="Z245:Z252" si="125">IF(T245=0,0,X245/T245)</f>
        <v>-0.20346396961877974</v>
      </c>
    </row>
    <row r="246" spans="1:26" s="24" customFormat="1" hidden="1" outlineLevel="1" x14ac:dyDescent="0.25">
      <c r="A246" s="50"/>
      <c r="B246" s="11" t="str">
        <f>CONCATENATE("          ", "4098", " - ", "TAXABLE SALES-GRAD RENTALS")</f>
        <v xml:space="preserve">          4098 - TAXABLE SALES-GRAD RENTALS</v>
      </c>
      <c r="C246" s="11"/>
      <c r="D246" s="2">
        <f>--1552.15</f>
        <v>1552.15</v>
      </c>
      <c r="E246" s="2"/>
      <c r="F246" s="21">
        <f t="shared" si="118"/>
        <v>5.4812897464355677E-4</v>
      </c>
      <c r="G246" s="2"/>
      <c r="H246" s="2">
        <f>0</f>
        <v>0</v>
      </c>
      <c r="I246" s="2"/>
      <c r="J246" s="21">
        <f t="shared" si="119"/>
        <v>0</v>
      </c>
      <c r="K246" s="2"/>
      <c r="L246" s="2">
        <f t="shared" si="120"/>
        <v>1552.15</v>
      </c>
      <c r="M246" s="2"/>
      <c r="N246" s="21">
        <f t="shared" si="121"/>
        <v>0</v>
      </c>
      <c r="O246" s="11"/>
      <c r="P246" s="2">
        <f>--1626.85</f>
        <v>1626.85</v>
      </c>
      <c r="Q246" s="2"/>
      <c r="R246" s="21">
        <f t="shared" si="122"/>
        <v>5.0172901675789696E-4</v>
      </c>
      <c r="S246" s="2"/>
      <c r="T246" s="2">
        <f>0</f>
        <v>0</v>
      </c>
      <c r="U246" s="2"/>
      <c r="V246" s="21">
        <f t="shared" si="123"/>
        <v>0</v>
      </c>
      <c r="W246" s="2"/>
      <c r="X246" s="2">
        <f t="shared" si="124"/>
        <v>1626.85</v>
      </c>
      <c r="Y246" s="2"/>
      <c r="Z246" s="21">
        <f t="shared" si="125"/>
        <v>0</v>
      </c>
    </row>
    <row r="247" spans="1:26" s="24" customFormat="1" hidden="1" outlineLevel="1" x14ac:dyDescent="0.25">
      <c r="A247" s="50"/>
      <c r="B247" s="11" t="str">
        <f>CONCATENATE("          ", "4197", " - ", "NON-TAXABLE SALES-RETURNED CHE")</f>
        <v xml:space="preserve">          4197 - NON-TAXABLE SALES-RETURNED CHE</v>
      </c>
      <c r="C247" s="11"/>
      <c r="D247" s="2">
        <f>--30</f>
        <v>30</v>
      </c>
      <c r="E247" s="2"/>
      <c r="F247" s="21">
        <f t="shared" si="118"/>
        <v>1.0594252642661278E-5</v>
      </c>
      <c r="G247" s="2"/>
      <c r="H247" s="2">
        <f>--120</f>
        <v>120</v>
      </c>
      <c r="I247" s="2"/>
      <c r="J247" s="21">
        <f t="shared" si="119"/>
        <v>3.7908787035700287E-5</v>
      </c>
      <c r="K247" s="2"/>
      <c r="L247" s="2">
        <f t="shared" si="120"/>
        <v>-90</v>
      </c>
      <c r="M247" s="2"/>
      <c r="N247" s="21">
        <f t="shared" si="121"/>
        <v>-0.75</v>
      </c>
      <c r="O247" s="11"/>
      <c r="P247" s="2">
        <f>--30</f>
        <v>30</v>
      </c>
      <c r="Q247" s="2"/>
      <c r="R247" s="21">
        <f t="shared" si="122"/>
        <v>9.2521563160321555E-6</v>
      </c>
      <c r="S247" s="2"/>
      <c r="T247" s="2">
        <f>--120</f>
        <v>120</v>
      </c>
      <c r="U247" s="2"/>
      <c r="V247" s="21">
        <f t="shared" si="123"/>
        <v>3.3276164512964894E-5</v>
      </c>
      <c r="W247" s="2"/>
      <c r="X247" s="2">
        <f t="shared" si="124"/>
        <v>-90</v>
      </c>
      <c r="Y247" s="2"/>
      <c r="Z247" s="21">
        <f t="shared" si="125"/>
        <v>-0.75</v>
      </c>
    </row>
    <row r="248" spans="1:26" s="24" customFormat="1" hidden="1" outlineLevel="1" x14ac:dyDescent="0.25">
      <c r="A248" s="50"/>
      <c r="B248" s="11" t="str">
        <f>CONCATENATE("          ", "4198", " - ", "NON-TAXABLE SALES-GRAD RENTALS")</f>
        <v xml:space="preserve">          4198 - NON-TAXABLE SALES-GRAD RENTALS</v>
      </c>
      <c r="C248" s="11"/>
      <c r="D248" s="2">
        <f>--210</f>
        <v>210</v>
      </c>
      <c r="E248" s="2"/>
      <c r="F248" s="21">
        <f t="shared" si="118"/>
        <v>7.4159768498628943E-5</v>
      </c>
      <c r="G248" s="2"/>
      <c r="H248" s="2">
        <f>--60</f>
        <v>60</v>
      </c>
      <c r="I248" s="2"/>
      <c r="J248" s="21">
        <f t="shared" si="119"/>
        <v>1.8954393517850144E-5</v>
      </c>
      <c r="K248" s="2"/>
      <c r="L248" s="2">
        <f t="shared" si="120"/>
        <v>150</v>
      </c>
      <c r="M248" s="2"/>
      <c r="N248" s="21">
        <f t="shared" si="121"/>
        <v>2.5</v>
      </c>
      <c r="O248" s="11"/>
      <c r="P248" s="2">
        <f>--465</f>
        <v>465</v>
      </c>
      <c r="Q248" s="2"/>
      <c r="R248" s="21">
        <f t="shared" si="122"/>
        <v>1.434084228984984E-4</v>
      </c>
      <c r="S248" s="2"/>
      <c r="T248" s="2">
        <f>--405</f>
        <v>405</v>
      </c>
      <c r="U248" s="2"/>
      <c r="V248" s="21">
        <f t="shared" si="123"/>
        <v>1.1230705523125651E-4</v>
      </c>
      <c r="W248" s="2"/>
      <c r="X248" s="2">
        <f t="shared" si="124"/>
        <v>60</v>
      </c>
      <c r="Y248" s="2"/>
      <c r="Z248" s="21">
        <f t="shared" si="125"/>
        <v>0.14814814814814814</v>
      </c>
    </row>
    <row r="249" spans="1:26" s="24" customFormat="1" hidden="1" outlineLevel="1" x14ac:dyDescent="0.25">
      <c r="A249" s="50"/>
      <c r="B249" s="11" t="str">
        <f>CONCATENATE("          ", "9150", " - ", "MISC. INCOME")</f>
        <v xml:space="preserve">          9150 - MISC. INCOME</v>
      </c>
      <c r="C249" s="11"/>
      <c r="D249" s="2">
        <f>--27536.18</f>
        <v>27536.18</v>
      </c>
      <c r="E249" s="2"/>
      <c r="F249" s="21">
        <f t="shared" si="118"/>
        <v>9.7241749244598875E-3</v>
      </c>
      <c r="G249" s="2"/>
      <c r="H249" s="2">
        <f>--71691.89</f>
        <v>71691.89</v>
      </c>
      <c r="I249" s="2"/>
      <c r="J249" s="21">
        <f t="shared" si="119"/>
        <v>2.2647938251640427E-2</v>
      </c>
      <c r="K249" s="2"/>
      <c r="L249" s="2">
        <f t="shared" si="120"/>
        <v>-44155.71</v>
      </c>
      <c r="M249" s="2"/>
      <c r="N249" s="21">
        <f t="shared" si="121"/>
        <v>-0.61590941457952919</v>
      </c>
      <c r="O249" s="11"/>
      <c r="P249" s="2">
        <f>--98168.08</f>
        <v>98168.08</v>
      </c>
      <c r="Q249" s="2"/>
      <c r="R249" s="21">
        <f t="shared" si="122"/>
        <v>3.0275547380158328E-2</v>
      </c>
      <c r="S249" s="2"/>
      <c r="T249" s="2">
        <f>--150277.75</f>
        <v>150277.75</v>
      </c>
      <c r="U249" s="2"/>
      <c r="V249" s="21">
        <f t="shared" si="123"/>
        <v>4.1672226096985079E-2</v>
      </c>
      <c r="W249" s="2"/>
      <c r="X249" s="2">
        <f t="shared" si="124"/>
        <v>-52109.67</v>
      </c>
      <c r="Y249" s="2"/>
      <c r="Z249" s="21">
        <f t="shared" si="125"/>
        <v>-0.34675572398442217</v>
      </c>
    </row>
    <row r="250" spans="1:26" s="24" customFormat="1" hidden="1" outlineLevel="1" x14ac:dyDescent="0.25">
      <c r="A250" s="50"/>
      <c r="B250" s="11" t="str">
        <f>CONCATENATE("          ", "9151", " - ", "MISC. INCOME")</f>
        <v xml:space="preserve">          9151 - MISC. INCOME</v>
      </c>
      <c r="C250" s="11"/>
      <c r="D250" s="2">
        <f>-170.02</f>
        <v>-170.02</v>
      </c>
      <c r="E250" s="2"/>
      <c r="F250" s="21">
        <f t="shared" si="118"/>
        <v>-6.0041161143509022E-5</v>
      </c>
      <c r="G250" s="2"/>
      <c r="H250" s="2">
        <f>--135.53</f>
        <v>135.53</v>
      </c>
      <c r="I250" s="2"/>
      <c r="J250" s="21">
        <f t="shared" si="119"/>
        <v>4.2814815891237167E-5</v>
      </c>
      <c r="K250" s="2"/>
      <c r="L250" s="2">
        <f t="shared" si="120"/>
        <v>-305.55</v>
      </c>
      <c r="M250" s="2"/>
      <c r="N250" s="21">
        <f t="shared" si="121"/>
        <v>-2.2544824024201287</v>
      </c>
      <c r="O250" s="11"/>
      <c r="P250" s="2">
        <f>-264.51</f>
        <v>-264.51</v>
      </c>
      <c r="Q250" s="2"/>
      <c r="R250" s="21">
        <f t="shared" si="122"/>
        <v>-8.1576262238455512E-5</v>
      </c>
      <c r="S250" s="2"/>
      <c r="T250" s="2">
        <f>--394.89</f>
        <v>394.89</v>
      </c>
      <c r="U250" s="2"/>
      <c r="V250" s="21">
        <f t="shared" si="123"/>
        <v>1.0950353837103921E-4</v>
      </c>
      <c r="W250" s="2"/>
      <c r="X250" s="2">
        <f t="shared" si="124"/>
        <v>-659.4</v>
      </c>
      <c r="Y250" s="2"/>
      <c r="Z250" s="21">
        <f t="shared" si="125"/>
        <v>-1.6698321051432043</v>
      </c>
    </row>
    <row r="251" spans="1:26" s="24" customFormat="1" hidden="1" outlineLevel="1" x14ac:dyDescent="0.25">
      <c r="A251" s="50"/>
      <c r="B251" s="11" t="str">
        <f>CONCATENATE("          ", "9152", " - ", "MISC. INCOME")</f>
        <v xml:space="preserve">          9152 - MISC. INCOME</v>
      </c>
      <c r="C251" s="11"/>
      <c r="D251" s="2">
        <f>--7.43</f>
        <v>7.43</v>
      </c>
      <c r="E251" s="2"/>
      <c r="F251" s="21">
        <f t="shared" si="118"/>
        <v>2.623843237832443E-6</v>
      </c>
      <c r="G251" s="2"/>
      <c r="H251" s="2">
        <f>--192.44</f>
        <v>192.44</v>
      </c>
      <c r="I251" s="2"/>
      <c r="J251" s="21">
        <f t="shared" si="119"/>
        <v>6.079305814291803E-5</v>
      </c>
      <c r="K251" s="2"/>
      <c r="L251" s="2">
        <f t="shared" si="120"/>
        <v>-185.01</v>
      </c>
      <c r="M251" s="2"/>
      <c r="N251" s="21">
        <f t="shared" si="121"/>
        <v>-0.96139056329245476</v>
      </c>
      <c r="O251" s="11"/>
      <c r="P251" s="2">
        <f>--7.43</f>
        <v>7.43</v>
      </c>
      <c r="Q251" s="2"/>
      <c r="R251" s="21">
        <f t="shared" si="122"/>
        <v>2.2914507142706301E-6</v>
      </c>
      <c r="S251" s="2"/>
      <c r="T251" s="2">
        <f>--964.78</f>
        <v>964.78</v>
      </c>
      <c r="U251" s="2"/>
      <c r="V251" s="21">
        <f t="shared" si="123"/>
        <v>2.6753481665681887E-4</v>
      </c>
      <c r="W251" s="2"/>
      <c r="X251" s="2">
        <f t="shared" si="124"/>
        <v>-957.35</v>
      </c>
      <c r="Y251" s="2"/>
      <c r="Z251" s="21">
        <f t="shared" si="125"/>
        <v>-0.9922987624121562</v>
      </c>
    </row>
    <row r="252" spans="1:26" s="24" customFormat="1" hidden="1" outlineLevel="1" x14ac:dyDescent="0.25">
      <c r="A252" s="50"/>
      <c r="B252" s="11" t="str">
        <f>CONCATENATE("          ", "9160", " - ", "MISC. INCOME")</f>
        <v xml:space="preserve">          9160 - MISC. INCOME</v>
      </c>
      <c r="C252" s="11"/>
      <c r="D252" s="2">
        <f>--21170</f>
        <v>21170</v>
      </c>
      <c r="E252" s="2"/>
      <c r="F252" s="21">
        <f t="shared" si="118"/>
        <v>7.4760109481713088E-3</v>
      </c>
      <c r="G252" s="2"/>
      <c r="H252" s="2">
        <f>0</f>
        <v>0</v>
      </c>
      <c r="I252" s="2"/>
      <c r="J252" s="21">
        <f t="shared" si="119"/>
        <v>0</v>
      </c>
      <c r="K252" s="2"/>
      <c r="L252" s="2">
        <f t="shared" si="120"/>
        <v>21170</v>
      </c>
      <c r="M252" s="2"/>
      <c r="N252" s="21">
        <f t="shared" si="121"/>
        <v>0</v>
      </c>
      <c r="O252" s="11"/>
      <c r="P252" s="2">
        <f>--21170</f>
        <v>21170</v>
      </c>
      <c r="Q252" s="2"/>
      <c r="R252" s="21">
        <f t="shared" si="122"/>
        <v>6.5289383070133572E-3</v>
      </c>
      <c r="S252" s="2"/>
      <c r="T252" s="2">
        <f>0</f>
        <v>0</v>
      </c>
      <c r="U252" s="2"/>
      <c r="V252" s="21">
        <f t="shared" si="123"/>
        <v>0</v>
      </c>
      <c r="W252" s="2"/>
      <c r="X252" s="2">
        <f t="shared" si="124"/>
        <v>21170</v>
      </c>
      <c r="Y252" s="2"/>
      <c r="Z252" s="21">
        <f t="shared" si="125"/>
        <v>0</v>
      </c>
    </row>
    <row r="253" spans="1:26" x14ac:dyDescent="0.25">
      <c r="A253" s="9"/>
      <c r="B253" s="10"/>
      <c r="C253" s="10"/>
      <c r="D253" s="3"/>
      <c r="E253" s="3"/>
      <c r="F253" s="8"/>
      <c r="G253" s="3"/>
      <c r="H253" s="3"/>
      <c r="I253" s="3"/>
      <c r="J253" s="8"/>
      <c r="K253" s="3"/>
      <c r="L253" s="3"/>
      <c r="M253" s="3"/>
      <c r="N253" s="8"/>
      <c r="O253" s="10"/>
      <c r="P253" s="3"/>
      <c r="Q253" s="3"/>
      <c r="R253" s="8"/>
      <c r="S253" s="3"/>
      <c r="T253" s="3"/>
      <c r="U253" s="3"/>
      <c r="V253" s="8"/>
      <c r="W253" s="3"/>
      <c r="X253" s="3"/>
      <c r="Y253" s="3"/>
      <c r="Z253" s="8"/>
    </row>
    <row r="254" spans="1:26" s="23" customFormat="1" x14ac:dyDescent="0.25">
      <c r="A254" s="10"/>
      <c r="B254" s="26" t="s">
        <v>3</v>
      </c>
      <c r="C254" s="26"/>
      <c r="D254" s="20">
        <f>+D154-D156+D245</f>
        <v>547493.23999999953</v>
      </c>
      <c r="E254" s="13"/>
      <c r="F254" s="19">
        <f>IF(D$12=0,0,D254/D$12)</f>
        <v>0.19334272349030601</v>
      </c>
      <c r="G254" s="13"/>
      <c r="H254" s="20">
        <f>+H154-H156+H245</f>
        <v>613436.49999999919</v>
      </c>
      <c r="I254" s="13"/>
      <c r="J254" s="19">
        <f>IF(H$12=0,0,H254/H$12)</f>
        <v>0.19378861365354441</v>
      </c>
      <c r="K254" s="15"/>
      <c r="L254" s="20">
        <f>+D254-H254</f>
        <v>-65943.25999999966</v>
      </c>
      <c r="M254" s="15"/>
      <c r="N254" s="19">
        <f>IF(H254=0,0,L254/H254)</f>
        <v>-0.10749810290062581</v>
      </c>
      <c r="O254" s="25"/>
      <c r="P254" s="20">
        <f>+P154-P156+P245</f>
        <v>369445.94999999949</v>
      </c>
      <c r="Q254" s="13"/>
      <c r="R254" s="19">
        <f>IF(P$12=0,0,P254/P$12)</f>
        <v>0.11393905599083316</v>
      </c>
      <c r="S254" s="13"/>
      <c r="T254" s="20">
        <f>+T154-T156+T245</f>
        <v>425636.95000000088</v>
      </c>
      <c r="U254" s="13"/>
      <c r="V254" s="19">
        <f>IF(T$12=0,0,T254/T$12)</f>
        <v>0.11802970975830535</v>
      </c>
      <c r="W254" s="15"/>
      <c r="X254" s="20">
        <f>+P254-T254</f>
        <v>-56191.000000001397</v>
      </c>
      <c r="Y254" s="15"/>
      <c r="Z254" s="19">
        <f>IF(T254=0,0,X254/T254)</f>
        <v>-0.13201626409549566</v>
      </c>
    </row>
    <row r="255" spans="1:26" x14ac:dyDescent="0.25">
      <c r="A255" s="9"/>
      <c r="B255" s="10"/>
      <c r="C255" s="9"/>
      <c r="D255" s="3"/>
      <c r="E255" s="3"/>
      <c r="F255" s="8"/>
      <c r="G255" s="3"/>
      <c r="H255" s="3"/>
      <c r="I255" s="3"/>
      <c r="J255" s="8"/>
      <c r="K255" s="3"/>
      <c r="L255" s="3"/>
      <c r="M255" s="3"/>
      <c r="N255" s="8"/>
      <c r="P255" s="3"/>
      <c r="Q255" s="3"/>
      <c r="R255" s="8"/>
      <c r="S255" s="3"/>
      <c r="T255" s="3"/>
      <c r="U255" s="3"/>
      <c r="V255" s="8"/>
      <c r="W255" s="3"/>
      <c r="X255" s="3"/>
      <c r="Y255" s="3"/>
      <c r="Z255" s="8"/>
    </row>
    <row r="256" spans="1:26" s="23" customFormat="1" x14ac:dyDescent="0.25">
      <c r="A256" s="51"/>
      <c r="B256" s="10" t="s">
        <v>13</v>
      </c>
      <c r="C256" s="10"/>
      <c r="D256" s="4">
        <v>318869.24</v>
      </c>
      <c r="E256" s="4"/>
      <c r="F256" s="12">
        <f>IF(D$12=0,0,D256/D$12)</f>
        <v>0.11260604295111311</v>
      </c>
      <c r="G256" s="4"/>
      <c r="H256" s="4">
        <v>277700.13</v>
      </c>
      <c r="I256" s="4"/>
      <c r="J256" s="12">
        <f>IF(H$12=0,0,H256/H$12)</f>
        <v>8.7727292399635712E-2</v>
      </c>
      <c r="K256" s="4"/>
      <c r="L256" s="4">
        <f>+D256-H256</f>
        <v>41169.109999999986</v>
      </c>
      <c r="M256" s="4"/>
      <c r="N256" s="12">
        <f>IF(H256=0,0,L256/H256)</f>
        <v>0.14825023668516102</v>
      </c>
      <c r="O256" s="10"/>
      <c r="P256" s="4">
        <v>404279.03999999998</v>
      </c>
      <c r="Q256" s="4"/>
      <c r="R256" s="12">
        <f>IF(P$12=0,0,P256/P$12)</f>
        <v>0.12468176244584719</v>
      </c>
      <c r="S256" s="4"/>
      <c r="T256" s="4">
        <v>368174.44999999995</v>
      </c>
      <c r="U256" s="4"/>
      <c r="V256" s="12">
        <f>IF(T$12=0,0,T256/T$12)</f>
        <v>0.10209527973058638</v>
      </c>
      <c r="W256" s="4"/>
      <c r="X256" s="4">
        <f>+P256-T256</f>
        <v>36104.590000000026</v>
      </c>
      <c r="Y256" s="4"/>
      <c r="Z256" s="12">
        <f>IF(T256=0,0,X256/T256)</f>
        <v>9.8063811869617865E-2</v>
      </c>
    </row>
    <row r="257" spans="1:26" x14ac:dyDescent="0.25">
      <c r="A257" s="9"/>
      <c r="B257" s="10"/>
      <c r="C257" s="10"/>
      <c r="D257" s="3"/>
      <c r="E257" s="3"/>
      <c r="F257" s="8"/>
      <c r="G257" s="3"/>
      <c r="H257" s="3"/>
      <c r="I257" s="3"/>
      <c r="J257" s="8"/>
      <c r="K257" s="3"/>
      <c r="L257" s="3"/>
      <c r="M257" s="3"/>
      <c r="N257" s="8"/>
      <c r="O257" s="10"/>
      <c r="P257" s="3"/>
      <c r="Q257" s="3"/>
      <c r="R257" s="8"/>
      <c r="S257" s="3"/>
      <c r="T257" s="3"/>
      <c r="U257" s="3"/>
      <c r="V257" s="8"/>
      <c r="W257" s="3"/>
      <c r="X257" s="3"/>
      <c r="Y257" s="3"/>
      <c r="Z257" s="8"/>
    </row>
    <row r="258" spans="1:26" s="23" customFormat="1" ht="15.75" thickBot="1" x14ac:dyDescent="0.3">
      <c r="A258" s="10"/>
      <c r="B258" s="26" t="s">
        <v>4</v>
      </c>
      <c r="C258" s="26"/>
      <c r="D258" s="31">
        <f>+D254-D256</f>
        <v>228623.99999999953</v>
      </c>
      <c r="E258" s="13"/>
      <c r="F258" s="36">
        <f>IF(D$12=0,0,D258/D$12)</f>
        <v>8.0736680539192904E-2</v>
      </c>
      <c r="G258" s="13"/>
      <c r="H258" s="31">
        <f>+H254-H256</f>
        <v>335736.36999999918</v>
      </c>
      <c r="I258" s="13"/>
      <c r="J258" s="36">
        <f>IF(H$12=0,0,H258/H$12)</f>
        <v>0.1060613212539087</v>
      </c>
      <c r="K258" s="15"/>
      <c r="L258" s="31">
        <f>D258-H258</f>
        <v>-107112.36999999965</v>
      </c>
      <c r="M258" s="15"/>
      <c r="N258" s="36">
        <f>IF(H258=0,0,L258/H258)</f>
        <v>-0.31903713619111301</v>
      </c>
      <c r="O258" s="25"/>
      <c r="P258" s="31">
        <f>+P254-P256</f>
        <v>-34833.090000000491</v>
      </c>
      <c r="Q258" s="13"/>
      <c r="R258" s="36">
        <f>IF(P$12=0,0,P258/P$12)</f>
        <v>-1.0742706455014035E-2</v>
      </c>
      <c r="S258" s="13"/>
      <c r="T258" s="31">
        <f>+T254-T256</f>
        <v>57462.500000000931</v>
      </c>
      <c r="U258" s="13"/>
      <c r="V258" s="36">
        <f>IF(T$12=0,0,T258/T$12)</f>
        <v>1.5934430027718965E-2</v>
      </c>
      <c r="W258" s="15"/>
      <c r="X258" s="31">
        <f>P258-T258</f>
        <v>-92295.590000001423</v>
      </c>
      <c r="Y258" s="15"/>
      <c r="Z258" s="36">
        <f>IF(T258=0,0,X258/T258)</f>
        <v>-1.6061882097019782</v>
      </c>
    </row>
    <row r="259" spans="1:26" ht="15.75" thickTop="1" x14ac:dyDescent="0.25">
      <c r="A259" s="9"/>
      <c r="B259" s="9"/>
      <c r="C259" s="9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x14ac:dyDescent="0.25">
      <c r="A260" s="9"/>
      <c r="B260" s="9"/>
      <c r="C260" s="9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ht="15.75" thickBot="1" x14ac:dyDescent="0.3">
      <c r="A261" s="10"/>
      <c r="B261" s="26" t="s">
        <v>5</v>
      </c>
      <c r="C261" s="26"/>
      <c r="D261" s="32">
        <f>SUM(D258:D260)</f>
        <v>228623.99999999953</v>
      </c>
      <c r="E261" s="13"/>
      <c r="F261" s="30">
        <f>IF(D$12=0,0,D261/D$12)</f>
        <v>8.0736680539192904E-2</v>
      </c>
      <c r="G261" s="13"/>
      <c r="H261" s="32">
        <f>SUM(H258:H260)</f>
        <v>335736.36999999918</v>
      </c>
      <c r="I261" s="13"/>
      <c r="J261" s="30">
        <f>IF(H$12=0,0,H261/H$12)</f>
        <v>0.1060613212539087</v>
      </c>
      <c r="K261" s="15"/>
      <c r="L261" s="32">
        <f>+D261-H261</f>
        <v>-107112.36999999965</v>
      </c>
      <c r="M261" s="15"/>
      <c r="N261" s="30">
        <f>IF(H261=0,0,L261/H261)</f>
        <v>-0.31903713619111301</v>
      </c>
      <c r="O261" s="25"/>
      <c r="P261" s="32">
        <f>SUM(P258:P260)</f>
        <v>-34833.090000000491</v>
      </c>
      <c r="Q261" s="13"/>
      <c r="R261" s="30">
        <f>IF(P$12=0,0,P261/P$12)</f>
        <v>-1.0742706455014035E-2</v>
      </c>
      <c r="S261" s="13"/>
      <c r="T261" s="32">
        <f>SUM(T258:T260)</f>
        <v>57462.500000000931</v>
      </c>
      <c r="U261" s="13"/>
      <c r="V261" s="30">
        <f>IF(T$12=0,0,T261/T$12)</f>
        <v>1.5934430027718965E-2</v>
      </c>
      <c r="W261" s="15"/>
      <c r="X261" s="32">
        <f>+P261-T261</f>
        <v>-92295.590000001423</v>
      </c>
      <c r="Y261" s="15"/>
      <c r="Z261" s="30">
        <f>IF(T261=0,0,X261/T261)</f>
        <v>-1.6061882097019782</v>
      </c>
    </row>
    <row r="262" spans="1:26" ht="15.75" thickTop="1" x14ac:dyDescent="0.25">
      <c r="A262" s="9"/>
      <c r="C262" s="9"/>
      <c r="D262" s="17"/>
      <c r="E262" s="17"/>
      <c r="G262" s="17"/>
      <c r="H262" s="17"/>
      <c r="I262" s="17"/>
      <c r="J262" s="43"/>
      <c r="K262" s="17"/>
      <c r="L262" s="17"/>
      <c r="M262" s="17"/>
      <c r="P262" s="17"/>
      <c r="Q262" s="17"/>
      <c r="R262" s="43"/>
      <c r="S262" s="17"/>
      <c r="T262" s="17"/>
      <c r="U262" s="17"/>
      <c r="V262" s="43"/>
      <c r="W262" s="17"/>
      <c r="X262" s="17"/>
    </row>
    <row r="263" spans="1:26" x14ac:dyDescent="0.25">
      <c r="A263" s="9"/>
      <c r="B263" s="57">
        <v>43732.70909290509</v>
      </c>
      <c r="D263" s="17"/>
      <c r="E263" s="17"/>
      <c r="G263" s="17"/>
      <c r="H263" s="17"/>
      <c r="I263" s="17"/>
      <c r="J263" s="43"/>
      <c r="K263" s="17"/>
      <c r="L263" s="17"/>
      <c r="M263" s="17"/>
      <c r="P263" s="17"/>
      <c r="Q263" s="17"/>
      <c r="R263" s="43"/>
      <c r="S263" s="17"/>
      <c r="T263" s="17"/>
      <c r="U263" s="17"/>
      <c r="V263" s="43"/>
      <c r="W263" s="17"/>
      <c r="X263" s="17"/>
    </row>
    <row r="264" spans="1:26" x14ac:dyDescent="0.25">
      <c r="A264" s="9"/>
      <c r="B264" s="60" t="s">
        <v>313</v>
      </c>
      <c r="D264" s="17"/>
      <c r="E264" s="17"/>
      <c r="G264" s="17"/>
      <c r="H264" s="17"/>
      <c r="I264" s="17"/>
      <c r="J264" s="43"/>
      <c r="K264" s="17"/>
      <c r="L264" s="17"/>
      <c r="M264" s="17"/>
      <c r="P264" s="17"/>
      <c r="Q264" s="17"/>
      <c r="R264" s="43"/>
      <c r="S264" s="17"/>
      <c r="T264" s="17"/>
      <c r="U264" s="17"/>
      <c r="V264" s="43"/>
      <c r="W264" s="17"/>
      <c r="X264" s="17"/>
    </row>
    <row r="265" spans="1:26" x14ac:dyDescent="0.25">
      <c r="A265" s="9"/>
      <c r="B265" s="56"/>
      <c r="D265" s="17"/>
      <c r="E265" s="17"/>
      <c r="G265" s="17"/>
      <c r="H265" s="17"/>
      <c r="I265" s="17"/>
      <c r="J265" s="43"/>
      <c r="K265" s="17"/>
      <c r="L265" s="17"/>
      <c r="M265" s="17"/>
      <c r="P265" s="17"/>
      <c r="Q265" s="17"/>
      <c r="R265" s="43"/>
      <c r="S265" s="17"/>
      <c r="T265" s="17"/>
      <c r="U265" s="17"/>
      <c r="V265" s="43"/>
      <c r="W265" s="17"/>
      <c r="X265" s="17"/>
    </row>
    <row r="266" spans="1:26" x14ac:dyDescent="0.25">
      <c r="D266" s="17"/>
      <c r="E266" s="17"/>
      <c r="G266" s="17"/>
      <c r="H266" s="17"/>
      <c r="I266" s="17"/>
      <c r="J266" s="43"/>
      <c r="K266" s="17"/>
      <c r="L266" s="17"/>
      <c r="M266" s="17"/>
      <c r="P266" s="17"/>
      <c r="Q266" s="17"/>
      <c r="R266" s="43"/>
      <c r="S266" s="17"/>
      <c r="T266" s="17"/>
      <c r="U266" s="17"/>
      <c r="V266" s="43"/>
      <c r="W266" s="17"/>
      <c r="X266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5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2703005.6900000004</v>
      </c>
      <c r="E12" s="4"/>
      <c r="F12" s="12"/>
      <c r="G12" s="4"/>
      <c r="H12" s="4">
        <f>SUM(OSRRefH13x_0)</f>
        <v>3031574.9199999995</v>
      </c>
      <c r="I12" s="4"/>
      <c r="J12" s="12"/>
      <c r="K12" s="4"/>
      <c r="L12" s="4">
        <f t="shared" ref="L12:L96" si="0">+D12-H12</f>
        <v>-328569.22999999905</v>
      </c>
      <c r="M12" s="4"/>
      <c r="N12" s="12">
        <f t="shared" ref="N12:N96" si="1">IF(H12=0,0,L12/H12)</f>
        <v>-0.10838235526767027</v>
      </c>
      <c r="O12" s="10"/>
      <c r="P12" s="4">
        <f>SUM(OSRRefP13x_0)</f>
        <v>3054944.0700000017</v>
      </c>
      <c r="Q12" s="4"/>
      <c r="R12" s="12"/>
      <c r="S12" s="4"/>
      <c r="T12" s="4">
        <f>SUM(OSRRefT13x_0)</f>
        <v>3413335.3900000011</v>
      </c>
      <c r="U12" s="4"/>
      <c r="V12" s="12"/>
      <c r="W12" s="4"/>
      <c r="X12" s="4">
        <f t="shared" ref="X12:X96" si="2">+P12-T12</f>
        <v>-358391.31999999937</v>
      </c>
      <c r="Y12" s="4"/>
      <c r="Z12" s="12">
        <f t="shared" ref="Z12:Z96" si="3">IF(T12=0,0,X12/T12)</f>
        <v>-0.10499739376621858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--1090909.72</f>
        <v>1090909.72</v>
      </c>
      <c r="E13" s="2"/>
      <c r="F13" s="21"/>
      <c r="G13" s="2"/>
      <c r="H13" s="2">
        <f>--1329973.05</f>
        <v>1329973.05</v>
      </c>
      <c r="I13" s="2"/>
      <c r="J13" s="21"/>
      <c r="K13" s="2"/>
      <c r="L13" s="2">
        <f t="shared" si="0"/>
        <v>-239063.33000000007</v>
      </c>
      <c r="M13" s="2"/>
      <c r="N13" s="21">
        <f t="shared" si="1"/>
        <v>-0.17975050697455866</v>
      </c>
      <c r="O13" s="11"/>
      <c r="P13" s="2">
        <f>--1127221.97</f>
        <v>1127221.97</v>
      </c>
      <c r="Q13" s="2"/>
      <c r="R13" s="21"/>
      <c r="S13" s="2"/>
      <c r="T13" s="2">
        <f>--1403237.68</f>
        <v>1403237.68</v>
      </c>
      <c r="U13" s="2"/>
      <c r="V13" s="21"/>
      <c r="W13" s="2"/>
      <c r="X13" s="2">
        <f t="shared" si="2"/>
        <v>-276015.70999999996</v>
      </c>
      <c r="Y13" s="2"/>
      <c r="Z13" s="21">
        <f t="shared" si="3"/>
        <v>-0.1966991864129532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--533666.11</f>
        <v>533666.11</v>
      </c>
      <c r="E14" s="2"/>
      <c r="F14" s="21"/>
      <c r="G14" s="2"/>
      <c r="H14" s="2">
        <f>--590742.61</f>
        <v>590742.61</v>
      </c>
      <c r="I14" s="2"/>
      <c r="J14" s="21"/>
      <c r="K14" s="2"/>
      <c r="L14" s="2">
        <f t="shared" si="0"/>
        <v>-57076.5</v>
      </c>
      <c r="M14" s="2"/>
      <c r="N14" s="21">
        <f t="shared" si="1"/>
        <v>-9.661822092027525E-2</v>
      </c>
      <c r="O14" s="11"/>
      <c r="P14" s="2">
        <f>--555460.92</f>
        <v>555460.92000000004</v>
      </c>
      <c r="Q14" s="2"/>
      <c r="R14" s="21"/>
      <c r="S14" s="2"/>
      <c r="T14" s="2">
        <f>--617324.19</f>
        <v>617324.18999999994</v>
      </c>
      <c r="U14" s="2"/>
      <c r="V14" s="21"/>
      <c r="W14" s="2"/>
      <c r="X14" s="2">
        <f t="shared" si="2"/>
        <v>-61863.269999999902</v>
      </c>
      <c r="Y14" s="2"/>
      <c r="Z14" s="21">
        <f t="shared" si="3"/>
        <v>-0.10021196480248069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--12302.07</f>
        <v>12302.07</v>
      </c>
      <c r="E15" s="2"/>
      <c r="F15" s="21"/>
      <c r="G15" s="2"/>
      <c r="H15" s="2">
        <f>--5041.8</f>
        <v>5041.8</v>
      </c>
      <c r="I15" s="2"/>
      <c r="J15" s="21"/>
      <c r="K15" s="2"/>
      <c r="L15" s="2">
        <f t="shared" si="0"/>
        <v>7260.2699999999995</v>
      </c>
      <c r="M15" s="2"/>
      <c r="N15" s="21">
        <f t="shared" si="1"/>
        <v>1.4400154706652384</v>
      </c>
      <c r="O15" s="11"/>
      <c r="P15" s="2">
        <f>--12736.05</f>
        <v>12736.05</v>
      </c>
      <c r="Q15" s="2"/>
      <c r="R15" s="21"/>
      <c r="S15" s="2"/>
      <c r="T15" s="2">
        <f>--5525.8</f>
        <v>5525.8</v>
      </c>
      <c r="U15" s="2"/>
      <c r="V15" s="21"/>
      <c r="W15" s="2"/>
      <c r="X15" s="2">
        <f t="shared" si="2"/>
        <v>7210.2499999999991</v>
      </c>
      <c r="Y15" s="2"/>
      <c r="Z15" s="21">
        <f t="shared" si="3"/>
        <v>1.3048336892395669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--22276.72</f>
        <v>22276.720000000001</v>
      </c>
      <c r="E16" s="2"/>
      <c r="F16" s="21"/>
      <c r="G16" s="2"/>
      <c r="H16" s="2">
        <f>--37220.14</f>
        <v>37220.14</v>
      </c>
      <c r="I16" s="2"/>
      <c r="J16" s="21"/>
      <c r="K16" s="2"/>
      <c r="L16" s="2">
        <f t="shared" si="0"/>
        <v>-14943.419999999998</v>
      </c>
      <c r="M16" s="2"/>
      <c r="N16" s="21">
        <f t="shared" si="1"/>
        <v>-0.40148747425452991</v>
      </c>
      <c r="O16" s="11"/>
      <c r="P16" s="2">
        <f>--22410.07</f>
        <v>22410.07</v>
      </c>
      <c r="Q16" s="2"/>
      <c r="R16" s="21"/>
      <c r="S16" s="2"/>
      <c r="T16" s="2">
        <f>--37363.14</f>
        <v>37363.14</v>
      </c>
      <c r="U16" s="2"/>
      <c r="V16" s="21"/>
      <c r="W16" s="2"/>
      <c r="X16" s="2">
        <f t="shared" si="2"/>
        <v>-14953.07</v>
      </c>
      <c r="Y16" s="2"/>
      <c r="Z16" s="21">
        <f t="shared" si="3"/>
        <v>-0.40020913659826235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--70.86</f>
        <v>70.86</v>
      </c>
      <c r="E17" s="2"/>
      <c r="F17" s="21"/>
      <c r="G17" s="2"/>
      <c r="H17" s="2">
        <f>--1031.71</f>
        <v>1031.71</v>
      </c>
      <c r="I17" s="2"/>
      <c r="J17" s="21"/>
      <c r="K17" s="2"/>
      <c r="L17" s="2">
        <f t="shared" si="0"/>
        <v>-960.85</v>
      </c>
      <c r="M17" s="2"/>
      <c r="N17" s="21">
        <f t="shared" si="1"/>
        <v>-0.93131790910236401</v>
      </c>
      <c r="O17" s="11"/>
      <c r="P17" s="2">
        <f>--110.81</f>
        <v>110.81</v>
      </c>
      <c r="Q17" s="2"/>
      <c r="R17" s="21"/>
      <c r="S17" s="2"/>
      <c r="T17" s="2">
        <f>--1085.67</f>
        <v>1085.67</v>
      </c>
      <c r="U17" s="2"/>
      <c r="V17" s="21"/>
      <c r="W17" s="2"/>
      <c r="X17" s="2">
        <f t="shared" si="2"/>
        <v>-974.86000000000013</v>
      </c>
      <c r="Y17" s="2"/>
      <c r="Z17" s="21">
        <f t="shared" si="3"/>
        <v>-0.89793399467609869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--175</f>
        <v>175</v>
      </c>
      <c r="E18" s="2"/>
      <c r="F18" s="21"/>
      <c r="G18" s="2"/>
      <c r="H18" s="2">
        <f>--147.02</f>
        <v>147.02000000000001</v>
      </c>
      <c r="I18" s="2"/>
      <c r="J18" s="21"/>
      <c r="K18" s="2"/>
      <c r="L18" s="2">
        <f t="shared" si="0"/>
        <v>27.97999999999999</v>
      </c>
      <c r="M18" s="2"/>
      <c r="N18" s="21">
        <f t="shared" si="1"/>
        <v>0.19031424296014141</v>
      </c>
      <c r="O18" s="11"/>
      <c r="P18" s="2">
        <f>--425.65</f>
        <v>425.65</v>
      </c>
      <c r="Q18" s="2"/>
      <c r="R18" s="21"/>
      <c r="S18" s="2"/>
      <c r="T18" s="2">
        <f>--347.51</f>
        <v>347.51</v>
      </c>
      <c r="U18" s="2"/>
      <c r="V18" s="21"/>
      <c r="W18" s="2"/>
      <c r="X18" s="2">
        <f t="shared" si="2"/>
        <v>78.139999999999986</v>
      </c>
      <c r="Y18" s="2"/>
      <c r="Z18" s="21">
        <f t="shared" si="3"/>
        <v>0.22485683865212508</v>
      </c>
    </row>
    <row r="19" spans="1:26" s="24" customFormat="1" hidden="1" outlineLevel="1" x14ac:dyDescent="0.25">
      <c r="A19" s="50"/>
      <c r="B19" s="11" t="str">
        <f>CONCATENATE("          ", "4017", " - ", "TAXABLE SALES-DORM/HOUSEWARES")</f>
        <v xml:space="preserve">          4017 - TAXABLE SALES-DORM/HOUSEWARES</v>
      </c>
      <c r="C19" s="11"/>
      <c r="D19" s="2">
        <f>--152.83</f>
        <v>152.83000000000001</v>
      </c>
      <c r="E19" s="2"/>
      <c r="F19" s="21"/>
      <c r="G19" s="2"/>
      <c r="H19" s="2">
        <f>--335.74</f>
        <v>335.74</v>
      </c>
      <c r="I19" s="2"/>
      <c r="J19" s="21"/>
      <c r="K19" s="2"/>
      <c r="L19" s="2">
        <f t="shared" si="0"/>
        <v>-182.91</v>
      </c>
      <c r="M19" s="2"/>
      <c r="N19" s="21">
        <f t="shared" si="1"/>
        <v>-0.54479656877345561</v>
      </c>
      <c r="O19" s="11"/>
      <c r="P19" s="2">
        <f>--157.3</f>
        <v>157.30000000000001</v>
      </c>
      <c r="Q19" s="2"/>
      <c r="R19" s="21"/>
      <c r="S19" s="2"/>
      <c r="T19" s="2">
        <f>--600.35</f>
        <v>600.35</v>
      </c>
      <c r="U19" s="2"/>
      <c r="V19" s="21"/>
      <c r="W19" s="2"/>
      <c r="X19" s="2">
        <f t="shared" si="2"/>
        <v>-443.05</v>
      </c>
      <c r="Y19" s="2"/>
      <c r="Z19" s="21">
        <f t="shared" si="3"/>
        <v>-0.73798617473140671</v>
      </c>
    </row>
    <row r="20" spans="1:26" s="24" customFormat="1" hidden="1" outlineLevel="1" x14ac:dyDescent="0.25">
      <c r="A20" s="50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--1184.84</f>
        <v>1184.8399999999999</v>
      </c>
      <c r="E20" s="2"/>
      <c r="F20" s="21"/>
      <c r="G20" s="2"/>
      <c r="H20" s="2">
        <f>--1550.73</f>
        <v>1550.73</v>
      </c>
      <c r="I20" s="2"/>
      <c r="J20" s="21"/>
      <c r="K20" s="2"/>
      <c r="L20" s="2">
        <f t="shared" si="0"/>
        <v>-365.8900000000001</v>
      </c>
      <c r="M20" s="2"/>
      <c r="N20" s="21">
        <f t="shared" si="1"/>
        <v>-0.23594694111805414</v>
      </c>
      <c r="O20" s="11"/>
      <c r="P20" s="2">
        <f>--1364.13</f>
        <v>1364.13</v>
      </c>
      <c r="Q20" s="2"/>
      <c r="R20" s="21"/>
      <c r="S20" s="2"/>
      <c r="T20" s="2">
        <f>--2030.07</f>
        <v>2030.07</v>
      </c>
      <c r="U20" s="2"/>
      <c r="V20" s="21"/>
      <c r="W20" s="2"/>
      <c r="X20" s="2">
        <f t="shared" si="2"/>
        <v>-665.93999999999983</v>
      </c>
      <c r="Y20" s="2"/>
      <c r="Z20" s="21">
        <f t="shared" si="3"/>
        <v>-0.32803794943031511</v>
      </c>
    </row>
    <row r="21" spans="1:26" s="24" customFormat="1" hidden="1" outlineLevel="1" x14ac:dyDescent="0.25">
      <c r="A21" s="50"/>
      <c r="B21" s="11" t="str">
        <f>CONCATENATE("          ", "4019", " - ", "TAXABLE SALES-BOOK RELATED")</f>
        <v xml:space="preserve">          4019 - TAXABLE SALES-BOOK RELATED</v>
      </c>
      <c r="C21" s="11"/>
      <c r="D21" s="2">
        <f>--14.95</f>
        <v>14.95</v>
      </c>
      <c r="E21" s="2"/>
      <c r="F21" s="21"/>
      <c r="G21" s="2"/>
      <c r="H21" s="2">
        <f>0</f>
        <v>0</v>
      </c>
      <c r="I21" s="2"/>
      <c r="J21" s="21"/>
      <c r="K21" s="2"/>
      <c r="L21" s="2">
        <f t="shared" si="0"/>
        <v>14.95</v>
      </c>
      <c r="M21" s="2"/>
      <c r="N21" s="21">
        <f t="shared" si="1"/>
        <v>0</v>
      </c>
      <c r="O21" s="11"/>
      <c r="P21" s="2">
        <f>--14.95</f>
        <v>14.95</v>
      </c>
      <c r="Q21" s="2"/>
      <c r="R21" s="21"/>
      <c r="S21" s="2"/>
      <c r="T21" s="2">
        <f>--39.9</f>
        <v>39.9</v>
      </c>
      <c r="U21" s="2"/>
      <c r="V21" s="21"/>
      <c r="W21" s="2"/>
      <c r="X21" s="2">
        <f t="shared" si="2"/>
        <v>-24.95</v>
      </c>
      <c r="Y21" s="2"/>
      <c r="Z21" s="21">
        <f t="shared" si="3"/>
        <v>-0.62531328320802004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2">
        <f>--4066.24</f>
        <v>4066.24</v>
      </c>
      <c r="E22" s="2"/>
      <c r="F22" s="21"/>
      <c r="G22" s="2"/>
      <c r="H22" s="2">
        <f>--4267.77</f>
        <v>4267.7700000000004</v>
      </c>
      <c r="I22" s="2"/>
      <c r="J22" s="21"/>
      <c r="K22" s="2"/>
      <c r="L22" s="2">
        <f t="shared" si="0"/>
        <v>-201.53000000000065</v>
      </c>
      <c r="M22" s="2"/>
      <c r="N22" s="21">
        <f t="shared" si="1"/>
        <v>-4.7221382595594566E-2</v>
      </c>
      <c r="O22" s="11"/>
      <c r="P22" s="2">
        <f>--4458.53</f>
        <v>4458.53</v>
      </c>
      <c r="Q22" s="2"/>
      <c r="R22" s="21"/>
      <c r="S22" s="2"/>
      <c r="T22" s="2">
        <f>--4887.65</f>
        <v>4887.6499999999996</v>
      </c>
      <c r="U22" s="2"/>
      <c r="V22" s="21"/>
      <c r="W22" s="2"/>
      <c r="X22" s="2">
        <f t="shared" si="2"/>
        <v>-429.11999999999989</v>
      </c>
      <c r="Y22" s="2"/>
      <c r="Z22" s="21">
        <f t="shared" si="3"/>
        <v>-8.7796793960287653E-2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--10841.03</f>
        <v>10841.03</v>
      </c>
      <c r="E23" s="2"/>
      <c r="F23" s="21"/>
      <c r="G23" s="2"/>
      <c r="H23" s="2">
        <f>--10528.34</f>
        <v>10528.34</v>
      </c>
      <c r="I23" s="2"/>
      <c r="J23" s="21"/>
      <c r="K23" s="2"/>
      <c r="L23" s="2">
        <f t="shared" si="0"/>
        <v>312.69000000000051</v>
      </c>
      <c r="M23" s="2"/>
      <c r="N23" s="21">
        <f t="shared" si="1"/>
        <v>2.9699838721013998E-2</v>
      </c>
      <c r="O23" s="11"/>
      <c r="P23" s="2">
        <f>--12776.54</f>
        <v>12776.54</v>
      </c>
      <c r="Q23" s="2"/>
      <c r="R23" s="21"/>
      <c r="S23" s="2"/>
      <c r="T23" s="2">
        <f>--12602.86</f>
        <v>12602.86</v>
      </c>
      <c r="U23" s="2"/>
      <c r="V23" s="21"/>
      <c r="W23" s="2"/>
      <c r="X23" s="2">
        <f t="shared" si="2"/>
        <v>173.68000000000029</v>
      </c>
      <c r="Y23" s="2"/>
      <c r="Z23" s="21">
        <f t="shared" si="3"/>
        <v>1.3780998916119062E-2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--65949.25</f>
        <v>65949.25</v>
      </c>
      <c r="E24" s="2"/>
      <c r="F24" s="21"/>
      <c r="G24" s="2"/>
      <c r="H24" s="2">
        <f>--61380.88</f>
        <v>61380.88</v>
      </c>
      <c r="I24" s="2"/>
      <c r="J24" s="21"/>
      <c r="K24" s="2"/>
      <c r="L24" s="2">
        <f t="shared" si="0"/>
        <v>4568.3700000000026</v>
      </c>
      <c r="M24" s="2"/>
      <c r="N24" s="21">
        <f t="shared" si="1"/>
        <v>7.442659668613423E-2</v>
      </c>
      <c r="O24" s="11"/>
      <c r="P24" s="2">
        <f>--79099.25</f>
        <v>79099.25</v>
      </c>
      <c r="Q24" s="2"/>
      <c r="R24" s="21"/>
      <c r="S24" s="2"/>
      <c r="T24" s="2">
        <f>--73303.38</f>
        <v>73303.38</v>
      </c>
      <c r="U24" s="2"/>
      <c r="V24" s="21"/>
      <c r="W24" s="2"/>
      <c r="X24" s="2">
        <f t="shared" si="2"/>
        <v>5795.8699999999953</v>
      </c>
      <c r="Y24" s="2"/>
      <c r="Z24" s="21">
        <f t="shared" si="3"/>
        <v>7.90668861381289E-2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2">
        <f>--46631.39</f>
        <v>46631.39</v>
      </c>
      <c r="E25" s="2"/>
      <c r="F25" s="21"/>
      <c r="G25" s="2"/>
      <c r="H25" s="2">
        <f>--45686.16</f>
        <v>45686.16</v>
      </c>
      <c r="I25" s="2"/>
      <c r="J25" s="21"/>
      <c r="K25" s="2"/>
      <c r="L25" s="2">
        <f t="shared" si="0"/>
        <v>945.22999999999593</v>
      </c>
      <c r="M25" s="2"/>
      <c r="N25" s="21">
        <f t="shared" si="1"/>
        <v>2.0689635548270982E-2</v>
      </c>
      <c r="O25" s="11"/>
      <c r="P25" s="2">
        <f>--48915.55</f>
        <v>48915.55</v>
      </c>
      <c r="Q25" s="2"/>
      <c r="R25" s="21"/>
      <c r="S25" s="2"/>
      <c r="T25" s="2">
        <f>--47699.65</f>
        <v>47699.65</v>
      </c>
      <c r="U25" s="2"/>
      <c r="V25" s="21"/>
      <c r="W25" s="2"/>
      <c r="X25" s="2">
        <f t="shared" si="2"/>
        <v>1215.9000000000015</v>
      </c>
      <c r="Y25" s="2"/>
      <c r="Z25" s="21">
        <f t="shared" si="3"/>
        <v>2.5490753076804578E-2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2">
        <f>--30.82</f>
        <v>30.82</v>
      </c>
      <c r="E26" s="2"/>
      <c r="F26" s="21"/>
      <c r="G26" s="2"/>
      <c r="H26" s="2">
        <f>--43.71</f>
        <v>43.71</v>
      </c>
      <c r="I26" s="2"/>
      <c r="J26" s="21"/>
      <c r="K26" s="2"/>
      <c r="L26" s="2">
        <f t="shared" si="0"/>
        <v>-12.89</v>
      </c>
      <c r="M26" s="2"/>
      <c r="N26" s="21">
        <f t="shared" si="1"/>
        <v>-0.29489819263326472</v>
      </c>
      <c r="O26" s="11"/>
      <c r="P26" s="2">
        <f>--32.34</f>
        <v>32.340000000000003</v>
      </c>
      <c r="Q26" s="2"/>
      <c r="R26" s="21"/>
      <c r="S26" s="2"/>
      <c r="T26" s="2">
        <f>--44.94</f>
        <v>44.94</v>
      </c>
      <c r="U26" s="2"/>
      <c r="V26" s="21"/>
      <c r="W26" s="2"/>
      <c r="X26" s="2">
        <f t="shared" si="2"/>
        <v>-12.599999999999994</v>
      </c>
      <c r="Y26" s="2"/>
      <c r="Z26" s="21">
        <f t="shared" si="3"/>
        <v>-0.2803738317757008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2">
        <f>--2.34</f>
        <v>2.34</v>
      </c>
      <c r="E27" s="2"/>
      <c r="F27" s="21"/>
      <c r="G27" s="2"/>
      <c r="H27" s="2">
        <f>--2.15</f>
        <v>2.15</v>
      </c>
      <c r="I27" s="2"/>
      <c r="J27" s="21"/>
      <c r="K27" s="2"/>
      <c r="L27" s="2">
        <f t="shared" si="0"/>
        <v>0.18999999999999995</v>
      </c>
      <c r="M27" s="2"/>
      <c r="N27" s="21">
        <f t="shared" si="1"/>
        <v>8.8372093023255799E-2</v>
      </c>
      <c r="O27" s="11"/>
      <c r="P27" s="2">
        <f>--3.81</f>
        <v>3.81</v>
      </c>
      <c r="Q27" s="2"/>
      <c r="R27" s="21"/>
      <c r="S27" s="2"/>
      <c r="T27" s="2">
        <f>--2.37</f>
        <v>2.37</v>
      </c>
      <c r="U27" s="2"/>
      <c r="V27" s="21"/>
      <c r="W27" s="2"/>
      <c r="X27" s="2">
        <f t="shared" si="2"/>
        <v>1.44</v>
      </c>
      <c r="Y27" s="2"/>
      <c r="Z27" s="21">
        <f t="shared" si="3"/>
        <v>0.60759493670886067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2">
        <f>--9.83</f>
        <v>9.83</v>
      </c>
      <c r="E28" s="2"/>
      <c r="F28" s="21"/>
      <c r="G28" s="2"/>
      <c r="H28" s="2">
        <f>--2.36</f>
        <v>2.36</v>
      </c>
      <c r="I28" s="2"/>
      <c r="J28" s="21"/>
      <c r="K28" s="2"/>
      <c r="L28" s="2">
        <f t="shared" si="0"/>
        <v>7.4700000000000006</v>
      </c>
      <c r="M28" s="2"/>
      <c r="N28" s="21">
        <f t="shared" si="1"/>
        <v>3.1652542372881358</v>
      </c>
      <c r="O28" s="11"/>
      <c r="P28" s="2">
        <f>--13</f>
        <v>13</v>
      </c>
      <c r="Q28" s="2"/>
      <c r="R28" s="21"/>
      <c r="S28" s="2"/>
      <c r="T28" s="2">
        <f>--3.04</f>
        <v>3.04</v>
      </c>
      <c r="U28" s="2"/>
      <c r="V28" s="21"/>
      <c r="W28" s="2"/>
      <c r="X28" s="2">
        <f t="shared" si="2"/>
        <v>9.9600000000000009</v>
      </c>
      <c r="Y28" s="2"/>
      <c r="Z28" s="21">
        <f t="shared" si="3"/>
        <v>3.2763157894736845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2">
        <f>--280.8</f>
        <v>280.8</v>
      </c>
      <c r="E29" s="2"/>
      <c r="F29" s="21"/>
      <c r="G29" s="2"/>
      <c r="H29" s="2">
        <f>--357.17</f>
        <v>357.17</v>
      </c>
      <c r="I29" s="2"/>
      <c r="J29" s="21"/>
      <c r="K29" s="2"/>
      <c r="L29" s="2">
        <f t="shared" si="0"/>
        <v>-76.37</v>
      </c>
      <c r="M29" s="2"/>
      <c r="N29" s="21">
        <f t="shared" si="1"/>
        <v>-0.21381974969902287</v>
      </c>
      <c r="O29" s="11"/>
      <c r="P29" s="2">
        <f>--315.54</f>
        <v>315.54000000000002</v>
      </c>
      <c r="Q29" s="2"/>
      <c r="R29" s="21"/>
      <c r="S29" s="2"/>
      <c r="T29" s="2">
        <f>--398.93</f>
        <v>398.93</v>
      </c>
      <c r="U29" s="2"/>
      <c r="V29" s="21"/>
      <c r="W29" s="2"/>
      <c r="X29" s="2">
        <f t="shared" si="2"/>
        <v>-83.389999999999986</v>
      </c>
      <c r="Y29" s="2"/>
      <c r="Z29" s="21">
        <f t="shared" si="3"/>
        <v>-0.20903416639510689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--92.48</f>
        <v>92.48</v>
      </c>
      <c r="E30" s="2"/>
      <c r="F30" s="21"/>
      <c r="G30" s="2"/>
      <c r="H30" s="2">
        <f>--97.58</f>
        <v>97.58</v>
      </c>
      <c r="I30" s="2"/>
      <c r="J30" s="21"/>
      <c r="K30" s="2"/>
      <c r="L30" s="2">
        <f t="shared" si="0"/>
        <v>-5.0999999999999943</v>
      </c>
      <c r="M30" s="2"/>
      <c r="N30" s="21">
        <f t="shared" si="1"/>
        <v>-5.2264808362369283E-2</v>
      </c>
      <c r="O30" s="11"/>
      <c r="P30" s="2">
        <f>--98.45</f>
        <v>98.45</v>
      </c>
      <c r="Q30" s="2"/>
      <c r="R30" s="21"/>
      <c r="S30" s="2"/>
      <c r="T30" s="2">
        <f>--145.63</f>
        <v>145.63</v>
      </c>
      <c r="U30" s="2"/>
      <c r="V30" s="21"/>
      <c r="W30" s="2"/>
      <c r="X30" s="2">
        <f t="shared" si="2"/>
        <v>-47.179999999999993</v>
      </c>
      <c r="Y30" s="2"/>
      <c r="Z30" s="21">
        <f t="shared" si="3"/>
        <v>-0.32397170912586687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2">
        <f>--36.88</f>
        <v>36.880000000000003</v>
      </c>
      <c r="E31" s="2"/>
      <c r="F31" s="21"/>
      <c r="G31" s="2"/>
      <c r="H31" s="2">
        <f>--27.96</f>
        <v>27.96</v>
      </c>
      <c r="I31" s="2"/>
      <c r="J31" s="21"/>
      <c r="K31" s="2"/>
      <c r="L31" s="2">
        <f t="shared" si="0"/>
        <v>8.9200000000000017</v>
      </c>
      <c r="M31" s="2"/>
      <c r="N31" s="21">
        <f t="shared" si="1"/>
        <v>0.31902718168812594</v>
      </c>
      <c r="O31" s="11"/>
      <c r="P31" s="2">
        <f>--42.17</f>
        <v>42.17</v>
      </c>
      <c r="Q31" s="2"/>
      <c r="R31" s="21"/>
      <c r="S31" s="2"/>
      <c r="T31" s="2">
        <f>--33.27</f>
        <v>33.270000000000003</v>
      </c>
      <c r="U31" s="2"/>
      <c r="V31" s="21"/>
      <c r="W31" s="2"/>
      <c r="X31" s="2">
        <f t="shared" si="2"/>
        <v>8.8999999999999986</v>
      </c>
      <c r="Y31" s="2"/>
      <c r="Z31" s="21">
        <f t="shared" si="3"/>
        <v>0.26750826570483915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2">
        <f>--219441.66</f>
        <v>219441.66</v>
      </c>
      <c r="E32" s="2"/>
      <c r="F32" s="21"/>
      <c r="G32" s="2"/>
      <c r="H32" s="2">
        <f>--183864.69</f>
        <v>183864.69</v>
      </c>
      <c r="I32" s="2"/>
      <c r="J32" s="21"/>
      <c r="K32" s="2"/>
      <c r="L32" s="2">
        <f t="shared" si="0"/>
        <v>35576.97</v>
      </c>
      <c r="M32" s="2"/>
      <c r="N32" s="21">
        <f t="shared" si="1"/>
        <v>0.19349539055051843</v>
      </c>
      <c r="O32" s="11"/>
      <c r="P32" s="2">
        <f>--389753.68</f>
        <v>389753.68</v>
      </c>
      <c r="Q32" s="2"/>
      <c r="R32" s="21"/>
      <c r="S32" s="2"/>
      <c r="T32" s="2">
        <f>--329836.35</f>
        <v>329836.34999999998</v>
      </c>
      <c r="U32" s="2"/>
      <c r="V32" s="21"/>
      <c r="W32" s="2"/>
      <c r="X32" s="2">
        <f t="shared" si="2"/>
        <v>59917.330000000016</v>
      </c>
      <c r="Y32" s="2"/>
      <c r="Z32" s="21">
        <f t="shared" si="3"/>
        <v>0.18165775239751478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2">
        <f>--120650.82</f>
        <v>120650.82</v>
      </c>
      <c r="E33" s="2"/>
      <c r="F33" s="21"/>
      <c r="G33" s="2"/>
      <c r="H33" s="2">
        <f>--114605.27</f>
        <v>114605.27</v>
      </c>
      <c r="I33" s="2"/>
      <c r="J33" s="21"/>
      <c r="K33" s="2"/>
      <c r="L33" s="2">
        <f t="shared" si="0"/>
        <v>6045.5500000000029</v>
      </c>
      <c r="M33" s="2"/>
      <c r="N33" s="21">
        <f t="shared" si="1"/>
        <v>5.2751064588914653E-2</v>
      </c>
      <c r="O33" s="11"/>
      <c r="P33" s="2">
        <f>--151692.41</f>
        <v>151692.41</v>
      </c>
      <c r="Q33" s="2"/>
      <c r="R33" s="21"/>
      <c r="S33" s="2"/>
      <c r="T33" s="2">
        <f>--149783.35</f>
        <v>149783.35</v>
      </c>
      <c r="U33" s="2"/>
      <c r="V33" s="21"/>
      <c r="W33" s="2"/>
      <c r="X33" s="2">
        <f t="shared" si="2"/>
        <v>1909.0599999999977</v>
      </c>
      <c r="Y33" s="2"/>
      <c r="Z33" s="21">
        <f t="shared" si="3"/>
        <v>1.2745475381609488E-2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--44445.92</f>
        <v>44445.919999999998</v>
      </c>
      <c r="E34" s="2"/>
      <c r="F34" s="21"/>
      <c r="G34" s="2"/>
      <c r="H34" s="2">
        <f>--29885.59</f>
        <v>29885.59</v>
      </c>
      <c r="I34" s="2"/>
      <c r="J34" s="21"/>
      <c r="K34" s="2"/>
      <c r="L34" s="2">
        <f t="shared" si="0"/>
        <v>14560.329999999998</v>
      </c>
      <c r="M34" s="2"/>
      <c r="N34" s="21">
        <f t="shared" si="1"/>
        <v>0.48720236073639495</v>
      </c>
      <c r="O34" s="11"/>
      <c r="P34" s="2">
        <f>--60038.97</f>
        <v>60038.97</v>
      </c>
      <c r="Q34" s="2"/>
      <c r="R34" s="21"/>
      <c r="S34" s="2"/>
      <c r="T34" s="2">
        <f>--43065.99</f>
        <v>43065.99</v>
      </c>
      <c r="U34" s="2"/>
      <c r="V34" s="21"/>
      <c r="W34" s="2"/>
      <c r="X34" s="2">
        <f t="shared" si="2"/>
        <v>16972.980000000003</v>
      </c>
      <c r="Y34" s="2"/>
      <c r="Z34" s="21">
        <f t="shared" si="3"/>
        <v>0.39411563509860109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2">
        <f>--129.05</f>
        <v>129.05000000000001</v>
      </c>
      <c r="E35" s="2"/>
      <c r="F35" s="21"/>
      <c r="G35" s="2"/>
      <c r="H35" s="2">
        <f>--203.26</f>
        <v>203.26</v>
      </c>
      <c r="I35" s="2"/>
      <c r="J35" s="21"/>
      <c r="K35" s="2"/>
      <c r="L35" s="2">
        <f t="shared" si="0"/>
        <v>-74.20999999999998</v>
      </c>
      <c r="M35" s="2"/>
      <c r="N35" s="21">
        <f t="shared" si="1"/>
        <v>-0.36509888812358549</v>
      </c>
      <c r="O35" s="11"/>
      <c r="P35" s="2">
        <f>--185.45</f>
        <v>185.45</v>
      </c>
      <c r="Q35" s="2"/>
      <c r="R35" s="21"/>
      <c r="S35" s="2"/>
      <c r="T35" s="2">
        <f>--413.48</f>
        <v>413.48</v>
      </c>
      <c r="U35" s="2"/>
      <c r="V35" s="21"/>
      <c r="W35" s="2"/>
      <c r="X35" s="2">
        <f t="shared" si="2"/>
        <v>-228.03000000000003</v>
      </c>
      <c r="Y35" s="2"/>
      <c r="Z35" s="21">
        <f t="shared" si="3"/>
        <v>-0.55148979394408437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2">
        <f>--19434.42</f>
        <v>19434.419999999998</v>
      </c>
      <c r="E36" s="2"/>
      <c r="F36" s="21"/>
      <c r="G36" s="2"/>
      <c r="H36" s="2">
        <f>--19647.94</f>
        <v>19647.939999999999</v>
      </c>
      <c r="I36" s="2"/>
      <c r="J36" s="21"/>
      <c r="K36" s="2"/>
      <c r="L36" s="2">
        <f t="shared" si="0"/>
        <v>-213.52000000000044</v>
      </c>
      <c r="M36" s="2"/>
      <c r="N36" s="21">
        <f t="shared" si="1"/>
        <v>-1.0867297029612288E-2</v>
      </c>
      <c r="O36" s="11"/>
      <c r="P36" s="2">
        <f>--21777.07</f>
        <v>21777.07</v>
      </c>
      <c r="Q36" s="2"/>
      <c r="R36" s="21"/>
      <c r="S36" s="2"/>
      <c r="T36" s="2">
        <f>--23405.78</f>
        <v>23405.78</v>
      </c>
      <c r="U36" s="2"/>
      <c r="V36" s="21"/>
      <c r="W36" s="2"/>
      <c r="X36" s="2">
        <f t="shared" si="2"/>
        <v>-1628.7099999999991</v>
      </c>
      <c r="Y36" s="2"/>
      <c r="Z36" s="21">
        <f t="shared" si="3"/>
        <v>-6.9585803164859239E-2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--6103.32</f>
        <v>6103.32</v>
      </c>
      <c r="E37" s="2"/>
      <c r="F37" s="21"/>
      <c r="G37" s="2"/>
      <c r="H37" s="2">
        <f>--17649.91</f>
        <v>17649.91</v>
      </c>
      <c r="I37" s="2"/>
      <c r="J37" s="21"/>
      <c r="K37" s="2"/>
      <c r="L37" s="2">
        <f t="shared" si="0"/>
        <v>-11546.59</v>
      </c>
      <c r="M37" s="2"/>
      <c r="N37" s="21">
        <f t="shared" si="1"/>
        <v>-0.65420106958052482</v>
      </c>
      <c r="O37" s="11"/>
      <c r="P37" s="2">
        <f>--25524.04</f>
        <v>25524.04</v>
      </c>
      <c r="Q37" s="2"/>
      <c r="R37" s="21"/>
      <c r="S37" s="2"/>
      <c r="T37" s="2">
        <f>--42959.48</f>
        <v>42959.48</v>
      </c>
      <c r="U37" s="2"/>
      <c r="V37" s="21"/>
      <c r="W37" s="2"/>
      <c r="X37" s="2">
        <f t="shared" si="2"/>
        <v>-17435.440000000002</v>
      </c>
      <c r="Y37" s="2"/>
      <c r="Z37" s="21">
        <f t="shared" si="3"/>
        <v>-0.40585779902363811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2">
        <f>--442.38</f>
        <v>442.38</v>
      </c>
      <c r="E38" s="2"/>
      <c r="F38" s="21"/>
      <c r="G38" s="2"/>
      <c r="H38" s="2">
        <f>--299.3</f>
        <v>299.3</v>
      </c>
      <c r="I38" s="2"/>
      <c r="J38" s="21"/>
      <c r="K38" s="2"/>
      <c r="L38" s="2">
        <f t="shared" si="0"/>
        <v>143.07999999999998</v>
      </c>
      <c r="M38" s="2"/>
      <c r="N38" s="21">
        <f t="shared" si="1"/>
        <v>0.4780487804878048</v>
      </c>
      <c r="O38" s="11"/>
      <c r="P38" s="2">
        <f>--482.38</f>
        <v>482.38</v>
      </c>
      <c r="Q38" s="2"/>
      <c r="R38" s="21"/>
      <c r="S38" s="2"/>
      <c r="T38" s="2">
        <f>--349.29</f>
        <v>349.29</v>
      </c>
      <c r="U38" s="2"/>
      <c r="V38" s="21"/>
      <c r="W38" s="2"/>
      <c r="X38" s="2">
        <f t="shared" si="2"/>
        <v>133.08999999999997</v>
      </c>
      <c r="Y38" s="2"/>
      <c r="Z38" s="21">
        <f t="shared" si="3"/>
        <v>0.38103008961035234</v>
      </c>
    </row>
    <row r="39" spans="1:26" s="24" customFormat="1" hidden="1" outlineLevel="1" x14ac:dyDescent="0.25">
      <c r="A39" s="50"/>
      <c r="B39" s="11" t="str">
        <f>CONCATENATE("          ", "4081", " - ", "TAXABLE SALES-ELECTRONICS")</f>
        <v xml:space="preserve">          4081 - TAXABLE SALES-ELECTRONICS</v>
      </c>
      <c r="C39" s="11"/>
      <c r="D39" s="2">
        <f>--260.88</f>
        <v>260.88</v>
      </c>
      <c r="E39" s="2"/>
      <c r="F39" s="21"/>
      <c r="G39" s="2"/>
      <c r="H39" s="2">
        <f>--294.81</f>
        <v>294.81</v>
      </c>
      <c r="I39" s="2"/>
      <c r="J39" s="21"/>
      <c r="K39" s="2"/>
      <c r="L39" s="2">
        <f t="shared" si="0"/>
        <v>-33.930000000000007</v>
      </c>
      <c r="M39" s="2"/>
      <c r="N39" s="21">
        <f t="shared" si="1"/>
        <v>-0.11509107560801875</v>
      </c>
      <c r="O39" s="11"/>
      <c r="P39" s="2">
        <f>--268.86</f>
        <v>268.86</v>
      </c>
      <c r="Q39" s="2"/>
      <c r="R39" s="21"/>
      <c r="S39" s="2"/>
      <c r="T39" s="2">
        <f>--297.8</f>
        <v>297.8</v>
      </c>
      <c r="U39" s="2"/>
      <c r="V39" s="21"/>
      <c r="W39" s="2"/>
      <c r="X39" s="2">
        <f t="shared" si="2"/>
        <v>-28.939999999999998</v>
      </c>
      <c r="Y39" s="2"/>
      <c r="Z39" s="21">
        <f t="shared" si="3"/>
        <v>-9.7179314976494277E-2</v>
      </c>
    </row>
    <row r="40" spans="1:26" s="24" customFormat="1" hidden="1" outlineLevel="1" x14ac:dyDescent="0.25">
      <c r="A40" s="50"/>
      <c r="B40" s="11" t="str">
        <f>CONCATENATE("          ", "4082", " - ", "TAXABLE SALES-COMPUTER HARDWAR")</f>
        <v xml:space="preserve">          4082 - TAXABLE SALES-COMPUTER HARDWAR</v>
      </c>
      <c r="C40" s="11"/>
      <c r="D40" s="2">
        <f>--19</f>
        <v>19</v>
      </c>
      <c r="E40" s="2"/>
      <c r="F40" s="21"/>
      <c r="G40" s="2"/>
      <c r="H40" s="2">
        <f>--29</f>
        <v>29</v>
      </c>
      <c r="I40" s="2"/>
      <c r="J40" s="21"/>
      <c r="K40" s="2"/>
      <c r="L40" s="2">
        <f t="shared" si="0"/>
        <v>-10</v>
      </c>
      <c r="M40" s="2"/>
      <c r="N40" s="21">
        <f t="shared" si="1"/>
        <v>-0.34482758620689657</v>
      </c>
      <c r="O40" s="11"/>
      <c r="P40" s="2">
        <f>--38</f>
        <v>38</v>
      </c>
      <c r="Q40" s="2"/>
      <c r="R40" s="21"/>
      <c r="S40" s="2"/>
      <c r="T40" s="2">
        <f>--29</f>
        <v>29</v>
      </c>
      <c r="U40" s="2"/>
      <c r="V40" s="21"/>
      <c r="W40" s="2"/>
      <c r="X40" s="2">
        <f t="shared" si="2"/>
        <v>9</v>
      </c>
      <c r="Y40" s="2"/>
      <c r="Z40" s="21">
        <f t="shared" si="3"/>
        <v>0.31034482758620691</v>
      </c>
    </row>
    <row r="41" spans="1:26" s="24" customFormat="1" hidden="1" outlineLevel="1" x14ac:dyDescent="0.25">
      <c r="A41" s="50"/>
      <c r="B41" s="11" t="str">
        <f>CONCATENATE("          ", "4083", " - ", "TAXABLE SALES-COMPUTER EQUIPME")</f>
        <v xml:space="preserve">          4083 - TAXABLE SALES-COMPUTER EQUIPME</v>
      </c>
      <c r="C41" s="11"/>
      <c r="D41" s="2">
        <f>--29.98</f>
        <v>29.98</v>
      </c>
      <c r="E41" s="2"/>
      <c r="F41" s="21"/>
      <c r="G41" s="2"/>
      <c r="H41" s="2">
        <f>--114.9</f>
        <v>114.9</v>
      </c>
      <c r="I41" s="2"/>
      <c r="J41" s="21"/>
      <c r="K41" s="2"/>
      <c r="L41" s="2">
        <f t="shared" si="0"/>
        <v>-84.92</v>
      </c>
      <c r="M41" s="2"/>
      <c r="N41" s="21">
        <f t="shared" si="1"/>
        <v>-0.73907745865970409</v>
      </c>
      <c r="O41" s="11"/>
      <c r="P41" s="2">
        <f>--29.98</f>
        <v>29.98</v>
      </c>
      <c r="Q41" s="2"/>
      <c r="R41" s="21"/>
      <c r="S41" s="2"/>
      <c r="T41" s="2">
        <f>--134.88</f>
        <v>134.88</v>
      </c>
      <c r="U41" s="2"/>
      <c r="V41" s="21"/>
      <c r="W41" s="2"/>
      <c r="X41" s="2">
        <f t="shared" si="2"/>
        <v>-104.89999999999999</v>
      </c>
      <c r="Y41" s="2"/>
      <c r="Z41" s="21">
        <f t="shared" si="3"/>
        <v>-0.77772835112692762</v>
      </c>
    </row>
    <row r="42" spans="1:26" s="24" customFormat="1" hidden="1" outlineLevel="1" x14ac:dyDescent="0.25">
      <c r="A42" s="50"/>
      <c r="B42" s="11" t="str">
        <f>CONCATENATE("          ", "4086", " - ", "TAXABLE SALES-COMPUTER SUPPLIE")</f>
        <v xml:space="preserve">          4086 - TAXABLE SALES-COMPUTER SUPPLIE</v>
      </c>
      <c r="C42" s="11"/>
      <c r="D42" s="2">
        <f>--93.96</f>
        <v>93.96</v>
      </c>
      <c r="E42" s="2"/>
      <c r="F42" s="21"/>
      <c r="G42" s="2"/>
      <c r="H42" s="2">
        <f>--144.93</f>
        <v>144.93</v>
      </c>
      <c r="I42" s="2"/>
      <c r="J42" s="21"/>
      <c r="K42" s="2"/>
      <c r="L42" s="2">
        <f t="shared" si="0"/>
        <v>-50.970000000000013</v>
      </c>
      <c r="M42" s="2"/>
      <c r="N42" s="21">
        <f t="shared" si="1"/>
        <v>-0.35168702132063762</v>
      </c>
      <c r="O42" s="11"/>
      <c r="P42" s="2">
        <f>--108.95</f>
        <v>108.95</v>
      </c>
      <c r="Q42" s="2"/>
      <c r="R42" s="21"/>
      <c r="S42" s="2"/>
      <c r="T42" s="2">
        <f>--169.91</f>
        <v>169.91</v>
      </c>
      <c r="U42" s="2"/>
      <c r="V42" s="21"/>
      <c r="W42" s="2"/>
      <c r="X42" s="2">
        <f t="shared" si="2"/>
        <v>-60.959999999999994</v>
      </c>
      <c r="Y42" s="2"/>
      <c r="Z42" s="21">
        <f t="shared" si="3"/>
        <v>-0.3587781766817727</v>
      </c>
    </row>
    <row r="43" spans="1:26" s="24" customFormat="1" hidden="1" outlineLevel="1" x14ac:dyDescent="0.25">
      <c r="A43" s="50"/>
      <c r="B43" s="11" t="str">
        <f>CONCATENATE("          ", "4092", " - ", "TAXABLE SALES-GRAD MERCH")</f>
        <v xml:space="preserve">          4092 - TAXABLE SALES-GRAD MERCH</v>
      </c>
      <c r="C43" s="11"/>
      <c r="D43" s="2">
        <f>--1694.1</f>
        <v>1694.1</v>
      </c>
      <c r="E43" s="2"/>
      <c r="F43" s="21"/>
      <c r="G43" s="2"/>
      <c r="H43" s="2">
        <f>--677.9</f>
        <v>677.9</v>
      </c>
      <c r="I43" s="2"/>
      <c r="J43" s="21"/>
      <c r="K43" s="2"/>
      <c r="L43" s="2">
        <f t="shared" si="0"/>
        <v>1016.1999999999999</v>
      </c>
      <c r="M43" s="2"/>
      <c r="N43" s="21">
        <f t="shared" si="1"/>
        <v>1.4990411565127599</v>
      </c>
      <c r="O43" s="11"/>
      <c r="P43" s="2">
        <f>--3822.73</f>
        <v>3822.73</v>
      </c>
      <c r="Q43" s="2"/>
      <c r="R43" s="21"/>
      <c r="S43" s="2"/>
      <c r="T43" s="2">
        <f>--4016.4</f>
        <v>4016.4</v>
      </c>
      <c r="U43" s="2"/>
      <c r="V43" s="21"/>
      <c r="W43" s="2"/>
      <c r="X43" s="2">
        <f t="shared" si="2"/>
        <v>-193.67000000000007</v>
      </c>
      <c r="Y43" s="2"/>
      <c r="Z43" s="21">
        <f t="shared" si="3"/>
        <v>-4.8219798824818264E-2</v>
      </c>
    </row>
    <row r="44" spans="1:26" s="24" customFormat="1" hidden="1" outlineLevel="1" x14ac:dyDescent="0.25">
      <c r="A44" s="50"/>
      <c r="B44" s="11" t="str">
        <f>CONCATENATE("          ", "4095", " - ", "TAXABLE SALES-CUSTOMER SERVICE")</f>
        <v xml:space="preserve">          4095 - TAXABLE SALES-CUSTOMER SERVICE</v>
      </c>
      <c r="C44" s="11"/>
      <c r="D44" s="2">
        <f>--127.49</f>
        <v>127.49</v>
      </c>
      <c r="E44" s="2"/>
      <c r="F44" s="21"/>
      <c r="G44" s="2"/>
      <c r="H44" s="2">
        <f>--326.7</f>
        <v>326.7</v>
      </c>
      <c r="I44" s="2"/>
      <c r="J44" s="21"/>
      <c r="K44" s="2"/>
      <c r="L44" s="2">
        <f t="shared" si="0"/>
        <v>-199.20999999999998</v>
      </c>
      <c r="M44" s="2"/>
      <c r="N44" s="21">
        <f t="shared" si="1"/>
        <v>-0.60976430976430973</v>
      </c>
      <c r="O44" s="11"/>
      <c r="P44" s="2">
        <f>--174.02</f>
        <v>174.02</v>
      </c>
      <c r="Q44" s="2"/>
      <c r="R44" s="21"/>
      <c r="S44" s="2"/>
      <c r="T44" s="2">
        <f>--513.81</f>
        <v>513.80999999999995</v>
      </c>
      <c r="U44" s="2"/>
      <c r="V44" s="21"/>
      <c r="W44" s="2"/>
      <c r="X44" s="2">
        <f t="shared" si="2"/>
        <v>-339.78999999999996</v>
      </c>
      <c r="Y44" s="2"/>
      <c r="Z44" s="21">
        <f t="shared" si="3"/>
        <v>-0.66131449368443584</v>
      </c>
    </row>
    <row r="45" spans="1:26" s="24" customFormat="1" hidden="1" outlineLevel="1" x14ac:dyDescent="0.25">
      <c r="A45" s="50"/>
      <c r="B45" s="11" t="str">
        <f>CONCATENATE("          ", "4100", " - ", "NON-TAXABLE SALES")</f>
        <v xml:space="preserve">          4100 - NON-TAXABLE SALES</v>
      </c>
      <c r="C45" s="11"/>
      <c r="D45" s="2">
        <f>--261252.23</f>
        <v>261252.23</v>
      </c>
      <c r="E45" s="2"/>
      <c r="F45" s="21"/>
      <c r="G45" s="2"/>
      <c r="H45" s="2">
        <f>--300198.31</f>
        <v>300198.31</v>
      </c>
      <c r="I45" s="2"/>
      <c r="J45" s="21"/>
      <c r="K45" s="2"/>
      <c r="L45" s="2">
        <f t="shared" si="0"/>
        <v>-38946.079999999987</v>
      </c>
      <c r="M45" s="2"/>
      <c r="N45" s="21">
        <f t="shared" si="1"/>
        <v>-0.12973450783250576</v>
      </c>
      <c r="O45" s="11"/>
      <c r="P45" s="2">
        <f>--265514.43</f>
        <v>265514.43</v>
      </c>
      <c r="Q45" s="2"/>
      <c r="R45" s="21"/>
      <c r="S45" s="2"/>
      <c r="T45" s="2">
        <f>--311059.16</f>
        <v>311059.15999999997</v>
      </c>
      <c r="U45" s="2"/>
      <c r="V45" s="21"/>
      <c r="W45" s="2"/>
      <c r="X45" s="2">
        <f t="shared" si="2"/>
        <v>-45544.729999999981</v>
      </c>
      <c r="Y45" s="2"/>
      <c r="Z45" s="21">
        <f t="shared" si="3"/>
        <v>-0.14641822475184457</v>
      </c>
    </row>
    <row r="46" spans="1:26" s="24" customFormat="1" hidden="1" outlineLevel="1" x14ac:dyDescent="0.25">
      <c r="A46" s="50"/>
      <c r="B46" s="11" t="str">
        <f>CONCATENATE("          ", "4101", " - ", "NON-TAXABLE SALES-NEW TEXT")</f>
        <v xml:space="preserve">          4101 - NON-TAXABLE SALES-NEW TEXT</v>
      </c>
      <c r="C46" s="11"/>
      <c r="D46" s="2">
        <f>--48156.44</f>
        <v>48156.44</v>
      </c>
      <c r="E46" s="2"/>
      <c r="F46" s="21"/>
      <c r="G46" s="2"/>
      <c r="H46" s="2">
        <f>--72613.98</f>
        <v>72613.98</v>
      </c>
      <c r="I46" s="2"/>
      <c r="J46" s="21"/>
      <c r="K46" s="2"/>
      <c r="L46" s="2">
        <f t="shared" si="0"/>
        <v>-24457.539999999994</v>
      </c>
      <c r="M46" s="2"/>
      <c r="N46" s="21">
        <f t="shared" si="1"/>
        <v>-0.33681585832370015</v>
      </c>
      <c r="O46" s="11"/>
      <c r="P46" s="2">
        <f>--55893.02</f>
        <v>55893.02</v>
      </c>
      <c r="Q46" s="2"/>
      <c r="R46" s="21"/>
      <c r="S46" s="2"/>
      <c r="T46" s="2">
        <f>--89447.21</f>
        <v>89447.21</v>
      </c>
      <c r="U46" s="2"/>
      <c r="V46" s="21"/>
      <c r="W46" s="2"/>
      <c r="X46" s="2">
        <f t="shared" si="2"/>
        <v>-33554.19000000001</v>
      </c>
      <c r="Y46" s="2"/>
      <c r="Z46" s="21">
        <f t="shared" si="3"/>
        <v>-0.3751284137314066</v>
      </c>
    </row>
    <row r="47" spans="1:26" s="24" customFormat="1" hidden="1" outlineLevel="1" x14ac:dyDescent="0.25">
      <c r="A47" s="50"/>
      <c r="B47" s="11" t="str">
        <f>CONCATENATE("          ", "4102", " - ", "NON-TAXABLE SALES-USED TEXT")</f>
        <v xml:space="preserve">          4102 - NON-TAXABLE SALES-USED TEXT</v>
      </c>
      <c r="C47" s="11"/>
      <c r="D47" s="2">
        <f>--27115.09</f>
        <v>27115.09</v>
      </c>
      <c r="E47" s="2"/>
      <c r="F47" s="21"/>
      <c r="G47" s="2"/>
      <c r="H47" s="2">
        <f>--38685.49</f>
        <v>38685.49</v>
      </c>
      <c r="I47" s="2"/>
      <c r="J47" s="21"/>
      <c r="K47" s="2"/>
      <c r="L47" s="2">
        <f t="shared" si="0"/>
        <v>-11570.399999999998</v>
      </c>
      <c r="M47" s="2"/>
      <c r="N47" s="21">
        <f t="shared" si="1"/>
        <v>-0.29908888319625776</v>
      </c>
      <c r="O47" s="11"/>
      <c r="P47" s="2">
        <f>--32474.33</f>
        <v>32474.33</v>
      </c>
      <c r="Q47" s="2"/>
      <c r="R47" s="21"/>
      <c r="S47" s="2"/>
      <c r="T47" s="2">
        <f>--41302.43</f>
        <v>41302.43</v>
      </c>
      <c r="U47" s="2"/>
      <c r="V47" s="21"/>
      <c r="W47" s="2"/>
      <c r="X47" s="2">
        <f t="shared" si="2"/>
        <v>-8828.0999999999985</v>
      </c>
      <c r="Y47" s="2"/>
      <c r="Z47" s="21">
        <f t="shared" si="3"/>
        <v>-0.21374287178744686</v>
      </c>
    </row>
    <row r="48" spans="1:26" s="24" customFormat="1" hidden="1" outlineLevel="1" x14ac:dyDescent="0.25">
      <c r="A48" s="50"/>
      <c r="B48" s="11" t="str">
        <f>CONCATENATE("          ", "4103", " - ", "NON-TAXABLE SALES-RENTAL TEXT")</f>
        <v xml:space="preserve">          4103 - NON-TAXABLE SALES-RENTAL TEXT</v>
      </c>
      <c r="C48" s="11"/>
      <c r="D48" s="2">
        <f>--474.97</f>
        <v>474.97</v>
      </c>
      <c r="E48" s="2"/>
      <c r="F48" s="21"/>
      <c r="G48" s="2"/>
      <c r="H48" s="2">
        <f>--169.95</f>
        <v>169.95</v>
      </c>
      <c r="I48" s="2"/>
      <c r="J48" s="21"/>
      <c r="K48" s="2"/>
      <c r="L48" s="2">
        <f t="shared" si="0"/>
        <v>305.02000000000004</v>
      </c>
      <c r="M48" s="2"/>
      <c r="N48" s="21">
        <f t="shared" si="1"/>
        <v>1.7947631656369525</v>
      </c>
      <c r="O48" s="11"/>
      <c r="P48" s="2">
        <f>--474.97</f>
        <v>474.97</v>
      </c>
      <c r="Q48" s="2"/>
      <c r="R48" s="21"/>
      <c r="S48" s="2"/>
      <c r="T48" s="2">
        <f>--169.95</f>
        <v>169.95</v>
      </c>
      <c r="U48" s="2"/>
      <c r="V48" s="21"/>
      <c r="W48" s="2"/>
      <c r="X48" s="2">
        <f t="shared" si="2"/>
        <v>305.02000000000004</v>
      </c>
      <c r="Y48" s="2"/>
      <c r="Z48" s="21">
        <f t="shared" si="3"/>
        <v>1.7947631656369525</v>
      </c>
    </row>
    <row r="49" spans="1:26" s="24" customFormat="1" hidden="1" outlineLevel="1" x14ac:dyDescent="0.25">
      <c r="A49" s="50"/>
      <c r="B49" s="11" t="str">
        <f>CONCATENATE("          ", "4104", " - ", "NON-TAXABLE SALES-DIGITAL TEXT")</f>
        <v xml:space="preserve">          4104 - NON-TAXABLE SALES-DIGITAL TEXT</v>
      </c>
      <c r="C49" s="11"/>
      <c r="D49" s="2">
        <f>--246443.9</f>
        <v>246443.9</v>
      </c>
      <c r="E49" s="2"/>
      <c r="F49" s="21"/>
      <c r="G49" s="2"/>
      <c r="H49" s="2">
        <f>--257792.9</f>
        <v>257792.9</v>
      </c>
      <c r="I49" s="2"/>
      <c r="J49" s="21"/>
      <c r="K49" s="2"/>
      <c r="L49" s="2">
        <f t="shared" si="0"/>
        <v>-11349</v>
      </c>
      <c r="M49" s="2"/>
      <c r="N49" s="21">
        <f t="shared" si="1"/>
        <v>-4.4023710505603532E-2</v>
      </c>
      <c r="O49" s="11"/>
      <c r="P49" s="2">
        <f>--259868.07</f>
        <v>259868.07</v>
      </c>
      <c r="Q49" s="2"/>
      <c r="R49" s="21"/>
      <c r="S49" s="2"/>
      <c r="T49" s="2">
        <f>--265140.56</f>
        <v>265140.56</v>
      </c>
      <c r="U49" s="2"/>
      <c r="V49" s="21"/>
      <c r="W49" s="2"/>
      <c r="X49" s="2">
        <f t="shared" si="2"/>
        <v>-5272.4899999999907</v>
      </c>
      <c r="Y49" s="2"/>
      <c r="Z49" s="21">
        <f t="shared" si="3"/>
        <v>-1.9885641035079622E-2</v>
      </c>
    </row>
    <row r="50" spans="1:26" s="24" customFormat="1" hidden="1" outlineLevel="1" x14ac:dyDescent="0.25">
      <c r="A50" s="50"/>
      <c r="B50" s="11" t="str">
        <f>CONCATENATE("          ", "4111", " - ", "NON-TAXABLE SALES-NO VALUE TEX")</f>
        <v xml:space="preserve">          4111 - NON-TAXABLE SALES-NO VALUE TEX</v>
      </c>
      <c r="C50" s="11"/>
      <c r="D50" s="2">
        <f>--3067.16</f>
        <v>3067.16</v>
      </c>
      <c r="E50" s="2"/>
      <c r="F50" s="21"/>
      <c r="G50" s="2"/>
      <c r="H50" s="2">
        <f>--3839.39</f>
        <v>3839.39</v>
      </c>
      <c r="I50" s="2"/>
      <c r="J50" s="21"/>
      <c r="K50" s="2"/>
      <c r="L50" s="2">
        <f t="shared" si="0"/>
        <v>-772.23</v>
      </c>
      <c r="M50" s="2"/>
      <c r="N50" s="21">
        <f t="shared" si="1"/>
        <v>-0.20113351339665939</v>
      </c>
      <c r="O50" s="11"/>
      <c r="P50" s="2">
        <f>--5748.11</f>
        <v>5748.11</v>
      </c>
      <c r="Q50" s="2"/>
      <c r="R50" s="21"/>
      <c r="S50" s="2"/>
      <c r="T50" s="2">
        <f>--6667.97</f>
        <v>6667.97</v>
      </c>
      <c r="U50" s="2"/>
      <c r="V50" s="21"/>
      <c r="W50" s="2"/>
      <c r="X50" s="2">
        <f t="shared" si="2"/>
        <v>-919.86000000000058</v>
      </c>
      <c r="Y50" s="2"/>
      <c r="Z50" s="21">
        <f t="shared" si="3"/>
        <v>-0.13795203037806117</v>
      </c>
    </row>
    <row r="51" spans="1:26" s="24" customFormat="1" hidden="1" outlineLevel="1" x14ac:dyDescent="0.25">
      <c r="A51" s="50"/>
      <c r="B51" s="11" t="str">
        <f>CONCATENATE("          ", "4113", " - ", "NON-TAXABLE SALES-TRADE BOOKS")</f>
        <v xml:space="preserve">          4113 - NON-TAXABLE SALES-TRADE BOOKS</v>
      </c>
      <c r="C51" s="11"/>
      <c r="D51" s="2">
        <f>--12.72</f>
        <v>12.72</v>
      </c>
      <c r="E51" s="2"/>
      <c r="F51" s="21"/>
      <c r="G51" s="2"/>
      <c r="H51" s="2">
        <f>--31.17</f>
        <v>31.17</v>
      </c>
      <c r="I51" s="2"/>
      <c r="J51" s="21"/>
      <c r="K51" s="2"/>
      <c r="L51" s="2">
        <f t="shared" si="0"/>
        <v>-18.450000000000003</v>
      </c>
      <c r="M51" s="2"/>
      <c r="N51" s="21">
        <f t="shared" si="1"/>
        <v>-0.59191530317613095</v>
      </c>
      <c r="O51" s="11"/>
      <c r="P51" s="2">
        <f>--1146.72</f>
        <v>1146.72</v>
      </c>
      <c r="Q51" s="2"/>
      <c r="R51" s="21"/>
      <c r="S51" s="2"/>
      <c r="T51" s="2">
        <f>--38.23</f>
        <v>38.229999999999997</v>
      </c>
      <c r="U51" s="2"/>
      <c r="V51" s="21"/>
      <c r="W51" s="2"/>
      <c r="X51" s="2">
        <f t="shared" si="2"/>
        <v>1108.49</v>
      </c>
      <c r="Y51" s="2"/>
      <c r="Z51" s="21">
        <f t="shared" si="3"/>
        <v>28.995291655767723</v>
      </c>
    </row>
    <row r="52" spans="1:26" s="24" customFormat="1" hidden="1" outlineLevel="1" x14ac:dyDescent="0.25">
      <c r="A52" s="50"/>
      <c r="B52" s="11" t="str">
        <f>CONCATENATE("          ", "4118", " - ", "NON-TAXABLE SALES-STUDY GUIDES")</f>
        <v xml:space="preserve">          4118 - NON-TAXABLE SALES-STUDY GUIDES</v>
      </c>
      <c r="C52" s="11"/>
      <c r="D52" s="2">
        <f>--7.02</f>
        <v>7.02</v>
      </c>
      <c r="E52" s="2"/>
      <c r="F52" s="21"/>
      <c r="G52" s="2"/>
      <c r="H52" s="2">
        <f>--75.48</f>
        <v>75.48</v>
      </c>
      <c r="I52" s="2"/>
      <c r="J52" s="21"/>
      <c r="K52" s="2"/>
      <c r="L52" s="2">
        <f t="shared" si="0"/>
        <v>-68.460000000000008</v>
      </c>
      <c r="M52" s="2"/>
      <c r="N52" s="21">
        <f t="shared" si="1"/>
        <v>-0.90699523052464237</v>
      </c>
      <c r="O52" s="11"/>
      <c r="P52" s="2">
        <f>--13.97</f>
        <v>13.97</v>
      </c>
      <c r="Q52" s="2"/>
      <c r="R52" s="21"/>
      <c r="S52" s="2"/>
      <c r="T52" s="2">
        <f>--111.41</f>
        <v>111.41</v>
      </c>
      <c r="U52" s="2"/>
      <c r="V52" s="21"/>
      <c r="W52" s="2"/>
      <c r="X52" s="2">
        <f t="shared" si="2"/>
        <v>-97.44</v>
      </c>
      <c r="Y52" s="2"/>
      <c r="Z52" s="21">
        <f t="shared" si="3"/>
        <v>-0.87460730634592943</v>
      </c>
    </row>
    <row r="53" spans="1:26" s="24" customFormat="1" hidden="1" outlineLevel="1" x14ac:dyDescent="0.25">
      <c r="A53" s="50"/>
      <c r="B53" s="11" t="str">
        <f>CONCATENATE("          ", "4125", " - ", "NON-TAXABLE SALES-TEST FORMS")</f>
        <v xml:space="preserve">          4125 - NON-TAXABLE SALES-TEST FORMS</v>
      </c>
      <c r="C53" s="11"/>
      <c r="D53" s="2">
        <f>--77.17</f>
        <v>77.17</v>
      </c>
      <c r="E53" s="2"/>
      <c r="F53" s="21"/>
      <c r="G53" s="2"/>
      <c r="H53" s="2">
        <f>--102.67</f>
        <v>102.67</v>
      </c>
      <c r="I53" s="2"/>
      <c r="J53" s="21"/>
      <c r="K53" s="2"/>
      <c r="L53" s="2">
        <f t="shared" si="0"/>
        <v>-25.5</v>
      </c>
      <c r="M53" s="2"/>
      <c r="N53" s="21">
        <f t="shared" si="1"/>
        <v>-0.24836855946235512</v>
      </c>
      <c r="O53" s="11"/>
      <c r="P53" s="2">
        <f>--82.15</f>
        <v>82.15</v>
      </c>
      <c r="Q53" s="2"/>
      <c r="R53" s="21"/>
      <c r="S53" s="2"/>
      <c r="T53" s="2">
        <f>--108.79</f>
        <v>108.79</v>
      </c>
      <c r="U53" s="2"/>
      <c r="V53" s="21"/>
      <c r="W53" s="2"/>
      <c r="X53" s="2">
        <f t="shared" si="2"/>
        <v>-26.64</v>
      </c>
      <c r="Y53" s="2"/>
      <c r="Z53" s="21">
        <f t="shared" si="3"/>
        <v>-0.24487544811103962</v>
      </c>
    </row>
    <row r="54" spans="1:26" s="24" customFormat="1" hidden="1" outlineLevel="1" x14ac:dyDescent="0.25">
      <c r="A54" s="50"/>
      <c r="B54" s="11" t="str">
        <f>CONCATENATE("          ", "4126", " - ", "NON-TAXABLE SALES-WRITING INST")</f>
        <v xml:space="preserve">          4126 - NON-TAXABLE SALES-WRITING INST</v>
      </c>
      <c r="C54" s="11"/>
      <c r="D54" s="2">
        <f>--844.09</f>
        <v>844.09</v>
      </c>
      <c r="E54" s="2"/>
      <c r="F54" s="21"/>
      <c r="G54" s="2"/>
      <c r="H54" s="2">
        <f>--916.07</f>
        <v>916.07</v>
      </c>
      <c r="I54" s="2"/>
      <c r="J54" s="21"/>
      <c r="K54" s="2"/>
      <c r="L54" s="2">
        <f t="shared" si="0"/>
        <v>-71.980000000000018</v>
      </c>
      <c r="M54" s="2"/>
      <c r="N54" s="21">
        <f t="shared" si="1"/>
        <v>-7.8574781403167898E-2</v>
      </c>
      <c r="O54" s="11"/>
      <c r="P54" s="2">
        <f>--1011.12</f>
        <v>1011.12</v>
      </c>
      <c r="Q54" s="2"/>
      <c r="R54" s="21"/>
      <c r="S54" s="2"/>
      <c r="T54" s="2">
        <f>--1180.97</f>
        <v>1180.97</v>
      </c>
      <c r="U54" s="2"/>
      <c r="V54" s="21"/>
      <c r="W54" s="2"/>
      <c r="X54" s="2">
        <f t="shared" si="2"/>
        <v>-169.85000000000002</v>
      </c>
      <c r="Y54" s="2"/>
      <c r="Z54" s="21">
        <f t="shared" si="3"/>
        <v>-0.14382245103601279</v>
      </c>
    </row>
    <row r="55" spans="1:26" s="24" customFormat="1" hidden="1" outlineLevel="1" x14ac:dyDescent="0.25">
      <c r="A55" s="50"/>
      <c r="B55" s="11" t="str">
        <f>CONCATENATE("          ", "4127", " - ", "NON-TAXABLE SALES-SCHOOL SUPPL")</f>
        <v xml:space="preserve">          4127 - NON-TAXABLE SALES-SCHOOL SUPPL</v>
      </c>
      <c r="C55" s="11"/>
      <c r="D55" s="2">
        <f>--1692.39</f>
        <v>1692.39</v>
      </c>
      <c r="E55" s="2"/>
      <c r="F55" s="21"/>
      <c r="G55" s="2"/>
      <c r="H55" s="2">
        <f>--1764.56</f>
        <v>1764.56</v>
      </c>
      <c r="I55" s="2"/>
      <c r="J55" s="21"/>
      <c r="K55" s="2"/>
      <c r="L55" s="2">
        <f t="shared" si="0"/>
        <v>-72.169999999999845</v>
      </c>
      <c r="M55" s="2"/>
      <c r="N55" s="21">
        <f t="shared" si="1"/>
        <v>-4.0899714376388362E-2</v>
      </c>
      <c r="O55" s="11"/>
      <c r="P55" s="2">
        <f>--1870.28</f>
        <v>1870.28</v>
      </c>
      <c r="Q55" s="2"/>
      <c r="R55" s="21"/>
      <c r="S55" s="2"/>
      <c r="T55" s="2">
        <f>--1899.72</f>
        <v>1899.72</v>
      </c>
      <c r="U55" s="2"/>
      <c r="V55" s="21"/>
      <c r="W55" s="2"/>
      <c r="X55" s="2">
        <f t="shared" si="2"/>
        <v>-29.440000000000055</v>
      </c>
      <c r="Y55" s="2"/>
      <c r="Z55" s="21">
        <f t="shared" si="3"/>
        <v>-1.5497020613564132E-2</v>
      </c>
    </row>
    <row r="56" spans="1:26" s="24" customFormat="1" hidden="1" outlineLevel="1" x14ac:dyDescent="0.25">
      <c r="A56" s="50"/>
      <c r="B56" s="11" t="str">
        <f>CONCATENATE("          ", "4128", " - ", "NON-TAXABLE SALES-ART/TECH")</f>
        <v xml:space="preserve">          4128 - NON-TAXABLE SALES-ART/TECH</v>
      </c>
      <c r="C56" s="11"/>
      <c r="D56" s="2">
        <f>--128.61</f>
        <v>128.61000000000001</v>
      </c>
      <c r="E56" s="2"/>
      <c r="F56" s="21"/>
      <c r="G56" s="2"/>
      <c r="H56" s="2">
        <f>--373.3</f>
        <v>373.3</v>
      </c>
      <c r="I56" s="2"/>
      <c r="J56" s="21"/>
      <c r="K56" s="2"/>
      <c r="L56" s="2">
        <f t="shared" si="0"/>
        <v>-244.69</v>
      </c>
      <c r="M56" s="2"/>
      <c r="N56" s="21">
        <f t="shared" si="1"/>
        <v>-0.65547816769354406</v>
      </c>
      <c r="O56" s="11"/>
      <c r="P56" s="2">
        <f>--130.1</f>
        <v>130.1</v>
      </c>
      <c r="Q56" s="2"/>
      <c r="R56" s="21"/>
      <c r="S56" s="2"/>
      <c r="T56" s="2">
        <f>--403.99</f>
        <v>403.99</v>
      </c>
      <c r="U56" s="2"/>
      <c r="V56" s="21"/>
      <c r="W56" s="2"/>
      <c r="X56" s="2">
        <f t="shared" si="2"/>
        <v>-273.89</v>
      </c>
      <c r="Y56" s="2"/>
      <c r="Z56" s="21">
        <f t="shared" si="3"/>
        <v>-0.67796232580014348</v>
      </c>
    </row>
    <row r="57" spans="1:26" s="24" customFormat="1" hidden="1" outlineLevel="1" x14ac:dyDescent="0.25">
      <c r="A57" s="50"/>
      <c r="B57" s="11" t="str">
        <f>CONCATENATE("          ", "4131", " - ", "NON-TAXABLE SALES-FOOD")</f>
        <v xml:space="preserve">          4131 - NON-TAXABLE SALES-FOOD</v>
      </c>
      <c r="C57" s="11"/>
      <c r="D57" s="2">
        <f>--2447.58</f>
        <v>2447.58</v>
      </c>
      <c r="E57" s="2"/>
      <c r="F57" s="21"/>
      <c r="G57" s="2"/>
      <c r="H57" s="2">
        <f>--2624.89</f>
        <v>2624.89</v>
      </c>
      <c r="I57" s="2"/>
      <c r="J57" s="21"/>
      <c r="K57" s="2"/>
      <c r="L57" s="2">
        <f t="shared" si="0"/>
        <v>-177.30999999999995</v>
      </c>
      <c r="M57" s="2"/>
      <c r="N57" s="21">
        <f t="shared" si="1"/>
        <v>-6.7549497312268308E-2</v>
      </c>
      <c r="O57" s="11"/>
      <c r="P57" s="2">
        <f>--2717.2</f>
        <v>2717.2</v>
      </c>
      <c r="Q57" s="2"/>
      <c r="R57" s="21"/>
      <c r="S57" s="2"/>
      <c r="T57" s="2">
        <f>--2954.45</f>
        <v>2954.45</v>
      </c>
      <c r="U57" s="2"/>
      <c r="V57" s="21"/>
      <c r="W57" s="2"/>
      <c r="X57" s="2">
        <f t="shared" si="2"/>
        <v>-237.25</v>
      </c>
      <c r="Y57" s="2"/>
      <c r="Z57" s="21">
        <f t="shared" si="3"/>
        <v>-8.030259439151112E-2</v>
      </c>
    </row>
    <row r="58" spans="1:26" s="24" customFormat="1" hidden="1" outlineLevel="1" x14ac:dyDescent="0.25">
      <c r="A58" s="50"/>
      <c r="B58" s="11" t="str">
        <f>CONCATENATE("          ", "4132", " - ", "NON-TAXABLE SALES-JUICE")</f>
        <v xml:space="preserve">          4132 - NON-TAXABLE SALES-JUICE</v>
      </c>
      <c r="C58" s="11"/>
      <c r="D58" s="2">
        <f>--713.6</f>
        <v>713.6</v>
      </c>
      <c r="E58" s="2"/>
      <c r="F58" s="21"/>
      <c r="G58" s="2"/>
      <c r="H58" s="2">
        <f>--623.58</f>
        <v>623.58000000000004</v>
      </c>
      <c r="I58" s="2"/>
      <c r="J58" s="21"/>
      <c r="K58" s="2"/>
      <c r="L58" s="2">
        <f t="shared" si="0"/>
        <v>90.019999999999982</v>
      </c>
      <c r="M58" s="2"/>
      <c r="N58" s="21">
        <f t="shared" si="1"/>
        <v>0.14435998588793736</v>
      </c>
      <c r="O58" s="11"/>
      <c r="P58" s="2">
        <f>--758.91</f>
        <v>758.91</v>
      </c>
      <c r="Q58" s="2"/>
      <c r="R58" s="21"/>
      <c r="S58" s="2"/>
      <c r="T58" s="2">
        <f>--694.49</f>
        <v>694.49</v>
      </c>
      <c r="U58" s="2"/>
      <c r="V58" s="21"/>
      <c r="W58" s="2"/>
      <c r="X58" s="2">
        <f t="shared" si="2"/>
        <v>64.419999999999959</v>
      </c>
      <c r="Y58" s="2"/>
      <c r="Z58" s="21">
        <f t="shared" si="3"/>
        <v>9.2758715028294081E-2</v>
      </c>
    </row>
    <row r="59" spans="1:26" s="24" customFormat="1" hidden="1" outlineLevel="1" x14ac:dyDescent="0.25">
      <c r="A59" s="50"/>
      <c r="B59" s="11" t="str">
        <f>CONCATENATE("          ", "4133", " - ", "NON-TAXABLE SALES-CANDY")</f>
        <v xml:space="preserve">          4133 - NON-TAXABLE SALES-CANDY</v>
      </c>
      <c r="C59" s="11"/>
      <c r="D59" s="2">
        <f>--900.13</f>
        <v>900.13</v>
      </c>
      <c r="E59" s="2"/>
      <c r="F59" s="21"/>
      <c r="G59" s="2"/>
      <c r="H59" s="2">
        <f>--824.26</f>
        <v>824.26</v>
      </c>
      <c r="I59" s="2"/>
      <c r="J59" s="21"/>
      <c r="K59" s="2"/>
      <c r="L59" s="2">
        <f t="shared" si="0"/>
        <v>75.87</v>
      </c>
      <c r="M59" s="2"/>
      <c r="N59" s="21">
        <f t="shared" si="1"/>
        <v>9.2046199014873958E-2</v>
      </c>
      <c r="O59" s="11"/>
      <c r="P59" s="2">
        <f>--1372.35</f>
        <v>1372.35</v>
      </c>
      <c r="Q59" s="2"/>
      <c r="R59" s="21"/>
      <c r="S59" s="2"/>
      <c r="T59" s="2">
        <f>--1192.81</f>
        <v>1192.81</v>
      </c>
      <c r="U59" s="2"/>
      <c r="V59" s="21"/>
      <c r="W59" s="2"/>
      <c r="X59" s="2">
        <f t="shared" si="2"/>
        <v>179.53999999999996</v>
      </c>
      <c r="Y59" s="2"/>
      <c r="Z59" s="21">
        <f t="shared" si="3"/>
        <v>0.15051852348655692</v>
      </c>
    </row>
    <row r="60" spans="1:26" s="24" customFormat="1" hidden="1" outlineLevel="1" x14ac:dyDescent="0.25">
      <c r="A60" s="50"/>
      <c r="B60" s="11" t="str">
        <f>CONCATENATE("          ", "4134", " - ", "NON-TAXABLE SALES-SODA")</f>
        <v xml:space="preserve">          4134 - NON-TAXABLE SALES-SODA</v>
      </c>
      <c r="C60" s="11"/>
      <c r="D60" s="2">
        <f>0</f>
        <v>0</v>
      </c>
      <c r="E60" s="2"/>
      <c r="F60" s="21"/>
      <c r="G60" s="2"/>
      <c r="H60" s="2">
        <f>--48.48</f>
        <v>48.48</v>
      </c>
      <c r="I60" s="2"/>
      <c r="J60" s="21"/>
      <c r="K60" s="2"/>
      <c r="L60" s="2">
        <f t="shared" si="0"/>
        <v>-48.48</v>
      </c>
      <c r="M60" s="2"/>
      <c r="N60" s="21">
        <f t="shared" si="1"/>
        <v>-1</v>
      </c>
      <c r="O60" s="11"/>
      <c r="P60" s="2">
        <f>0</f>
        <v>0</v>
      </c>
      <c r="Q60" s="2"/>
      <c r="R60" s="21"/>
      <c r="S60" s="2"/>
      <c r="T60" s="2">
        <f>--53.73</f>
        <v>53.73</v>
      </c>
      <c r="U60" s="2"/>
      <c r="V60" s="21"/>
      <c r="W60" s="2"/>
      <c r="X60" s="2">
        <f t="shared" si="2"/>
        <v>-53.73</v>
      </c>
      <c r="Y60" s="2"/>
      <c r="Z60" s="21">
        <f t="shared" si="3"/>
        <v>-1</v>
      </c>
    </row>
    <row r="61" spans="1:26" s="24" customFormat="1" hidden="1" outlineLevel="1" x14ac:dyDescent="0.25">
      <c r="A61" s="50"/>
      <c r="B61" s="11" t="str">
        <f>CONCATENATE("          ", "4135", " - ", "NON-TAXABLE SALES")</f>
        <v xml:space="preserve">          4135 - NON-TAXABLE SALES</v>
      </c>
      <c r="C61" s="11"/>
      <c r="D61" s="2">
        <f>--32.21</f>
        <v>32.21</v>
      </c>
      <c r="E61" s="2"/>
      <c r="F61" s="21"/>
      <c r="G61" s="2"/>
      <c r="H61" s="2">
        <f>--9.41</f>
        <v>9.41</v>
      </c>
      <c r="I61" s="2"/>
      <c r="J61" s="21"/>
      <c r="K61" s="2"/>
      <c r="L61" s="2">
        <f t="shared" si="0"/>
        <v>22.8</v>
      </c>
      <c r="M61" s="2"/>
      <c r="N61" s="21">
        <f t="shared" si="1"/>
        <v>2.4229543039319874</v>
      </c>
      <c r="O61" s="11"/>
      <c r="P61" s="2">
        <f>--53.75</f>
        <v>53.75</v>
      </c>
      <c r="Q61" s="2"/>
      <c r="R61" s="21"/>
      <c r="S61" s="2"/>
      <c r="T61" s="2">
        <f>--16.59</f>
        <v>16.59</v>
      </c>
      <c r="U61" s="2"/>
      <c r="V61" s="21"/>
      <c r="W61" s="2"/>
      <c r="X61" s="2">
        <f t="shared" si="2"/>
        <v>37.159999999999997</v>
      </c>
      <c r="Y61" s="2"/>
      <c r="Z61" s="21">
        <f t="shared" si="3"/>
        <v>2.2399035563592524</v>
      </c>
    </row>
    <row r="62" spans="1:26" s="24" customFormat="1" hidden="1" outlineLevel="1" x14ac:dyDescent="0.25">
      <c r="A62" s="50"/>
      <c r="B62" s="11" t="str">
        <f>CONCATENATE("          ", "4137", " - ", "NON-TAXABLE SALES-WATER")</f>
        <v xml:space="preserve">          4137 - NON-TAXABLE SALES-WATER</v>
      </c>
      <c r="C62" s="11"/>
      <c r="D62" s="2">
        <f>--553.7</f>
        <v>553.70000000000005</v>
      </c>
      <c r="E62" s="2"/>
      <c r="F62" s="21"/>
      <c r="G62" s="2"/>
      <c r="H62" s="2">
        <f>--405.59</f>
        <v>405.59</v>
      </c>
      <c r="I62" s="2"/>
      <c r="J62" s="21"/>
      <c r="K62" s="2"/>
      <c r="L62" s="2">
        <f t="shared" si="0"/>
        <v>148.11000000000007</v>
      </c>
      <c r="M62" s="2"/>
      <c r="N62" s="21">
        <f t="shared" si="1"/>
        <v>0.36517172514115259</v>
      </c>
      <c r="O62" s="11"/>
      <c r="P62" s="2">
        <f>--606.72</f>
        <v>606.72</v>
      </c>
      <c r="Q62" s="2"/>
      <c r="R62" s="21"/>
      <c r="S62" s="2"/>
      <c r="T62" s="2">
        <f>--463.97</f>
        <v>463.97</v>
      </c>
      <c r="U62" s="2"/>
      <c r="V62" s="21"/>
      <c r="W62" s="2"/>
      <c r="X62" s="2">
        <f t="shared" si="2"/>
        <v>142.75</v>
      </c>
      <c r="Y62" s="2"/>
      <c r="Z62" s="21">
        <f t="shared" si="3"/>
        <v>0.30767075457464921</v>
      </c>
    </row>
    <row r="63" spans="1:26" s="24" customFormat="1" hidden="1" outlineLevel="1" x14ac:dyDescent="0.25">
      <c r="A63" s="50"/>
      <c r="B63" s="11" t="str">
        <f>CONCATENATE("          ", "4140", " - ", "NON-TAXABLE SALES-LOGO CLOTHIN")</f>
        <v xml:space="preserve">          4140 - NON-TAXABLE SALES-LOGO CLOTHIN</v>
      </c>
      <c r="C63" s="11"/>
      <c r="D63" s="2">
        <f>--1979.29</f>
        <v>1979.29</v>
      </c>
      <c r="E63" s="2"/>
      <c r="F63" s="21"/>
      <c r="G63" s="2"/>
      <c r="H63" s="2">
        <f>--3444.26</f>
        <v>3444.26</v>
      </c>
      <c r="I63" s="2"/>
      <c r="J63" s="21"/>
      <c r="K63" s="2"/>
      <c r="L63" s="2">
        <f t="shared" si="0"/>
        <v>-1464.9700000000003</v>
      </c>
      <c r="M63" s="2"/>
      <c r="N63" s="21">
        <f t="shared" si="1"/>
        <v>-0.42533664705916513</v>
      </c>
      <c r="O63" s="11"/>
      <c r="P63" s="2">
        <f>--5142.96</f>
        <v>5142.96</v>
      </c>
      <c r="Q63" s="2"/>
      <c r="R63" s="21"/>
      <c r="S63" s="2"/>
      <c r="T63" s="2">
        <f>--5257.81</f>
        <v>5257.81</v>
      </c>
      <c r="U63" s="2"/>
      <c r="V63" s="21"/>
      <c r="W63" s="2"/>
      <c r="X63" s="2">
        <f t="shared" si="2"/>
        <v>-114.85000000000036</v>
      </c>
      <c r="Y63" s="2"/>
      <c r="Z63" s="21">
        <f t="shared" si="3"/>
        <v>-2.1843695378874543E-2</v>
      </c>
    </row>
    <row r="64" spans="1:26" s="24" customFormat="1" hidden="1" outlineLevel="1" x14ac:dyDescent="0.25">
      <c r="A64" s="50"/>
      <c r="B64" s="11" t="str">
        <f>CONCATENATE("          ", "4141", " - ", "NON-TAXABLE SALES-LOGO GIFTS")</f>
        <v xml:space="preserve">          4141 - NON-TAXABLE SALES-LOGO GIFTS</v>
      </c>
      <c r="C64" s="11"/>
      <c r="D64" s="2">
        <f>--432.15</f>
        <v>432.15</v>
      </c>
      <c r="E64" s="2"/>
      <c r="F64" s="21"/>
      <c r="G64" s="2"/>
      <c r="H64" s="2">
        <f>--926.4</f>
        <v>926.4</v>
      </c>
      <c r="I64" s="2"/>
      <c r="J64" s="21"/>
      <c r="K64" s="2"/>
      <c r="L64" s="2">
        <f t="shared" si="0"/>
        <v>-494.25</v>
      </c>
      <c r="M64" s="2"/>
      <c r="N64" s="21">
        <f t="shared" si="1"/>
        <v>-0.53351683937823835</v>
      </c>
      <c r="O64" s="11"/>
      <c r="P64" s="2">
        <f>--694.3</f>
        <v>694.3</v>
      </c>
      <c r="Q64" s="2"/>
      <c r="R64" s="21"/>
      <c r="S64" s="2"/>
      <c r="T64" s="2">
        <f>--1120</f>
        <v>1120</v>
      </c>
      <c r="U64" s="2"/>
      <c r="V64" s="21"/>
      <c r="W64" s="2"/>
      <c r="X64" s="2">
        <f t="shared" si="2"/>
        <v>-425.70000000000005</v>
      </c>
      <c r="Y64" s="2"/>
      <c r="Z64" s="21">
        <f t="shared" si="3"/>
        <v>-0.38008928571428574</v>
      </c>
    </row>
    <row r="65" spans="1:26" s="24" customFormat="1" hidden="1" outlineLevel="1" x14ac:dyDescent="0.25">
      <c r="A65" s="50"/>
      <c r="B65" s="11" t="str">
        <f>CONCATENATE("          ", "4142", " - ", "NON-TAXABLE SALES-EVERYDAY GIF")</f>
        <v xml:space="preserve">          4142 - NON-TAXABLE SALES-EVERYDAY GIF</v>
      </c>
      <c r="C65" s="11"/>
      <c r="D65" s="2">
        <f>--577.66</f>
        <v>577.66</v>
      </c>
      <c r="E65" s="2"/>
      <c r="F65" s="21"/>
      <c r="G65" s="2"/>
      <c r="H65" s="2">
        <f>--510.04</f>
        <v>510.04</v>
      </c>
      <c r="I65" s="2"/>
      <c r="J65" s="21"/>
      <c r="K65" s="2"/>
      <c r="L65" s="2">
        <f t="shared" si="0"/>
        <v>67.619999999999948</v>
      </c>
      <c r="M65" s="2"/>
      <c r="N65" s="21">
        <f t="shared" si="1"/>
        <v>0.13257783703238951</v>
      </c>
      <c r="O65" s="11"/>
      <c r="P65" s="2">
        <f>--920.1</f>
        <v>920.1</v>
      </c>
      <c r="Q65" s="2"/>
      <c r="R65" s="21"/>
      <c r="S65" s="2"/>
      <c r="T65" s="2">
        <f>--658.99</f>
        <v>658.99</v>
      </c>
      <c r="U65" s="2"/>
      <c r="V65" s="21"/>
      <c r="W65" s="2"/>
      <c r="X65" s="2">
        <f t="shared" si="2"/>
        <v>261.11</v>
      </c>
      <c r="Y65" s="2"/>
      <c r="Z65" s="21">
        <f t="shared" si="3"/>
        <v>0.39622756035751683</v>
      </c>
    </row>
    <row r="66" spans="1:26" s="24" customFormat="1" hidden="1" outlineLevel="1" x14ac:dyDescent="0.25">
      <c r="A66" s="50"/>
      <c r="B66" s="11" t="str">
        <f>CONCATENATE("          ", "4144", " - ", "NON-TAXABLE SALES-ACCESSORIES")</f>
        <v xml:space="preserve">          4144 - NON-TAXABLE SALES-ACCESSORIES</v>
      </c>
      <c r="C66" s="11"/>
      <c r="D66" s="2">
        <f>--117.86</f>
        <v>117.86</v>
      </c>
      <c r="E66" s="2"/>
      <c r="F66" s="21"/>
      <c r="G66" s="2"/>
      <c r="H66" s="2">
        <f>--39.95</f>
        <v>39.950000000000003</v>
      </c>
      <c r="I66" s="2"/>
      <c r="J66" s="21"/>
      <c r="K66" s="2"/>
      <c r="L66" s="2">
        <f t="shared" si="0"/>
        <v>77.91</v>
      </c>
      <c r="M66" s="2"/>
      <c r="N66" s="21">
        <f t="shared" si="1"/>
        <v>1.9501877346683352</v>
      </c>
      <c r="O66" s="11"/>
      <c r="P66" s="2">
        <f>--139.76</f>
        <v>139.76</v>
      </c>
      <c r="Q66" s="2"/>
      <c r="R66" s="21"/>
      <c r="S66" s="2"/>
      <c r="T66" s="2">
        <f>--84.9</f>
        <v>84.9</v>
      </c>
      <c r="U66" s="2"/>
      <c r="V66" s="21"/>
      <c r="W66" s="2"/>
      <c r="X66" s="2">
        <f t="shared" si="2"/>
        <v>54.859999999999985</v>
      </c>
      <c r="Y66" s="2"/>
      <c r="Z66" s="21">
        <f t="shared" si="3"/>
        <v>0.64617196702002333</v>
      </c>
    </row>
    <row r="67" spans="1:26" s="24" customFormat="1" hidden="1" outlineLevel="1" x14ac:dyDescent="0.25">
      <c r="A67" s="50"/>
      <c r="B67" s="11" t="str">
        <f>CONCATENATE("          ", "4145", " - ", "NON-TAXABLE SALES-SPECIAL ORDE")</f>
        <v xml:space="preserve">          4145 - NON-TAXABLE SALES-SPECIAL ORDE</v>
      </c>
      <c r="C67" s="11"/>
      <c r="D67" s="2">
        <f>--90</f>
        <v>90</v>
      </c>
      <c r="E67" s="2"/>
      <c r="F67" s="21"/>
      <c r="G67" s="2"/>
      <c r="H67" s="2">
        <f>--141.9</f>
        <v>141.9</v>
      </c>
      <c r="I67" s="2"/>
      <c r="J67" s="21"/>
      <c r="K67" s="2"/>
      <c r="L67" s="2">
        <f t="shared" si="0"/>
        <v>-51.900000000000006</v>
      </c>
      <c r="M67" s="2"/>
      <c r="N67" s="21">
        <f t="shared" si="1"/>
        <v>-0.36575052854122625</v>
      </c>
      <c r="O67" s="11"/>
      <c r="P67" s="2">
        <f>--90</f>
        <v>90</v>
      </c>
      <c r="Q67" s="2"/>
      <c r="R67" s="21"/>
      <c r="S67" s="2"/>
      <c r="T67" s="2">
        <f>--201.75</f>
        <v>201.75</v>
      </c>
      <c r="U67" s="2"/>
      <c r="V67" s="21"/>
      <c r="W67" s="2"/>
      <c r="X67" s="2">
        <f t="shared" si="2"/>
        <v>-111.75</v>
      </c>
      <c r="Y67" s="2"/>
      <c r="Z67" s="21">
        <f t="shared" si="3"/>
        <v>-0.55390334572490707</v>
      </c>
    </row>
    <row r="68" spans="1:26" s="24" customFormat="1" hidden="1" outlineLevel="1" x14ac:dyDescent="0.25">
      <c r="A68" s="50"/>
      <c r="B68" s="11" t="str">
        <f>CONCATENATE("          ", "4146", " - ", "NON-TAXABLE SALES-COIN OP MACH")</f>
        <v xml:space="preserve">          4146 - NON-TAXABLE SALES-COIN OP MACH</v>
      </c>
      <c r="C68" s="11"/>
      <c r="D68" s="2">
        <f>--13281.65</f>
        <v>13281.65</v>
      </c>
      <c r="E68" s="2"/>
      <c r="F68" s="21"/>
      <c r="G68" s="2"/>
      <c r="H68" s="2">
        <f>--12322.4</f>
        <v>12322.4</v>
      </c>
      <c r="I68" s="2"/>
      <c r="J68" s="21"/>
      <c r="K68" s="2"/>
      <c r="L68" s="2">
        <f t="shared" si="0"/>
        <v>959.25</v>
      </c>
      <c r="M68" s="2"/>
      <c r="N68" s="21">
        <f t="shared" si="1"/>
        <v>7.7846036486398762E-2</v>
      </c>
      <c r="O68" s="11"/>
      <c r="P68" s="2">
        <f>--15348.75</f>
        <v>15348.75</v>
      </c>
      <c r="Q68" s="2"/>
      <c r="R68" s="21"/>
      <c r="S68" s="2"/>
      <c r="T68" s="2">
        <f>--14703.05</f>
        <v>14703.05</v>
      </c>
      <c r="U68" s="2"/>
      <c r="V68" s="21"/>
      <c r="W68" s="2"/>
      <c r="X68" s="2">
        <f t="shared" si="2"/>
        <v>645.70000000000073</v>
      </c>
      <c r="Y68" s="2"/>
      <c r="Z68" s="21">
        <f t="shared" si="3"/>
        <v>4.3916058232815691E-2</v>
      </c>
    </row>
    <row r="69" spans="1:26" s="24" customFormat="1" hidden="1" outlineLevel="1" x14ac:dyDescent="0.25">
      <c r="A69" s="50"/>
      <c r="B69" s="11" t="str">
        <f>CONCATENATE("          ", "4147", " - ", "NON-TAXABLE SALES-MISC")</f>
        <v xml:space="preserve">          4147 - NON-TAXABLE SALES-MISC</v>
      </c>
      <c r="C69" s="11"/>
      <c r="D69" s="2">
        <f>--53.9</f>
        <v>53.9</v>
      </c>
      <c r="E69" s="2"/>
      <c r="F69" s="21"/>
      <c r="G69" s="2"/>
      <c r="H69" s="2">
        <f>--80</f>
        <v>80</v>
      </c>
      <c r="I69" s="2"/>
      <c r="J69" s="21"/>
      <c r="K69" s="2"/>
      <c r="L69" s="2">
        <f t="shared" si="0"/>
        <v>-26.1</v>
      </c>
      <c r="M69" s="2"/>
      <c r="N69" s="21">
        <f t="shared" si="1"/>
        <v>-0.32625000000000004</v>
      </c>
      <c r="O69" s="11"/>
      <c r="P69" s="2">
        <f>--70.4</f>
        <v>70.400000000000006</v>
      </c>
      <c r="Q69" s="2"/>
      <c r="R69" s="21"/>
      <c r="S69" s="2"/>
      <c r="T69" s="2">
        <f>--98</f>
        <v>98</v>
      </c>
      <c r="U69" s="2"/>
      <c r="V69" s="21"/>
      <c r="W69" s="2"/>
      <c r="X69" s="2">
        <f t="shared" si="2"/>
        <v>-27.599999999999994</v>
      </c>
      <c r="Y69" s="2"/>
      <c r="Z69" s="21">
        <f t="shared" si="3"/>
        <v>-0.28163265306122442</v>
      </c>
    </row>
    <row r="70" spans="1:26" s="24" customFormat="1" hidden="1" outlineLevel="1" x14ac:dyDescent="0.25">
      <c r="A70" s="50"/>
      <c r="B70" s="11" t="str">
        <f>CONCATENATE("          ", "4186", " - ", "NON-TAXABLE SALES-COMPUTER SUP")</f>
        <v xml:space="preserve">          4186 - NON-TAXABLE SALES-COMPUTER SUP</v>
      </c>
      <c r="C70" s="11"/>
      <c r="D70" s="2">
        <f>0</f>
        <v>0</v>
      </c>
      <c r="E70" s="2"/>
      <c r="F70" s="21"/>
      <c r="G70" s="2"/>
      <c r="H70" s="2">
        <f>0</f>
        <v>0</v>
      </c>
      <c r="I70" s="2"/>
      <c r="J70" s="21"/>
      <c r="K70" s="2"/>
      <c r="L70" s="2">
        <f t="shared" si="0"/>
        <v>0</v>
      </c>
      <c r="M70" s="2"/>
      <c r="N70" s="21">
        <f t="shared" si="1"/>
        <v>0</v>
      </c>
      <c r="O70" s="11"/>
      <c r="P70" s="2">
        <f>0</f>
        <v>0</v>
      </c>
      <c r="Q70" s="2"/>
      <c r="R70" s="21"/>
      <c r="S70" s="2"/>
      <c r="T70" s="2">
        <f>-14.99</f>
        <v>-14.99</v>
      </c>
      <c r="U70" s="2"/>
      <c r="V70" s="21"/>
      <c r="W70" s="2"/>
      <c r="X70" s="2">
        <f t="shared" si="2"/>
        <v>14.99</v>
      </c>
      <c r="Y70" s="2"/>
      <c r="Z70" s="21">
        <f t="shared" si="3"/>
        <v>-1</v>
      </c>
    </row>
    <row r="71" spans="1:26" s="24" customFormat="1" hidden="1" outlineLevel="1" x14ac:dyDescent="0.25">
      <c r="A71" s="50"/>
      <c r="B71" s="11" t="str">
        <f>CONCATENATE("          ", "4201", " - ", "SALES RETURN TAXABLE-NEW TEXT")</f>
        <v xml:space="preserve">          4201 - SALES RETURN TAXABLE-NEW TEXT</v>
      </c>
      <c r="C71" s="11"/>
      <c r="D71" s="2">
        <f>-58563.26</f>
        <v>-58563.26</v>
      </c>
      <c r="E71" s="2"/>
      <c r="F71" s="21"/>
      <c r="G71" s="2"/>
      <c r="H71" s="2">
        <f>-73018.44</f>
        <v>-73018.44</v>
      </c>
      <c r="I71" s="2"/>
      <c r="J71" s="21"/>
      <c r="K71" s="2"/>
      <c r="L71" s="2">
        <f t="shared" si="0"/>
        <v>14455.18</v>
      </c>
      <c r="M71" s="2"/>
      <c r="N71" s="21">
        <f t="shared" si="1"/>
        <v>-0.19796615758978142</v>
      </c>
      <c r="O71" s="11"/>
      <c r="P71" s="2">
        <f>-59170.41</f>
        <v>-59170.41</v>
      </c>
      <c r="Q71" s="2"/>
      <c r="R71" s="21"/>
      <c r="S71" s="2"/>
      <c r="T71" s="2">
        <f>-74525.94</f>
        <v>-74525.94</v>
      </c>
      <c r="U71" s="2"/>
      <c r="V71" s="21"/>
      <c r="W71" s="2"/>
      <c r="X71" s="2">
        <f t="shared" si="2"/>
        <v>15355.529999999999</v>
      </c>
      <c r="Y71" s="2"/>
      <c r="Z71" s="21">
        <f t="shared" si="3"/>
        <v>-0.20604275504609534</v>
      </c>
    </row>
    <row r="72" spans="1:26" s="24" customFormat="1" hidden="1" outlineLevel="1" x14ac:dyDescent="0.25">
      <c r="A72" s="50"/>
      <c r="B72" s="11" t="str">
        <f>CONCATENATE("          ", "4202", " - ", "SALES RETURN TAXABLE-USED TEXT")</f>
        <v xml:space="preserve">          4202 - SALES RETURN TAXABLE-USED TEXT</v>
      </c>
      <c r="C72" s="11"/>
      <c r="D72" s="2">
        <f>-20533</f>
        <v>-20533</v>
      </c>
      <c r="E72" s="2"/>
      <c r="F72" s="21"/>
      <c r="G72" s="2"/>
      <c r="H72" s="2">
        <f>-22848</f>
        <v>-22848</v>
      </c>
      <c r="I72" s="2"/>
      <c r="J72" s="21"/>
      <c r="K72" s="2"/>
      <c r="L72" s="2">
        <f t="shared" si="0"/>
        <v>2315</v>
      </c>
      <c r="M72" s="2"/>
      <c r="N72" s="21">
        <f t="shared" si="1"/>
        <v>-0.10132177871148459</v>
      </c>
      <c r="O72" s="11"/>
      <c r="P72" s="2">
        <f>-21254.45</f>
        <v>-21254.45</v>
      </c>
      <c r="Q72" s="2"/>
      <c r="R72" s="21"/>
      <c r="S72" s="2"/>
      <c r="T72" s="2">
        <f>-23427.25</f>
        <v>-23427.25</v>
      </c>
      <c r="U72" s="2"/>
      <c r="V72" s="21"/>
      <c r="W72" s="2"/>
      <c r="X72" s="2">
        <f t="shared" si="2"/>
        <v>2172.7999999999993</v>
      </c>
      <c r="Y72" s="2"/>
      <c r="Z72" s="21">
        <f t="shared" si="3"/>
        <v>-9.2746694554418432E-2</v>
      </c>
    </row>
    <row r="73" spans="1:26" s="24" customFormat="1" hidden="1" outlineLevel="1" x14ac:dyDescent="0.25">
      <c r="A73" s="50"/>
      <c r="B73" s="11" t="str">
        <f>CONCATENATE("          ", "4204", " - ", "SALES RETURN TAXABLE-DIGITAL T")</f>
        <v xml:space="preserve">          4204 - SALES RETURN TAXABLE-DIGITAL T</v>
      </c>
      <c r="C73" s="11"/>
      <c r="D73" s="2">
        <f>-6848.37</f>
        <v>-6848.37</v>
      </c>
      <c r="E73" s="2"/>
      <c r="F73" s="21"/>
      <c r="G73" s="2"/>
      <c r="H73" s="2">
        <f>-12818.73</f>
        <v>-12818.73</v>
      </c>
      <c r="I73" s="2"/>
      <c r="J73" s="21"/>
      <c r="K73" s="2"/>
      <c r="L73" s="2">
        <f t="shared" si="0"/>
        <v>5970.36</v>
      </c>
      <c r="M73" s="2"/>
      <c r="N73" s="21">
        <f t="shared" si="1"/>
        <v>-0.46575284759098601</v>
      </c>
      <c r="O73" s="11"/>
      <c r="P73" s="2">
        <f>-6848.37</f>
        <v>-6848.37</v>
      </c>
      <c r="Q73" s="2"/>
      <c r="R73" s="21"/>
      <c r="S73" s="2"/>
      <c r="T73" s="2">
        <f>-12903.73</f>
        <v>-12903.73</v>
      </c>
      <c r="U73" s="2"/>
      <c r="V73" s="21"/>
      <c r="W73" s="2"/>
      <c r="X73" s="2">
        <f t="shared" si="2"/>
        <v>6055.36</v>
      </c>
      <c r="Y73" s="2"/>
      <c r="Z73" s="21">
        <f t="shared" si="3"/>
        <v>-0.46927206319413067</v>
      </c>
    </row>
    <row r="74" spans="1:26" s="24" customFormat="1" hidden="1" outlineLevel="1" x14ac:dyDescent="0.25">
      <c r="A74" s="50"/>
      <c r="B74" s="11" t="str">
        <f>CONCATENATE("          ", "4213", " - ", "NON-TAXABLE SALES-TRADE BOOKS")</f>
        <v xml:space="preserve">          4213 - NON-TAXABLE SALES-TRADE BOOKS</v>
      </c>
      <c r="C74" s="11"/>
      <c r="D74" s="2">
        <f t="shared" ref="D74:D75" si="4">0</f>
        <v>0</v>
      </c>
      <c r="E74" s="2"/>
      <c r="F74" s="21"/>
      <c r="G74" s="2"/>
      <c r="H74" s="2">
        <f>-15</f>
        <v>-15</v>
      </c>
      <c r="I74" s="2"/>
      <c r="J74" s="21"/>
      <c r="K74" s="2"/>
      <c r="L74" s="2">
        <f t="shared" si="0"/>
        <v>15</v>
      </c>
      <c r="M74" s="2"/>
      <c r="N74" s="21">
        <f t="shared" si="1"/>
        <v>-1</v>
      </c>
      <c r="O74" s="11"/>
      <c r="P74" s="2">
        <f t="shared" ref="P74:P75" si="5">0</f>
        <v>0</v>
      </c>
      <c r="Q74" s="2"/>
      <c r="R74" s="21"/>
      <c r="S74" s="2"/>
      <c r="T74" s="2">
        <f>-15</f>
        <v>-15</v>
      </c>
      <c r="U74" s="2"/>
      <c r="V74" s="21"/>
      <c r="W74" s="2"/>
      <c r="X74" s="2">
        <f t="shared" si="2"/>
        <v>15</v>
      </c>
      <c r="Y74" s="2"/>
      <c r="Z74" s="21">
        <f t="shared" si="3"/>
        <v>-1</v>
      </c>
    </row>
    <row r="75" spans="1:26" s="24" customFormat="1" hidden="1" outlineLevel="1" x14ac:dyDescent="0.25">
      <c r="A75" s="50"/>
      <c r="B75" s="11" t="str">
        <f>CONCATENATE("          ", "4217", " - ", "NON-TAXABLE SALES-DORM/HOUSEWA")</f>
        <v xml:space="preserve">          4217 - NON-TAXABLE SALES-DORM/HOUSEWA</v>
      </c>
      <c r="C75" s="11"/>
      <c r="D75" s="2">
        <f t="shared" si="4"/>
        <v>0</v>
      </c>
      <c r="E75" s="2"/>
      <c r="F75" s="21"/>
      <c r="G75" s="2"/>
      <c r="H75" s="2">
        <f>-1.5</f>
        <v>-1.5</v>
      </c>
      <c r="I75" s="2"/>
      <c r="J75" s="21"/>
      <c r="K75" s="2"/>
      <c r="L75" s="2">
        <f t="shared" si="0"/>
        <v>1.5</v>
      </c>
      <c r="M75" s="2"/>
      <c r="N75" s="21">
        <f t="shared" si="1"/>
        <v>-1</v>
      </c>
      <c r="O75" s="11"/>
      <c r="P75" s="2">
        <f t="shared" si="5"/>
        <v>0</v>
      </c>
      <c r="Q75" s="2"/>
      <c r="R75" s="21"/>
      <c r="S75" s="2"/>
      <c r="T75" s="2">
        <f>-1.5</f>
        <v>-1.5</v>
      </c>
      <c r="U75" s="2"/>
      <c r="V75" s="21"/>
      <c r="W75" s="2"/>
      <c r="X75" s="2">
        <f t="shared" si="2"/>
        <v>1.5</v>
      </c>
      <c r="Y75" s="2"/>
      <c r="Z75" s="21">
        <f t="shared" si="3"/>
        <v>-1</v>
      </c>
    </row>
    <row r="76" spans="1:26" s="24" customFormat="1" hidden="1" outlineLevel="1" x14ac:dyDescent="0.25">
      <c r="A76" s="50"/>
      <c r="B76" s="11" t="str">
        <f>CONCATENATE("          ", "4218", " - ", "SALES RETURN TAXABLE-STUDY GUI")</f>
        <v xml:space="preserve">          4218 - SALES RETURN TAXABLE-STUDY GUI</v>
      </c>
      <c r="C76" s="11"/>
      <c r="D76" s="2">
        <f>-26.8</f>
        <v>-26.8</v>
      </c>
      <c r="E76" s="2"/>
      <c r="F76" s="21"/>
      <c r="G76" s="2"/>
      <c r="H76" s="2">
        <f>0</f>
        <v>0</v>
      </c>
      <c r="I76" s="2"/>
      <c r="J76" s="21"/>
      <c r="K76" s="2"/>
      <c r="L76" s="2">
        <f t="shared" si="0"/>
        <v>-26.8</v>
      </c>
      <c r="M76" s="2"/>
      <c r="N76" s="21">
        <f t="shared" si="1"/>
        <v>0</v>
      </c>
      <c r="O76" s="11"/>
      <c r="P76" s="2">
        <f>-26.8</f>
        <v>-26.8</v>
      </c>
      <c r="Q76" s="2"/>
      <c r="R76" s="21"/>
      <c r="S76" s="2"/>
      <c r="T76" s="2">
        <f>-15.95</f>
        <v>-15.95</v>
      </c>
      <c r="U76" s="2"/>
      <c r="V76" s="21"/>
      <c r="W76" s="2"/>
      <c r="X76" s="2">
        <f t="shared" si="2"/>
        <v>-10.850000000000001</v>
      </c>
      <c r="Y76" s="2"/>
      <c r="Z76" s="21">
        <f t="shared" si="3"/>
        <v>0.68025078369905967</v>
      </c>
    </row>
    <row r="77" spans="1:26" s="24" customFormat="1" hidden="1" outlineLevel="1" x14ac:dyDescent="0.25">
      <c r="A77" s="50"/>
      <c r="B77" s="11" t="str">
        <f>CONCATENATE("          ", "4225", " - ", "SALES RETURN TAXABLE-TEST FORM")</f>
        <v xml:space="preserve">          4225 - SALES RETURN TAXABLE-TEST FORM</v>
      </c>
      <c r="C77" s="11"/>
      <c r="D77" s="2">
        <f>-8.61</f>
        <v>-8.61</v>
      </c>
      <c r="E77" s="2"/>
      <c r="F77" s="21"/>
      <c r="G77" s="2"/>
      <c r="H77" s="2">
        <f>-7.02</f>
        <v>-7.02</v>
      </c>
      <c r="I77" s="2"/>
      <c r="J77" s="21"/>
      <c r="K77" s="2"/>
      <c r="L77" s="2">
        <f t="shared" si="0"/>
        <v>-1.5899999999999999</v>
      </c>
      <c r="M77" s="2"/>
      <c r="N77" s="21">
        <f t="shared" si="1"/>
        <v>0.2264957264957265</v>
      </c>
      <c r="O77" s="11"/>
      <c r="P77" s="2">
        <f>-12.69</f>
        <v>-12.69</v>
      </c>
      <c r="Q77" s="2"/>
      <c r="R77" s="21"/>
      <c r="S77" s="2"/>
      <c r="T77" s="2">
        <f>-13.8</f>
        <v>-13.8</v>
      </c>
      <c r="U77" s="2"/>
      <c r="V77" s="21"/>
      <c r="W77" s="2"/>
      <c r="X77" s="2">
        <f t="shared" si="2"/>
        <v>1.1100000000000012</v>
      </c>
      <c r="Y77" s="2"/>
      <c r="Z77" s="21">
        <f t="shared" si="3"/>
        <v>-8.0434782608695729E-2</v>
      </c>
    </row>
    <row r="78" spans="1:26" s="24" customFormat="1" hidden="1" outlineLevel="1" x14ac:dyDescent="0.25">
      <c r="A78" s="50"/>
      <c r="B78" s="11" t="str">
        <f>CONCATENATE("          ", "4226", " - ", "SALES RETURN TAXABLE-WRITING I")</f>
        <v xml:space="preserve">          4226 - SALES RETURN TAXABLE-WRITING I</v>
      </c>
      <c r="C78" s="11"/>
      <c r="D78" s="2">
        <f>-60.28</f>
        <v>-60.28</v>
      </c>
      <c r="E78" s="2"/>
      <c r="F78" s="21"/>
      <c r="G78" s="2"/>
      <c r="H78" s="2">
        <f>-58.07</f>
        <v>-58.07</v>
      </c>
      <c r="I78" s="2"/>
      <c r="J78" s="21"/>
      <c r="K78" s="2"/>
      <c r="L78" s="2">
        <f t="shared" si="0"/>
        <v>-2.2100000000000009</v>
      </c>
      <c r="M78" s="2"/>
      <c r="N78" s="21">
        <f t="shared" si="1"/>
        <v>3.8057516790080952E-2</v>
      </c>
      <c r="O78" s="11"/>
      <c r="P78" s="2">
        <f>-124.21</f>
        <v>-124.21</v>
      </c>
      <c r="Q78" s="2"/>
      <c r="R78" s="21"/>
      <c r="S78" s="2"/>
      <c r="T78" s="2">
        <f>-69.24</f>
        <v>-69.239999999999995</v>
      </c>
      <c r="U78" s="2"/>
      <c r="V78" s="21"/>
      <c r="W78" s="2"/>
      <c r="X78" s="2">
        <f t="shared" si="2"/>
        <v>-54.97</v>
      </c>
      <c r="Y78" s="2"/>
      <c r="Z78" s="21">
        <f t="shared" si="3"/>
        <v>0.79390525707683424</v>
      </c>
    </row>
    <row r="79" spans="1:26" s="24" customFormat="1" hidden="1" outlineLevel="1" x14ac:dyDescent="0.25">
      <c r="A79" s="50"/>
      <c r="B79" s="11" t="str">
        <f>CONCATENATE("          ", "4227", " - ", "SALES RETURN TAXABLE-SCHOOL SU")</f>
        <v xml:space="preserve">          4227 - SALES RETURN TAXABLE-SCHOOL SU</v>
      </c>
      <c r="C79" s="11"/>
      <c r="D79" s="2">
        <f>-1531.15</f>
        <v>-1531.15</v>
      </c>
      <c r="E79" s="2"/>
      <c r="F79" s="21"/>
      <c r="G79" s="2"/>
      <c r="H79" s="2">
        <f>-849.92</f>
        <v>-849.92</v>
      </c>
      <c r="I79" s="2"/>
      <c r="J79" s="21"/>
      <c r="K79" s="2"/>
      <c r="L79" s="2">
        <f t="shared" si="0"/>
        <v>-681.23000000000013</v>
      </c>
      <c r="M79" s="2"/>
      <c r="N79" s="21">
        <f t="shared" si="1"/>
        <v>0.80152249623493999</v>
      </c>
      <c r="O79" s="11"/>
      <c r="P79" s="2">
        <f>-1696.59</f>
        <v>-1696.59</v>
      </c>
      <c r="Q79" s="2"/>
      <c r="R79" s="21"/>
      <c r="S79" s="2"/>
      <c r="T79" s="2">
        <f>-971.89</f>
        <v>-971.89</v>
      </c>
      <c r="U79" s="2"/>
      <c r="V79" s="21"/>
      <c r="W79" s="2"/>
      <c r="X79" s="2">
        <f t="shared" si="2"/>
        <v>-724.69999999999993</v>
      </c>
      <c r="Y79" s="2"/>
      <c r="Z79" s="21">
        <f t="shared" si="3"/>
        <v>0.745660517136713</v>
      </c>
    </row>
    <row r="80" spans="1:26" s="24" customFormat="1" hidden="1" outlineLevel="1" x14ac:dyDescent="0.25">
      <c r="A80" s="50"/>
      <c r="B80" s="11" t="str">
        <f>CONCATENATE("          ", "4228", " - ", "SALES RETURN TAXABLE-ART/TECH")</f>
        <v xml:space="preserve">          4228 - SALES RETURN TAXABLE-ART/TECH</v>
      </c>
      <c r="C80" s="11"/>
      <c r="D80" s="2">
        <f>-858.36</f>
        <v>-858.36</v>
      </c>
      <c r="E80" s="2"/>
      <c r="F80" s="21"/>
      <c r="G80" s="2"/>
      <c r="H80" s="2">
        <f>-916.05</f>
        <v>-916.05</v>
      </c>
      <c r="I80" s="2"/>
      <c r="J80" s="21"/>
      <c r="K80" s="2"/>
      <c r="L80" s="2">
        <f t="shared" si="0"/>
        <v>57.689999999999941</v>
      </c>
      <c r="M80" s="2"/>
      <c r="N80" s="21">
        <f t="shared" si="1"/>
        <v>-6.2976911740625446E-2</v>
      </c>
      <c r="O80" s="11"/>
      <c r="P80" s="2">
        <f>-868.73</f>
        <v>-868.73</v>
      </c>
      <c r="Q80" s="2"/>
      <c r="R80" s="21"/>
      <c r="S80" s="2"/>
      <c r="T80" s="2">
        <f>-1065.49</f>
        <v>-1065.49</v>
      </c>
      <c r="U80" s="2"/>
      <c r="V80" s="21"/>
      <c r="W80" s="2"/>
      <c r="X80" s="2">
        <f t="shared" si="2"/>
        <v>196.76</v>
      </c>
      <c r="Y80" s="2"/>
      <c r="Z80" s="21">
        <f t="shared" si="3"/>
        <v>-0.18466620991281005</v>
      </c>
    </row>
    <row r="81" spans="1:26" s="24" customFormat="1" hidden="1" outlineLevel="1" x14ac:dyDescent="0.25">
      <c r="A81" s="50"/>
      <c r="B81" s="11" t="str">
        <f>CONCATENATE("          ", "4240", " - ", "SALES RETURN TAXABLE-LOGO CLOT")</f>
        <v xml:space="preserve">          4240 - SALES RETURN TAXABLE-LOGO CLOT</v>
      </c>
      <c r="C81" s="11"/>
      <c r="D81" s="2">
        <f>-6807.65</f>
        <v>-6807.65</v>
      </c>
      <c r="E81" s="2"/>
      <c r="F81" s="21"/>
      <c r="G81" s="2"/>
      <c r="H81" s="2">
        <f>-6341.85</f>
        <v>-6341.85</v>
      </c>
      <c r="I81" s="2"/>
      <c r="J81" s="21"/>
      <c r="K81" s="2"/>
      <c r="L81" s="2">
        <f t="shared" si="0"/>
        <v>-465.79999999999927</v>
      </c>
      <c r="M81" s="2"/>
      <c r="N81" s="21">
        <f t="shared" si="1"/>
        <v>7.3448599383460544E-2</v>
      </c>
      <c r="O81" s="11"/>
      <c r="P81" s="2">
        <f>-11254.49</f>
        <v>-11254.49</v>
      </c>
      <c r="Q81" s="2"/>
      <c r="R81" s="21"/>
      <c r="S81" s="2"/>
      <c r="T81" s="2">
        <f>-11571.8</f>
        <v>-11571.8</v>
      </c>
      <c r="U81" s="2"/>
      <c r="V81" s="21"/>
      <c r="W81" s="2"/>
      <c r="X81" s="2">
        <f t="shared" si="2"/>
        <v>317.30999999999949</v>
      </c>
      <c r="Y81" s="2"/>
      <c r="Z81" s="21">
        <f t="shared" si="3"/>
        <v>-2.7420971672514172E-2</v>
      </c>
    </row>
    <row r="82" spans="1:26" s="24" customFormat="1" hidden="1" outlineLevel="1" x14ac:dyDescent="0.25">
      <c r="A82" s="50"/>
      <c r="B82" s="11" t="str">
        <f>CONCATENATE("          ", "4241", " - ", "SALES RETURN TAXABLE-LOGO GIFT")</f>
        <v xml:space="preserve">          4241 - SALES RETURN TAXABLE-LOGO GIFT</v>
      </c>
      <c r="C82" s="11"/>
      <c r="D82" s="2">
        <f>-971.11</f>
        <v>-971.11</v>
      </c>
      <c r="E82" s="2"/>
      <c r="F82" s="21"/>
      <c r="G82" s="2"/>
      <c r="H82" s="2">
        <f>-1122.85</f>
        <v>-1122.8499999999999</v>
      </c>
      <c r="I82" s="2"/>
      <c r="J82" s="21"/>
      <c r="K82" s="2"/>
      <c r="L82" s="2">
        <f t="shared" si="0"/>
        <v>151.7399999999999</v>
      </c>
      <c r="M82" s="2"/>
      <c r="N82" s="21">
        <f t="shared" si="1"/>
        <v>-0.13513826423832204</v>
      </c>
      <c r="O82" s="11"/>
      <c r="P82" s="2">
        <f>-1690.01</f>
        <v>-1690.01</v>
      </c>
      <c r="Q82" s="2"/>
      <c r="R82" s="21"/>
      <c r="S82" s="2"/>
      <c r="T82" s="2">
        <f>-1597.91</f>
        <v>-1597.91</v>
      </c>
      <c r="U82" s="2"/>
      <c r="V82" s="21"/>
      <c r="W82" s="2"/>
      <c r="X82" s="2">
        <f t="shared" si="2"/>
        <v>-92.099999999999909</v>
      </c>
      <c r="Y82" s="2"/>
      <c r="Z82" s="21">
        <f t="shared" si="3"/>
        <v>5.7637789362354516E-2</v>
      </c>
    </row>
    <row r="83" spans="1:26" s="24" customFormat="1" hidden="1" outlineLevel="1" x14ac:dyDescent="0.25">
      <c r="A83" s="50"/>
      <c r="B83" s="11" t="str">
        <f>CONCATENATE("          ", "4242", " - ", "SALES RETURN TAXABLE-EVERYDAY")</f>
        <v xml:space="preserve">          4242 - SALES RETURN TAXABLE-EVERYDAY</v>
      </c>
      <c r="C83" s="11"/>
      <c r="D83" s="2">
        <f>-450.83</f>
        <v>-450.83</v>
      </c>
      <c r="E83" s="2"/>
      <c r="F83" s="21"/>
      <c r="G83" s="2"/>
      <c r="H83" s="2">
        <f>-261.05</f>
        <v>-261.05</v>
      </c>
      <c r="I83" s="2"/>
      <c r="J83" s="21"/>
      <c r="K83" s="2"/>
      <c r="L83" s="2">
        <f t="shared" si="0"/>
        <v>-189.77999999999997</v>
      </c>
      <c r="M83" s="2"/>
      <c r="N83" s="21">
        <f t="shared" si="1"/>
        <v>0.72698716720934675</v>
      </c>
      <c r="O83" s="11"/>
      <c r="P83" s="2">
        <f>-824.81</f>
        <v>-824.81</v>
      </c>
      <c r="Q83" s="2"/>
      <c r="R83" s="21"/>
      <c r="S83" s="2"/>
      <c r="T83" s="2">
        <f>-421.79</f>
        <v>-421.79</v>
      </c>
      <c r="U83" s="2"/>
      <c r="V83" s="21"/>
      <c r="W83" s="2"/>
      <c r="X83" s="2">
        <f t="shared" si="2"/>
        <v>-403.01999999999992</v>
      </c>
      <c r="Y83" s="2"/>
      <c r="Z83" s="21">
        <f t="shared" si="3"/>
        <v>0.95549918205742168</v>
      </c>
    </row>
    <row r="84" spans="1:26" s="24" customFormat="1" hidden="1" outlineLevel="1" x14ac:dyDescent="0.25">
      <c r="A84" s="50"/>
      <c r="B84" s="11" t="str">
        <f>CONCATENATE("          ", "4244", " - ", "SALES RETURN TAXABLE-ACCESSORI")</f>
        <v xml:space="preserve">          4244 - SALES RETURN TAXABLE-ACCESSORI</v>
      </c>
      <c r="C84" s="11"/>
      <c r="D84" s="2">
        <f>-443.68</f>
        <v>-443.68</v>
      </c>
      <c r="E84" s="2"/>
      <c r="F84" s="21"/>
      <c r="G84" s="2"/>
      <c r="H84" s="2">
        <f>-1614.36</f>
        <v>-1614.36</v>
      </c>
      <c r="I84" s="2"/>
      <c r="J84" s="21"/>
      <c r="K84" s="2"/>
      <c r="L84" s="2">
        <f t="shared" si="0"/>
        <v>1170.6799999999998</v>
      </c>
      <c r="M84" s="2"/>
      <c r="N84" s="21">
        <f t="shared" si="1"/>
        <v>-0.72516662950023536</v>
      </c>
      <c r="O84" s="11"/>
      <c r="P84" s="2">
        <f>-550.47</f>
        <v>-550.47</v>
      </c>
      <c r="Q84" s="2"/>
      <c r="R84" s="21"/>
      <c r="S84" s="2"/>
      <c r="T84" s="2">
        <f>-1759.26</f>
        <v>-1759.26</v>
      </c>
      <c r="U84" s="2"/>
      <c r="V84" s="21"/>
      <c r="W84" s="2"/>
      <c r="X84" s="2">
        <f t="shared" si="2"/>
        <v>1208.79</v>
      </c>
      <c r="Y84" s="2"/>
      <c r="Z84" s="21">
        <f t="shared" si="3"/>
        <v>-0.68710139490467581</v>
      </c>
    </row>
    <row r="85" spans="1:26" s="24" customFormat="1" hidden="1" outlineLevel="1" x14ac:dyDescent="0.25">
      <c r="A85" s="50"/>
      <c r="B85" s="11" t="str">
        <f>CONCATENATE("          ", "4245", " - ", "SALES RETURN TAXABLE-SPECIAL O")</f>
        <v xml:space="preserve">          4245 - SALES RETURN TAXABLE-SPECIAL O</v>
      </c>
      <c r="C85" s="11"/>
      <c r="D85" s="2">
        <f>-19.98</f>
        <v>-19.98</v>
      </c>
      <c r="E85" s="2"/>
      <c r="F85" s="21"/>
      <c r="G85" s="2"/>
      <c r="H85" s="2">
        <f>-154.9</f>
        <v>-154.9</v>
      </c>
      <c r="I85" s="2"/>
      <c r="J85" s="21"/>
      <c r="K85" s="2"/>
      <c r="L85" s="2">
        <f t="shared" si="0"/>
        <v>134.92000000000002</v>
      </c>
      <c r="M85" s="2"/>
      <c r="N85" s="21">
        <f t="shared" si="1"/>
        <v>-0.87101355713363471</v>
      </c>
      <c r="O85" s="11"/>
      <c r="P85" s="2">
        <f>-19.98</f>
        <v>-19.98</v>
      </c>
      <c r="Q85" s="2"/>
      <c r="R85" s="21"/>
      <c r="S85" s="2"/>
      <c r="T85" s="2">
        <f>-174.85</f>
        <v>-174.85</v>
      </c>
      <c r="U85" s="2"/>
      <c r="V85" s="21"/>
      <c r="W85" s="2"/>
      <c r="X85" s="2">
        <f t="shared" si="2"/>
        <v>154.87</v>
      </c>
      <c r="Y85" s="2"/>
      <c r="Z85" s="21">
        <f t="shared" si="3"/>
        <v>-0.88573062625107235</v>
      </c>
    </row>
    <row r="86" spans="1:26" s="24" customFormat="1" hidden="1" outlineLevel="1" x14ac:dyDescent="0.25">
      <c r="A86" s="50"/>
      <c r="B86" s="11" t="str">
        <f>CONCATENATE("          ", "4292", " - ", "SALES RETURN TAXABLE-GRAD MERC")</f>
        <v xml:space="preserve">          4292 - SALES RETURN TAXABLE-GRAD MERC</v>
      </c>
      <c r="C86" s="11"/>
      <c r="D86" s="2">
        <f>-359.2</f>
        <v>-359.2</v>
      </c>
      <c r="E86" s="2"/>
      <c r="F86" s="21"/>
      <c r="G86" s="2"/>
      <c r="H86" s="2">
        <f>0</f>
        <v>0</v>
      </c>
      <c r="I86" s="2"/>
      <c r="J86" s="21"/>
      <c r="K86" s="2"/>
      <c r="L86" s="2">
        <f t="shared" si="0"/>
        <v>-359.2</v>
      </c>
      <c r="M86" s="2"/>
      <c r="N86" s="21">
        <f t="shared" si="1"/>
        <v>0</v>
      </c>
      <c r="O86" s="11"/>
      <c r="P86" s="2">
        <f>-369.15</f>
        <v>-369.15</v>
      </c>
      <c r="Q86" s="2"/>
      <c r="R86" s="21"/>
      <c r="S86" s="2"/>
      <c r="T86" s="2">
        <f>-478.25</f>
        <v>-478.25</v>
      </c>
      <c r="U86" s="2"/>
      <c r="V86" s="21"/>
      <c r="W86" s="2"/>
      <c r="X86" s="2">
        <f t="shared" si="2"/>
        <v>109.10000000000002</v>
      </c>
      <c r="Y86" s="2"/>
      <c r="Z86" s="21">
        <f t="shared" si="3"/>
        <v>-0.22812336644014641</v>
      </c>
    </row>
    <row r="87" spans="1:26" s="24" customFormat="1" hidden="1" outlineLevel="1" x14ac:dyDescent="0.25">
      <c r="A87" s="50"/>
      <c r="B87" s="11" t="str">
        <f>CONCATENATE("          ", "4295", " - ", "SALES RETURN TAXABLE-CUSTOMER")</f>
        <v xml:space="preserve">          4295 - SALES RETURN TAXABLE-CUSTOMER</v>
      </c>
      <c r="C87" s="11"/>
      <c r="D87" s="2">
        <f>--0.99</f>
        <v>0.99</v>
      </c>
      <c r="E87" s="2"/>
      <c r="F87" s="21"/>
      <c r="G87" s="2"/>
      <c r="H87" s="2">
        <f>-99</f>
        <v>-99</v>
      </c>
      <c r="I87" s="2"/>
      <c r="J87" s="21"/>
      <c r="K87" s="2"/>
      <c r="L87" s="2">
        <f t="shared" si="0"/>
        <v>99.99</v>
      </c>
      <c r="M87" s="2"/>
      <c r="N87" s="21">
        <f t="shared" si="1"/>
        <v>-1.01</v>
      </c>
      <c r="O87" s="11"/>
      <c r="P87" s="2">
        <f>--0.99</f>
        <v>0.99</v>
      </c>
      <c r="Q87" s="2"/>
      <c r="R87" s="21"/>
      <c r="S87" s="2"/>
      <c r="T87" s="2">
        <f>-99</f>
        <v>-99</v>
      </c>
      <c r="U87" s="2"/>
      <c r="V87" s="21"/>
      <c r="W87" s="2"/>
      <c r="X87" s="2">
        <f t="shared" si="2"/>
        <v>99.99</v>
      </c>
      <c r="Y87" s="2"/>
      <c r="Z87" s="21">
        <f t="shared" si="3"/>
        <v>-1.01</v>
      </c>
    </row>
    <row r="88" spans="1:26" s="24" customFormat="1" hidden="1" outlineLevel="1" x14ac:dyDescent="0.25">
      <c r="A88" s="50"/>
      <c r="B88" s="11" t="str">
        <f>CONCATENATE("          ", "4301", " - ", "SALES RETURN NON TAXABLE-NEW T")</f>
        <v xml:space="preserve">          4301 - SALES RETURN NON TAXABLE-NEW T</v>
      </c>
      <c r="C88" s="11"/>
      <c r="D88" s="2">
        <f>-2665.19</f>
        <v>-2665.19</v>
      </c>
      <c r="E88" s="2"/>
      <c r="F88" s="21"/>
      <c r="G88" s="2"/>
      <c r="H88" s="2">
        <f>-1852.97</f>
        <v>-1852.97</v>
      </c>
      <c r="I88" s="2"/>
      <c r="J88" s="21"/>
      <c r="K88" s="2"/>
      <c r="L88" s="2">
        <f t="shared" si="0"/>
        <v>-812.22</v>
      </c>
      <c r="M88" s="2"/>
      <c r="N88" s="21">
        <f t="shared" si="1"/>
        <v>0.43833413384998138</v>
      </c>
      <c r="O88" s="11"/>
      <c r="P88" s="2">
        <f>-2919.78</f>
        <v>-2919.78</v>
      </c>
      <c r="Q88" s="2"/>
      <c r="R88" s="21"/>
      <c r="S88" s="2"/>
      <c r="T88" s="2">
        <f>-2849.1</f>
        <v>-2849.1</v>
      </c>
      <c r="U88" s="2"/>
      <c r="V88" s="21"/>
      <c r="W88" s="2"/>
      <c r="X88" s="2">
        <f t="shared" si="2"/>
        <v>-70.680000000000291</v>
      </c>
      <c r="Y88" s="2"/>
      <c r="Z88" s="21">
        <f t="shared" si="3"/>
        <v>2.4807834052858902E-2</v>
      </c>
    </row>
    <row r="89" spans="1:26" s="24" customFormat="1" hidden="1" outlineLevel="1" x14ac:dyDescent="0.25">
      <c r="A89" s="50"/>
      <c r="B89" s="11" t="str">
        <f>CONCATENATE("          ", "4302", " - ", "SALES RETURN NON TAXABLE-TEXT")</f>
        <v xml:space="preserve">          4302 - SALES RETURN NON TAXABLE-TEXT</v>
      </c>
      <c r="C89" s="11"/>
      <c r="D89" s="2">
        <f>-250.25</f>
        <v>-250.25</v>
      </c>
      <c r="E89" s="2"/>
      <c r="F89" s="21"/>
      <c r="G89" s="2"/>
      <c r="H89" s="2">
        <f>-554.73</f>
        <v>-554.73</v>
      </c>
      <c r="I89" s="2"/>
      <c r="J89" s="21"/>
      <c r="K89" s="2"/>
      <c r="L89" s="2">
        <f t="shared" si="0"/>
        <v>304.48</v>
      </c>
      <c r="M89" s="2"/>
      <c r="N89" s="21">
        <f t="shared" si="1"/>
        <v>-0.54887963513781479</v>
      </c>
      <c r="O89" s="11"/>
      <c r="P89" s="2">
        <f>-250.25</f>
        <v>-250.25</v>
      </c>
      <c r="Q89" s="2"/>
      <c r="R89" s="21"/>
      <c r="S89" s="2"/>
      <c r="T89" s="2">
        <f>-667.53</f>
        <v>-667.53</v>
      </c>
      <c r="U89" s="2"/>
      <c r="V89" s="21"/>
      <c r="W89" s="2"/>
      <c r="X89" s="2">
        <f t="shared" si="2"/>
        <v>417.28</v>
      </c>
      <c r="Y89" s="2"/>
      <c r="Z89" s="21">
        <f t="shared" si="3"/>
        <v>-0.6251104819259059</v>
      </c>
    </row>
    <row r="90" spans="1:26" s="24" customFormat="1" hidden="1" outlineLevel="1" x14ac:dyDescent="0.25">
      <c r="A90" s="50"/>
      <c r="B90" s="11" t="str">
        <f>CONCATENATE("          ", "4304", " - ", "SALES RETURN NON TAXABLE-DIGIT")</f>
        <v xml:space="preserve">          4304 - SALES RETURN NON TAXABLE-DIGIT</v>
      </c>
      <c r="C90" s="11"/>
      <c r="D90" s="2">
        <f>-8466.55</f>
        <v>-8466.5499999999993</v>
      </c>
      <c r="E90" s="2"/>
      <c r="F90" s="21"/>
      <c r="G90" s="2"/>
      <c r="H90" s="2">
        <f>-264.47</f>
        <v>-264.47000000000003</v>
      </c>
      <c r="I90" s="2"/>
      <c r="J90" s="21"/>
      <c r="K90" s="2"/>
      <c r="L90" s="2">
        <f t="shared" si="0"/>
        <v>-8202.08</v>
      </c>
      <c r="M90" s="2"/>
      <c r="N90" s="21">
        <f t="shared" si="1"/>
        <v>31.013271826672209</v>
      </c>
      <c r="O90" s="11"/>
      <c r="P90" s="2">
        <f>-8466.55</f>
        <v>-8466.5499999999993</v>
      </c>
      <c r="Q90" s="2"/>
      <c r="R90" s="21"/>
      <c r="S90" s="2"/>
      <c r="T90" s="2">
        <f>-284.47</f>
        <v>-284.47000000000003</v>
      </c>
      <c r="U90" s="2"/>
      <c r="V90" s="21"/>
      <c r="W90" s="2"/>
      <c r="X90" s="2">
        <f t="shared" si="2"/>
        <v>-8182.079999999999</v>
      </c>
      <c r="Y90" s="2"/>
      <c r="Z90" s="21">
        <f t="shared" si="3"/>
        <v>28.762540865469113</v>
      </c>
    </row>
    <row r="91" spans="1:26" s="24" customFormat="1" hidden="1" outlineLevel="1" x14ac:dyDescent="0.25">
      <c r="A91" s="50"/>
      <c r="B91" s="11" t="str">
        <f>CONCATENATE("          ", "4311", " - ", "SALES RETURN NON TAXABLE-NO VA")</f>
        <v xml:space="preserve">          4311 - SALES RETURN NON TAXABLE-NO VA</v>
      </c>
      <c r="C91" s="11"/>
      <c r="D91" s="2">
        <f>-79.06</f>
        <v>-79.06</v>
      </c>
      <c r="E91" s="2"/>
      <c r="F91" s="21"/>
      <c r="G91" s="2"/>
      <c r="H91" s="2">
        <f>-168.5</f>
        <v>-168.5</v>
      </c>
      <c r="I91" s="2"/>
      <c r="J91" s="21"/>
      <c r="K91" s="2"/>
      <c r="L91" s="2">
        <f t="shared" si="0"/>
        <v>89.44</v>
      </c>
      <c r="M91" s="2"/>
      <c r="N91" s="21">
        <f t="shared" si="1"/>
        <v>-0.53080118694362022</v>
      </c>
      <c r="O91" s="11"/>
      <c r="P91" s="2">
        <f>-111.04</f>
        <v>-111.04</v>
      </c>
      <c r="Q91" s="2"/>
      <c r="R91" s="21"/>
      <c r="S91" s="2"/>
      <c r="T91" s="2">
        <f>-212.88</f>
        <v>-212.88</v>
      </c>
      <c r="U91" s="2"/>
      <c r="V91" s="21"/>
      <c r="W91" s="2"/>
      <c r="X91" s="2">
        <f t="shared" si="2"/>
        <v>101.83999999999999</v>
      </c>
      <c r="Y91" s="2"/>
      <c r="Z91" s="21">
        <f t="shared" si="3"/>
        <v>-0.47839158211198796</v>
      </c>
    </row>
    <row r="92" spans="1:26" s="24" customFormat="1" hidden="1" outlineLevel="1" x14ac:dyDescent="0.25">
      <c r="A92" s="50"/>
      <c r="B92" s="11" t="str">
        <f>CONCATENATE("          ", "4326", " - ", "SALES RETURN NON TAXABLE-WRITI")</f>
        <v xml:space="preserve">          4326 - SALES RETURN NON TAXABLE-WRITI</v>
      </c>
      <c r="C92" s="11"/>
      <c r="D92" s="2">
        <f>0</f>
        <v>0</v>
      </c>
      <c r="E92" s="2"/>
      <c r="F92" s="21"/>
      <c r="G92" s="2"/>
      <c r="H92" s="2">
        <f>-3.29</f>
        <v>-3.29</v>
      </c>
      <c r="I92" s="2"/>
      <c r="J92" s="21"/>
      <c r="K92" s="2"/>
      <c r="L92" s="2">
        <f t="shared" si="0"/>
        <v>3.29</v>
      </c>
      <c r="M92" s="2"/>
      <c r="N92" s="21">
        <f t="shared" si="1"/>
        <v>-1</v>
      </c>
      <c r="O92" s="11"/>
      <c r="P92" s="2">
        <f>0</f>
        <v>0</v>
      </c>
      <c r="Q92" s="2"/>
      <c r="R92" s="21"/>
      <c r="S92" s="2"/>
      <c r="T92" s="2">
        <f>-5.58</f>
        <v>-5.58</v>
      </c>
      <c r="U92" s="2"/>
      <c r="V92" s="21"/>
      <c r="W92" s="2"/>
      <c r="X92" s="2">
        <f t="shared" si="2"/>
        <v>5.58</v>
      </c>
      <c r="Y92" s="2"/>
      <c r="Z92" s="21">
        <f t="shared" si="3"/>
        <v>-1</v>
      </c>
    </row>
    <row r="93" spans="1:26" s="24" customFormat="1" hidden="1" outlineLevel="1" x14ac:dyDescent="0.25">
      <c r="A93" s="50"/>
      <c r="B93" s="11" t="str">
        <f>CONCATENATE("          ", "4327", " - ", "SALES RETURN NON TAXABLE-SCHOO")</f>
        <v xml:space="preserve">          4327 - SALES RETURN NON TAXABLE-SCHOO</v>
      </c>
      <c r="C93" s="11"/>
      <c r="D93" s="2">
        <f>-13.58</f>
        <v>-13.58</v>
      </c>
      <c r="E93" s="2"/>
      <c r="F93" s="21"/>
      <c r="G93" s="2"/>
      <c r="H93" s="2">
        <f>0</f>
        <v>0</v>
      </c>
      <c r="I93" s="2"/>
      <c r="J93" s="21"/>
      <c r="K93" s="2"/>
      <c r="L93" s="2">
        <f t="shared" si="0"/>
        <v>-13.58</v>
      </c>
      <c r="M93" s="2"/>
      <c r="N93" s="21">
        <f t="shared" si="1"/>
        <v>0</v>
      </c>
      <c r="O93" s="11"/>
      <c r="P93" s="2">
        <f>-13.58</f>
        <v>-13.58</v>
      </c>
      <c r="Q93" s="2"/>
      <c r="R93" s="21"/>
      <c r="S93" s="2"/>
      <c r="T93" s="2">
        <f>0</f>
        <v>0</v>
      </c>
      <c r="U93" s="2"/>
      <c r="V93" s="21"/>
      <c r="W93" s="2"/>
      <c r="X93" s="2">
        <f t="shared" si="2"/>
        <v>-13.58</v>
      </c>
      <c r="Y93" s="2"/>
      <c r="Z93" s="21">
        <f t="shared" si="3"/>
        <v>0</v>
      </c>
    </row>
    <row r="94" spans="1:26" s="24" customFormat="1" hidden="1" outlineLevel="1" x14ac:dyDescent="0.25">
      <c r="A94" s="50"/>
      <c r="B94" s="11" t="str">
        <f>CONCATENATE("          ", "4340", " - ", "SALES RETURN NON TAXABLE-LOGO")</f>
        <v xml:space="preserve">          4340 - SALES RETURN NON TAXABLE-LOGO</v>
      </c>
      <c r="C94" s="11"/>
      <c r="D94" s="2">
        <f>-44.95</f>
        <v>-44.95</v>
      </c>
      <c r="E94" s="2"/>
      <c r="F94" s="21"/>
      <c r="G94" s="2"/>
      <c r="H94" s="2">
        <f>-191.74</f>
        <v>-191.74</v>
      </c>
      <c r="I94" s="2"/>
      <c r="J94" s="21"/>
      <c r="K94" s="2"/>
      <c r="L94" s="2">
        <f t="shared" si="0"/>
        <v>146.79000000000002</v>
      </c>
      <c r="M94" s="2"/>
      <c r="N94" s="21">
        <f t="shared" si="1"/>
        <v>-0.76556795660790666</v>
      </c>
      <c r="O94" s="11"/>
      <c r="P94" s="2">
        <f>-268.5</f>
        <v>-268.5</v>
      </c>
      <c r="Q94" s="2"/>
      <c r="R94" s="21"/>
      <c r="S94" s="2"/>
      <c r="T94" s="2">
        <f>-191.74</f>
        <v>-191.74</v>
      </c>
      <c r="U94" s="2"/>
      <c r="V94" s="21"/>
      <c r="W94" s="2"/>
      <c r="X94" s="2">
        <f t="shared" si="2"/>
        <v>-76.759999999999991</v>
      </c>
      <c r="Y94" s="2"/>
      <c r="Z94" s="21">
        <f t="shared" si="3"/>
        <v>0.4003337853343068</v>
      </c>
    </row>
    <row r="95" spans="1:26" s="24" customFormat="1" hidden="1" outlineLevel="1" x14ac:dyDescent="0.25">
      <c r="A95" s="50"/>
      <c r="B95" s="11" t="str">
        <f>CONCATENATE("          ", "4341", " - ", "SALES RETURN NON TAXABLE-LOGO")</f>
        <v xml:space="preserve">          4341 - SALES RETURN NON TAXABLE-LOGO</v>
      </c>
      <c r="C95" s="11"/>
      <c r="D95" s="2">
        <f>-3.95</f>
        <v>-3.95</v>
      </c>
      <c r="E95" s="2"/>
      <c r="F95" s="21"/>
      <c r="G95" s="2"/>
      <c r="H95" s="2">
        <f>-8.15</f>
        <v>-8.15</v>
      </c>
      <c r="I95" s="2"/>
      <c r="J95" s="21"/>
      <c r="K95" s="2"/>
      <c r="L95" s="2">
        <f t="shared" si="0"/>
        <v>4.2</v>
      </c>
      <c r="M95" s="2"/>
      <c r="N95" s="21">
        <f t="shared" si="1"/>
        <v>-0.51533742331288346</v>
      </c>
      <c r="O95" s="11"/>
      <c r="P95" s="2">
        <f>-3.95</f>
        <v>-3.95</v>
      </c>
      <c r="Q95" s="2"/>
      <c r="R95" s="21"/>
      <c r="S95" s="2"/>
      <c r="T95" s="2">
        <f>-8.15</f>
        <v>-8.15</v>
      </c>
      <c r="U95" s="2"/>
      <c r="V95" s="21"/>
      <c r="W95" s="2"/>
      <c r="X95" s="2">
        <f t="shared" si="2"/>
        <v>4.2</v>
      </c>
      <c r="Y95" s="2"/>
      <c r="Z95" s="21">
        <f t="shared" si="3"/>
        <v>-0.51533742331288346</v>
      </c>
    </row>
    <row r="96" spans="1:26" s="24" customFormat="1" hidden="1" outlineLevel="1" x14ac:dyDescent="0.25">
      <c r="A96" s="50"/>
      <c r="B96" s="11" t="str">
        <f>CONCATENATE("          ", "4346", " - ", "SALES RETURN NON TAXABLE-COIN-")</f>
        <v xml:space="preserve">          4346 - SALES RETURN NON TAXABLE-COIN-</v>
      </c>
      <c r="C96" s="11"/>
      <c r="D96" s="2">
        <f>-8.15</f>
        <v>-8.15</v>
      </c>
      <c r="E96" s="2"/>
      <c r="F96" s="21"/>
      <c r="G96" s="2"/>
      <c r="H96" s="2">
        <f>0</f>
        <v>0</v>
      </c>
      <c r="I96" s="2"/>
      <c r="J96" s="21"/>
      <c r="K96" s="2"/>
      <c r="L96" s="2">
        <f t="shared" si="0"/>
        <v>-8.15</v>
      </c>
      <c r="M96" s="2"/>
      <c r="N96" s="21">
        <f t="shared" si="1"/>
        <v>0</v>
      </c>
      <c r="O96" s="11"/>
      <c r="P96" s="2">
        <f>-8.15</f>
        <v>-8.15</v>
      </c>
      <c r="Q96" s="2"/>
      <c r="R96" s="21"/>
      <c r="S96" s="2"/>
      <c r="T96" s="2">
        <f>0</f>
        <v>0</v>
      </c>
      <c r="U96" s="2"/>
      <c r="V96" s="21"/>
      <c r="W96" s="2"/>
      <c r="X96" s="2">
        <f t="shared" si="2"/>
        <v>-8.15</v>
      </c>
      <c r="Y96" s="2"/>
      <c r="Z96" s="21">
        <f t="shared" si="3"/>
        <v>0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collapsed="1" x14ac:dyDescent="0.25">
      <c r="A98" s="10"/>
      <c r="B98" s="25" t="s">
        <v>8</v>
      </c>
      <c r="C98" s="10"/>
      <c r="D98" s="4">
        <f>SUM(OSRRefD16x_0)</f>
        <v>1770277.83</v>
      </c>
      <c r="E98" s="4"/>
      <c r="F98" s="12">
        <f t="shared" ref="F98:F146" si="6">IF(D$12=0,0,D98/D$12)</f>
        <v>0.65492937604581947</v>
      </c>
      <c r="G98" s="4"/>
      <c r="H98" s="4">
        <f>SUM(OSRRefH16x_0)</f>
        <v>2035196.0200000003</v>
      </c>
      <c r="I98" s="4"/>
      <c r="J98" s="12">
        <f t="shared" ref="J98:J146" si="7">IF(H$12=0,0,H98/H$12)</f>
        <v>0.67133291233323722</v>
      </c>
      <c r="K98" s="4"/>
      <c r="L98" s="4">
        <f t="shared" ref="L98:L146" si="8">+D98-H98</f>
        <v>-264918.19000000018</v>
      </c>
      <c r="M98" s="4"/>
      <c r="N98" s="12">
        <f t="shared" ref="N98:N146" si="9">IF(H98=0,0,L98/H98)</f>
        <v>-0.13016839036467856</v>
      </c>
      <c r="O98" s="10"/>
      <c r="P98" s="4">
        <f>SUM(OSRRefP16x_0)</f>
        <v>1964200.2600000012</v>
      </c>
      <c r="Q98" s="4"/>
      <c r="R98" s="12">
        <f t="shared" ref="R98:R146" si="10">IF(P$12=0,0,P98/P$12)</f>
        <v>0.64295784636083375</v>
      </c>
      <c r="S98" s="4"/>
      <c r="T98" s="4">
        <f>SUM(OSRRefT16x_0)</f>
        <v>2246891.71</v>
      </c>
      <c r="U98" s="4"/>
      <c r="V98" s="12">
        <f t="shared" ref="V98:V146" si="11">IF(T$12=0,0,T98/T$12)</f>
        <v>0.65826865903148157</v>
      </c>
      <c r="W98" s="4"/>
      <c r="X98" s="4">
        <f t="shared" ref="X98:X146" si="12">+P98-T98</f>
        <v>-282691.44999999879</v>
      </c>
      <c r="Y98" s="4"/>
      <c r="Z98" s="12">
        <f t="shared" ref="Z98:Z146" si="13">IF(T98=0,0,X98/T98)</f>
        <v>-0.12581445235738523</v>
      </c>
    </row>
    <row r="99" spans="1:26" s="24" customFormat="1" hidden="1" outlineLevel="1" x14ac:dyDescent="0.25">
      <c r="A99" s="50"/>
      <c r="B99" s="11" t="str">
        <f>CONCATENATE("          ", "5001", " - ", "PURCHASES @ COST-NEW TEXT")</f>
        <v xml:space="preserve">          5001 - PURCHASES @ COST-NEW TEXT</v>
      </c>
      <c r="C99" s="11"/>
      <c r="D99" s="2">
        <v>1483764.14</v>
      </c>
      <c r="E99" s="2"/>
      <c r="F99" s="21">
        <f t="shared" si="6"/>
        <v>0.54893119370385035</v>
      </c>
      <c r="G99" s="2"/>
      <c r="H99" s="2">
        <v>1253099.2100000002</v>
      </c>
      <c r="I99" s="2"/>
      <c r="J99" s="21">
        <f t="shared" si="7"/>
        <v>0.41334924686604824</v>
      </c>
      <c r="K99" s="2"/>
      <c r="L99" s="2">
        <f t="shared" si="8"/>
        <v>230664.9299999997</v>
      </c>
      <c r="M99" s="2"/>
      <c r="N99" s="21">
        <f t="shared" si="9"/>
        <v>0.18407555296439751</v>
      </c>
      <c r="O99" s="11"/>
      <c r="P99" s="2">
        <v>1827758.7</v>
      </c>
      <c r="Q99" s="2"/>
      <c r="R99" s="21">
        <f t="shared" si="10"/>
        <v>0.5982953069252096</v>
      </c>
      <c r="S99" s="2"/>
      <c r="T99" s="2">
        <v>1755170.96</v>
      </c>
      <c r="U99" s="2"/>
      <c r="V99" s="21">
        <f t="shared" si="11"/>
        <v>0.51420993235592927</v>
      </c>
      <c r="W99" s="2"/>
      <c r="X99" s="2">
        <f t="shared" si="12"/>
        <v>72587.739999999991</v>
      </c>
      <c r="Y99" s="2"/>
      <c r="Z99" s="21">
        <f t="shared" si="13"/>
        <v>4.1356506946764883E-2</v>
      </c>
    </row>
    <row r="100" spans="1:26" s="24" customFormat="1" hidden="1" outlineLevel="1" x14ac:dyDescent="0.25">
      <c r="A100" s="50"/>
      <c r="B100" s="11" t="str">
        <f>CONCATENATE("          ", "5002", " - ", "PURCHASES @ COST-USED TEXT")</f>
        <v xml:space="preserve">          5002 - PURCHASES @ COST-USED TEXT</v>
      </c>
      <c r="C100" s="11"/>
      <c r="D100" s="2">
        <v>224687.41999999998</v>
      </c>
      <c r="E100" s="2"/>
      <c r="F100" s="21">
        <f t="shared" si="6"/>
        <v>8.312502664395055E-2</v>
      </c>
      <c r="G100" s="2"/>
      <c r="H100" s="2">
        <v>234692.72</v>
      </c>
      <c r="I100" s="2"/>
      <c r="J100" s="21">
        <f t="shared" si="7"/>
        <v>7.7416104234032931E-2</v>
      </c>
      <c r="K100" s="2"/>
      <c r="L100" s="2">
        <f t="shared" si="8"/>
        <v>-10005.300000000017</v>
      </c>
      <c r="M100" s="2"/>
      <c r="N100" s="21">
        <f t="shared" si="9"/>
        <v>-4.2631488526785229E-2</v>
      </c>
      <c r="O100" s="11"/>
      <c r="P100" s="2">
        <v>334980.67</v>
      </c>
      <c r="Q100" s="2"/>
      <c r="R100" s="21">
        <f t="shared" si="10"/>
        <v>0.10965198128815491</v>
      </c>
      <c r="S100" s="2"/>
      <c r="T100" s="2">
        <v>170574.41999999998</v>
      </c>
      <c r="U100" s="2"/>
      <c r="V100" s="21">
        <f t="shared" si="11"/>
        <v>4.9972944498723852E-2</v>
      </c>
      <c r="W100" s="2"/>
      <c r="X100" s="2">
        <f t="shared" si="12"/>
        <v>164406.25</v>
      </c>
      <c r="Y100" s="2"/>
      <c r="Z100" s="21">
        <f t="shared" si="13"/>
        <v>0.96383883351325494</v>
      </c>
    </row>
    <row r="101" spans="1:26" s="24" customFormat="1" hidden="1" outlineLevel="1" x14ac:dyDescent="0.25">
      <c r="A101" s="50"/>
      <c r="B101" s="11" t="str">
        <f>CONCATENATE("          ", "5003", " - ", "PURCHASES @ COST-RENTAL TEXT")</f>
        <v xml:space="preserve">          5003 - PURCHASES @ COST-RENTAL TEXT</v>
      </c>
      <c r="C101" s="11"/>
      <c r="D101" s="2">
        <v>-38374.199999999997</v>
      </c>
      <c r="E101" s="2"/>
      <c r="F101" s="21">
        <f t="shared" si="6"/>
        <v>-1.4196862456475254E-2</v>
      </c>
      <c r="G101" s="2"/>
      <c r="H101" s="2">
        <v>4208</v>
      </c>
      <c r="I101" s="2"/>
      <c r="J101" s="21">
        <f t="shared" si="7"/>
        <v>1.3880573995512539E-3</v>
      </c>
      <c r="K101" s="2"/>
      <c r="L101" s="2">
        <f t="shared" si="8"/>
        <v>-42582.2</v>
      </c>
      <c r="M101" s="2"/>
      <c r="N101" s="21">
        <f t="shared" si="9"/>
        <v>-10.119344106463878</v>
      </c>
      <c r="O101" s="11"/>
      <c r="P101" s="2">
        <v>-78.400000000000006</v>
      </c>
      <c r="Q101" s="2"/>
      <c r="R101" s="21">
        <f t="shared" si="10"/>
        <v>-2.5663317626630057E-5</v>
      </c>
      <c r="S101" s="2"/>
      <c r="T101" s="2">
        <v>2444.3000000000002</v>
      </c>
      <c r="U101" s="2"/>
      <c r="V101" s="21">
        <f t="shared" si="11"/>
        <v>7.1610308414491884E-4</v>
      </c>
      <c r="W101" s="2"/>
      <c r="X101" s="2">
        <f t="shared" si="12"/>
        <v>-2522.7000000000003</v>
      </c>
      <c r="Y101" s="2"/>
      <c r="Z101" s="21">
        <f t="shared" si="13"/>
        <v>-1.0320746225913349</v>
      </c>
    </row>
    <row r="102" spans="1:26" s="24" customFormat="1" hidden="1" outlineLevel="1" x14ac:dyDescent="0.25">
      <c r="A102" s="50"/>
      <c r="B102" s="11" t="str">
        <f>CONCATENATE("          ", "5004", " - ", "PURCHASES @ COST-DIGITAL TEXT")</f>
        <v xml:space="preserve">          5004 - PURCHASES @ COST-DIGITAL TEXT</v>
      </c>
      <c r="C102" s="11"/>
      <c r="D102" s="2">
        <v>169007.92</v>
      </c>
      <c r="E102" s="2"/>
      <c r="F102" s="21">
        <f t="shared" si="6"/>
        <v>6.2525920912878286E-2</v>
      </c>
      <c r="G102" s="2"/>
      <c r="H102" s="2">
        <v>56273.21</v>
      </c>
      <c r="I102" s="2"/>
      <c r="J102" s="21">
        <f t="shared" si="7"/>
        <v>1.8562368235979471E-2</v>
      </c>
      <c r="K102" s="2"/>
      <c r="L102" s="2">
        <f t="shared" si="8"/>
        <v>112734.71000000002</v>
      </c>
      <c r="M102" s="2"/>
      <c r="N102" s="21">
        <f t="shared" si="9"/>
        <v>2.0033459971450007</v>
      </c>
      <c r="O102" s="11"/>
      <c r="P102" s="2">
        <v>302966.49000000005</v>
      </c>
      <c r="Q102" s="2"/>
      <c r="R102" s="21">
        <f t="shared" si="10"/>
        <v>9.9172516110908659E-2</v>
      </c>
      <c r="S102" s="2"/>
      <c r="T102" s="2">
        <v>202213.11</v>
      </c>
      <c r="U102" s="2"/>
      <c r="V102" s="21">
        <f t="shared" si="11"/>
        <v>5.924208637464129E-2</v>
      </c>
      <c r="W102" s="2"/>
      <c r="X102" s="2">
        <f t="shared" si="12"/>
        <v>100753.38000000006</v>
      </c>
      <c r="Y102" s="2"/>
      <c r="Z102" s="21">
        <f t="shared" si="13"/>
        <v>0.49825345151953832</v>
      </c>
    </row>
    <row r="103" spans="1:26" s="24" customFormat="1" hidden="1" outlineLevel="1" x14ac:dyDescent="0.25">
      <c r="A103" s="50"/>
      <c r="B103" s="11" t="str">
        <f>CONCATENATE("          ", "5011", " - ", "PURCHASES @ COST-NO VALUE TEXT")</f>
        <v xml:space="preserve">          5011 - PURCHASES @ COST-NO VALUE TEXT</v>
      </c>
      <c r="C103" s="11"/>
      <c r="D103" s="2">
        <v>369</v>
      </c>
      <c r="E103" s="2"/>
      <c r="F103" s="21">
        <f t="shared" si="6"/>
        <v>1.3651469597905283E-4</v>
      </c>
      <c r="G103" s="2"/>
      <c r="H103" s="2">
        <v>516</v>
      </c>
      <c r="I103" s="2"/>
      <c r="J103" s="21">
        <f t="shared" si="7"/>
        <v>1.7020855945067657E-4</v>
      </c>
      <c r="K103" s="2"/>
      <c r="L103" s="2">
        <f t="shared" si="8"/>
        <v>-147</v>
      </c>
      <c r="M103" s="2"/>
      <c r="N103" s="21">
        <f t="shared" si="9"/>
        <v>-0.28488372093023256</v>
      </c>
      <c r="O103" s="11"/>
      <c r="P103" s="2">
        <v>657</v>
      </c>
      <c r="Q103" s="2"/>
      <c r="R103" s="21">
        <f t="shared" si="10"/>
        <v>2.1506122041704012E-4</v>
      </c>
      <c r="S103" s="2"/>
      <c r="T103" s="2">
        <v>957</v>
      </c>
      <c r="U103" s="2"/>
      <c r="V103" s="21">
        <f t="shared" si="11"/>
        <v>2.8037092481556571E-4</v>
      </c>
      <c r="W103" s="2"/>
      <c r="X103" s="2">
        <f t="shared" si="12"/>
        <v>-300</v>
      </c>
      <c r="Y103" s="2"/>
      <c r="Z103" s="21">
        <f t="shared" si="13"/>
        <v>-0.31347962382445144</v>
      </c>
    </row>
    <row r="104" spans="1:26" s="24" customFormat="1" hidden="1" outlineLevel="1" x14ac:dyDescent="0.25">
      <c r="A104" s="50"/>
      <c r="B104" s="11" t="str">
        <f>CONCATENATE("          ", "5013", " - ", "PURCHASES @ COST-TRADE BOOKS")</f>
        <v xml:space="preserve">          5013 - PURCHASES @ COST-TRADE BOOKS</v>
      </c>
      <c r="C104" s="11"/>
      <c r="D104" s="2"/>
      <c r="E104" s="2"/>
      <c r="F104" s="21">
        <f t="shared" si="6"/>
        <v>0</v>
      </c>
      <c r="G104" s="2"/>
      <c r="H104" s="2">
        <v>1483.2</v>
      </c>
      <c r="I104" s="2"/>
      <c r="J104" s="21">
        <f t="shared" si="7"/>
        <v>4.8925064995589823E-4</v>
      </c>
      <c r="K104" s="2"/>
      <c r="L104" s="2">
        <f t="shared" si="8"/>
        <v>-1483.2</v>
      </c>
      <c r="M104" s="2"/>
      <c r="N104" s="21">
        <f t="shared" si="9"/>
        <v>-1</v>
      </c>
      <c r="O104" s="11"/>
      <c r="P104" s="2">
        <v>204.9</v>
      </c>
      <c r="Q104" s="2"/>
      <c r="R104" s="21">
        <f t="shared" si="10"/>
        <v>6.7071604358373698E-5</v>
      </c>
      <c r="S104" s="2"/>
      <c r="T104" s="2">
        <v>1602.99</v>
      </c>
      <c r="U104" s="2"/>
      <c r="V104" s="21">
        <f t="shared" si="11"/>
        <v>4.6962569359467469E-4</v>
      </c>
      <c r="W104" s="2"/>
      <c r="X104" s="2">
        <f t="shared" si="12"/>
        <v>-1398.09</v>
      </c>
      <c r="Y104" s="2"/>
      <c r="Z104" s="21">
        <f t="shared" si="13"/>
        <v>-0.87217637040780038</v>
      </c>
    </row>
    <row r="105" spans="1:26" s="24" customFormat="1" hidden="1" outlineLevel="1" x14ac:dyDescent="0.25">
      <c r="A105" s="50"/>
      <c r="B105" s="11" t="str">
        <f>CONCATENATE("          ", "5014", " - ", "PURCHASES @ COST-REMAINDERS")</f>
        <v xml:space="preserve">          5014 - PURCHASES @ COST-REMAINDERS</v>
      </c>
      <c r="C105" s="11"/>
      <c r="D105" s="2">
        <v>133.84</v>
      </c>
      <c r="E105" s="2"/>
      <c r="F105" s="21">
        <f t="shared" si="6"/>
        <v>4.9515249078147514E-5</v>
      </c>
      <c r="G105" s="2"/>
      <c r="H105" s="2">
        <v>-23.6</v>
      </c>
      <c r="I105" s="2"/>
      <c r="J105" s="21">
        <f t="shared" si="7"/>
        <v>-7.7847325640231928E-6</v>
      </c>
      <c r="K105" s="2"/>
      <c r="L105" s="2">
        <f t="shared" si="8"/>
        <v>157.44</v>
      </c>
      <c r="M105" s="2"/>
      <c r="N105" s="21">
        <f t="shared" si="9"/>
        <v>-6.6711864406779657</v>
      </c>
      <c r="O105" s="11"/>
      <c r="P105" s="2">
        <v>234.32</v>
      </c>
      <c r="Q105" s="2"/>
      <c r="R105" s="21">
        <f t="shared" si="10"/>
        <v>7.6701895233060639E-5</v>
      </c>
      <c r="S105" s="2"/>
      <c r="T105" s="2">
        <v>204</v>
      </c>
      <c r="U105" s="2"/>
      <c r="V105" s="21">
        <f t="shared" si="11"/>
        <v>5.976558898889802E-5</v>
      </c>
      <c r="W105" s="2"/>
      <c r="X105" s="2">
        <f t="shared" si="12"/>
        <v>30.319999999999993</v>
      </c>
      <c r="Y105" s="2"/>
      <c r="Z105" s="21">
        <f t="shared" si="13"/>
        <v>0.14862745098039212</v>
      </c>
    </row>
    <row r="106" spans="1:26" s="24" customFormat="1" hidden="1" outlineLevel="1" x14ac:dyDescent="0.25">
      <c r="A106" s="50"/>
      <c r="B106" s="11" t="str">
        <f>CONCATENATE("          ", "5017", " - ", "PURCHASES @ COST-DORM/HOUSEWAR")</f>
        <v xml:space="preserve">          5017 - PURCHASES @ COST-DORM/HOUSEWAR</v>
      </c>
      <c r="C106" s="11"/>
      <c r="D106" s="2">
        <v>139.86000000000001</v>
      </c>
      <c r="E106" s="2"/>
      <c r="F106" s="21">
        <f t="shared" si="6"/>
        <v>5.1742399402792225E-5</v>
      </c>
      <c r="G106" s="2"/>
      <c r="H106" s="2">
        <v>959.6</v>
      </c>
      <c r="I106" s="2"/>
      <c r="J106" s="21">
        <f t="shared" si="7"/>
        <v>3.1653514273036676E-4</v>
      </c>
      <c r="K106" s="2"/>
      <c r="L106" s="2">
        <f t="shared" si="8"/>
        <v>-819.74</v>
      </c>
      <c r="M106" s="2"/>
      <c r="N106" s="21">
        <f t="shared" si="9"/>
        <v>-0.85425177157148813</v>
      </c>
      <c r="O106" s="11"/>
      <c r="P106" s="2">
        <v>139.86000000000001</v>
      </c>
      <c r="Q106" s="2"/>
      <c r="R106" s="21">
        <f t="shared" si="10"/>
        <v>4.5781525551791831E-5</v>
      </c>
      <c r="S106" s="2"/>
      <c r="T106" s="2">
        <v>959.6</v>
      </c>
      <c r="U106" s="2"/>
      <c r="V106" s="21">
        <f t="shared" si="11"/>
        <v>2.8113264310660071E-4</v>
      </c>
      <c r="W106" s="2"/>
      <c r="X106" s="2">
        <f t="shared" si="12"/>
        <v>-819.74</v>
      </c>
      <c r="Y106" s="2"/>
      <c r="Z106" s="21">
        <f t="shared" si="13"/>
        <v>-0.85425177157148813</v>
      </c>
    </row>
    <row r="107" spans="1:26" s="24" customFormat="1" hidden="1" outlineLevel="1" x14ac:dyDescent="0.25">
      <c r="A107" s="50"/>
      <c r="B107" s="11" t="str">
        <f>CONCATENATE("          ", "5018", " - ", "PURCHASES @ COST-STUDY GUIDES")</f>
        <v xml:space="preserve">          5018 - PURCHASES @ COST-STUDY GUIDES</v>
      </c>
      <c r="C107" s="11"/>
      <c r="D107" s="2"/>
      <c r="E107" s="2"/>
      <c r="F107" s="21">
        <f t="shared" si="6"/>
        <v>0</v>
      </c>
      <c r="G107" s="2"/>
      <c r="H107" s="2">
        <v>449</v>
      </c>
      <c r="I107" s="2"/>
      <c r="J107" s="21">
        <f t="shared" si="7"/>
        <v>1.4810783564603446E-4</v>
      </c>
      <c r="K107" s="2"/>
      <c r="L107" s="2">
        <f t="shared" si="8"/>
        <v>-449</v>
      </c>
      <c r="M107" s="2"/>
      <c r="N107" s="21">
        <f t="shared" si="9"/>
        <v>-1</v>
      </c>
      <c r="O107" s="11"/>
      <c r="P107" s="2">
        <v>503.93</v>
      </c>
      <c r="Q107" s="2"/>
      <c r="R107" s="21">
        <f t="shared" si="10"/>
        <v>1.6495555678045515E-4</v>
      </c>
      <c r="S107" s="2"/>
      <c r="T107" s="2">
        <v>818.63</v>
      </c>
      <c r="U107" s="2"/>
      <c r="V107" s="21">
        <f t="shared" si="11"/>
        <v>2.3983286330383133E-4</v>
      </c>
      <c r="W107" s="2"/>
      <c r="X107" s="2">
        <f t="shared" si="12"/>
        <v>-314.7</v>
      </c>
      <c r="Y107" s="2"/>
      <c r="Z107" s="21">
        <f t="shared" si="13"/>
        <v>-0.38442275509082247</v>
      </c>
    </row>
    <row r="108" spans="1:26" s="24" customFormat="1" hidden="1" outlineLevel="1" x14ac:dyDescent="0.25">
      <c r="A108" s="50"/>
      <c r="B108" s="11" t="str">
        <f>CONCATENATE("          ", "5025", " - ", "PURCHASES @ COST-TEST FORMS")</f>
        <v xml:space="preserve">          5025 - PURCHASES @ COST-TEST FORMS</v>
      </c>
      <c r="C108" s="11"/>
      <c r="D108" s="2">
        <v>878.02</v>
      </c>
      <c r="E108" s="2"/>
      <c r="F108" s="21">
        <f t="shared" si="6"/>
        <v>3.2483098472500804E-4</v>
      </c>
      <c r="G108" s="2"/>
      <c r="H108" s="2"/>
      <c r="I108" s="2"/>
      <c r="J108" s="21">
        <f t="shared" si="7"/>
        <v>0</v>
      </c>
      <c r="K108" s="2"/>
      <c r="L108" s="2">
        <f t="shared" si="8"/>
        <v>878.02</v>
      </c>
      <c r="M108" s="2"/>
      <c r="N108" s="21">
        <f t="shared" si="9"/>
        <v>0</v>
      </c>
      <c r="O108" s="11"/>
      <c r="P108" s="2">
        <v>1757.14</v>
      </c>
      <c r="Q108" s="2"/>
      <c r="R108" s="21">
        <f t="shared" si="10"/>
        <v>5.7517910630684613E-4</v>
      </c>
      <c r="S108" s="2"/>
      <c r="T108" s="2">
        <v>1050</v>
      </c>
      <c r="U108" s="2"/>
      <c r="V108" s="21">
        <f t="shared" si="11"/>
        <v>3.0761700214873984E-4</v>
      </c>
      <c r="W108" s="2"/>
      <c r="X108" s="2">
        <f t="shared" si="12"/>
        <v>707.1400000000001</v>
      </c>
      <c r="Y108" s="2"/>
      <c r="Z108" s="21">
        <f t="shared" si="13"/>
        <v>0.67346666666666677</v>
      </c>
    </row>
    <row r="109" spans="1:26" s="24" customFormat="1" hidden="1" outlineLevel="1" x14ac:dyDescent="0.25">
      <c r="A109" s="50"/>
      <c r="B109" s="11" t="str">
        <f>CONCATENATE("          ", "5026", " - ", "PURCHASES @ COST-WRITING INSTR")</f>
        <v xml:space="preserve">          5026 - PURCHASES @ COST-WRITING INSTR</v>
      </c>
      <c r="C109" s="11"/>
      <c r="D109" s="2">
        <v>2205.4899999999998</v>
      </c>
      <c r="E109" s="2"/>
      <c r="F109" s="21">
        <f t="shared" si="6"/>
        <v>8.1593982882070793E-4</v>
      </c>
      <c r="G109" s="2"/>
      <c r="H109" s="2">
        <v>-16593.27</v>
      </c>
      <c r="I109" s="2"/>
      <c r="J109" s="21">
        <f t="shared" si="7"/>
        <v>-5.473481750535132E-3</v>
      </c>
      <c r="K109" s="2"/>
      <c r="L109" s="2">
        <f t="shared" si="8"/>
        <v>18798.760000000002</v>
      </c>
      <c r="M109" s="2"/>
      <c r="N109" s="21">
        <f t="shared" si="9"/>
        <v>-1.1329147298874787</v>
      </c>
      <c r="O109" s="11"/>
      <c r="P109" s="2">
        <v>12536.53</v>
      </c>
      <c r="Q109" s="2"/>
      <c r="R109" s="21">
        <f t="shared" si="10"/>
        <v>4.103685603645108E-3</v>
      </c>
      <c r="S109" s="2"/>
      <c r="T109" s="2">
        <v>4596.82</v>
      </c>
      <c r="U109" s="2"/>
      <c r="V109" s="21">
        <f t="shared" si="11"/>
        <v>1.346723797921305E-3</v>
      </c>
      <c r="W109" s="2"/>
      <c r="X109" s="2">
        <f t="shared" si="12"/>
        <v>7939.7100000000009</v>
      </c>
      <c r="Y109" s="2"/>
      <c r="Z109" s="21">
        <f t="shared" si="13"/>
        <v>1.7272179463194124</v>
      </c>
    </row>
    <row r="110" spans="1:26" s="24" customFormat="1" hidden="1" outlineLevel="1" x14ac:dyDescent="0.25">
      <c r="A110" s="50"/>
      <c r="B110" s="11" t="str">
        <f>CONCATENATE("          ", "5027", " - ", "PURCHASES @ COST-SCHOOL SUPPLI")</f>
        <v xml:space="preserve">          5027 - PURCHASES @ COST-SCHOOL SUPPLI</v>
      </c>
      <c r="C110" s="11"/>
      <c r="D110" s="2">
        <v>-588.74</v>
      </c>
      <c r="E110" s="2"/>
      <c r="F110" s="21">
        <f t="shared" si="6"/>
        <v>-2.1780938241384166E-4</v>
      </c>
      <c r="G110" s="2"/>
      <c r="H110" s="2">
        <v>-11423.61</v>
      </c>
      <c r="I110" s="2"/>
      <c r="J110" s="21">
        <f t="shared" si="7"/>
        <v>-3.7682096934619062E-3</v>
      </c>
      <c r="K110" s="2"/>
      <c r="L110" s="2">
        <f t="shared" si="8"/>
        <v>10834.87</v>
      </c>
      <c r="M110" s="2"/>
      <c r="N110" s="21">
        <f t="shared" si="9"/>
        <v>-0.94846287644623728</v>
      </c>
      <c r="O110" s="11"/>
      <c r="P110" s="2">
        <v>49526.729999999996</v>
      </c>
      <c r="Q110" s="2"/>
      <c r="R110" s="21">
        <f t="shared" si="10"/>
        <v>1.6211992385183002E-2</v>
      </c>
      <c r="S110" s="2"/>
      <c r="T110" s="2">
        <v>43670.19</v>
      </c>
      <c r="U110" s="2"/>
      <c r="V110" s="21">
        <f t="shared" si="11"/>
        <v>1.2793993267681788E-2</v>
      </c>
      <c r="W110" s="2"/>
      <c r="X110" s="2">
        <f t="shared" si="12"/>
        <v>5856.5399999999936</v>
      </c>
      <c r="Y110" s="2"/>
      <c r="Z110" s="21">
        <f t="shared" si="13"/>
        <v>0.13410841583240177</v>
      </c>
    </row>
    <row r="111" spans="1:26" s="24" customFormat="1" hidden="1" outlineLevel="1" x14ac:dyDescent="0.25">
      <c r="A111" s="50"/>
      <c r="B111" s="11" t="str">
        <f>CONCATENATE("          ", "5028", " - ", "PURCHASES @ COST-ART/TECH")</f>
        <v xml:space="preserve">          5028 - PURCHASES @ COST-ART/TECH</v>
      </c>
      <c r="C111" s="11"/>
      <c r="D111" s="2">
        <v>27987.119999999999</v>
      </c>
      <c r="E111" s="2"/>
      <c r="F111" s="21">
        <f t="shared" si="6"/>
        <v>1.0354073653466854E-2</v>
      </c>
      <c r="G111" s="2"/>
      <c r="H111" s="2">
        <v>11572.23</v>
      </c>
      <c r="I111" s="2"/>
      <c r="J111" s="21">
        <f t="shared" si="7"/>
        <v>3.8172337169222925E-3</v>
      </c>
      <c r="K111" s="2"/>
      <c r="L111" s="2">
        <f t="shared" si="8"/>
        <v>16414.89</v>
      </c>
      <c r="M111" s="2"/>
      <c r="N111" s="21">
        <f t="shared" si="9"/>
        <v>1.4184724983862229</v>
      </c>
      <c r="O111" s="11"/>
      <c r="P111" s="2">
        <v>56014.77</v>
      </c>
      <c r="Q111" s="2"/>
      <c r="R111" s="21">
        <f t="shared" si="10"/>
        <v>1.8335775947610055E-2</v>
      </c>
      <c r="S111" s="2"/>
      <c r="T111" s="2">
        <v>37596.310000000005</v>
      </c>
      <c r="U111" s="2"/>
      <c r="V111" s="21">
        <f t="shared" si="11"/>
        <v>1.1014537308623513E-2</v>
      </c>
      <c r="W111" s="2"/>
      <c r="X111" s="2">
        <f t="shared" si="12"/>
        <v>18418.459999999992</v>
      </c>
      <c r="Y111" s="2"/>
      <c r="Z111" s="21">
        <f t="shared" si="13"/>
        <v>0.48990073759898217</v>
      </c>
    </row>
    <row r="112" spans="1:26" s="24" customFormat="1" hidden="1" outlineLevel="1" x14ac:dyDescent="0.25">
      <c r="A112" s="50"/>
      <c r="B112" s="11" t="str">
        <f>CONCATENATE("          ", "5031", " - ", "PURCHASES @ COST-FOOD")</f>
        <v xml:space="preserve">          5031 - PURCHASES @ COST-FOOD</v>
      </c>
      <c r="C112" s="11"/>
      <c r="D112" s="2">
        <v>2679.04</v>
      </c>
      <c r="E112" s="2"/>
      <c r="F112" s="21">
        <f t="shared" si="6"/>
        <v>9.9113368866049251E-4</v>
      </c>
      <c r="G112" s="2"/>
      <c r="H112" s="2">
        <v>2874.01</v>
      </c>
      <c r="I112" s="2"/>
      <c r="J112" s="21">
        <f t="shared" si="7"/>
        <v>9.4802539136984313E-4</v>
      </c>
      <c r="K112" s="2"/>
      <c r="L112" s="2">
        <f t="shared" si="8"/>
        <v>-194.97000000000025</v>
      </c>
      <c r="M112" s="2"/>
      <c r="N112" s="21">
        <f t="shared" si="9"/>
        <v>-6.7839012390353629E-2</v>
      </c>
      <c r="O112" s="11"/>
      <c r="P112" s="2">
        <v>2679.04</v>
      </c>
      <c r="Q112" s="2"/>
      <c r="R112" s="21">
        <f t="shared" si="10"/>
        <v>8.7695222518427267E-4</v>
      </c>
      <c r="S112" s="2"/>
      <c r="T112" s="2">
        <v>2963.17</v>
      </c>
      <c r="U112" s="2"/>
      <c r="V112" s="21">
        <f t="shared" si="11"/>
        <v>8.6811568786388708E-4</v>
      </c>
      <c r="W112" s="2"/>
      <c r="X112" s="2">
        <f t="shared" si="12"/>
        <v>-284.13000000000011</v>
      </c>
      <c r="Y112" s="2"/>
      <c r="Z112" s="21">
        <f t="shared" si="13"/>
        <v>-9.5887174883655044E-2</v>
      </c>
    </row>
    <row r="113" spans="1:26" s="24" customFormat="1" hidden="1" outlineLevel="1" x14ac:dyDescent="0.25">
      <c r="A113" s="50"/>
      <c r="B113" s="11" t="str">
        <f>CONCATENATE("          ", "5032", " - ", "PURCHASES @ COST-JUICE")</f>
        <v xml:space="preserve">          5032 - PURCHASES @ COST-JUICE</v>
      </c>
      <c r="C113" s="11"/>
      <c r="D113" s="2">
        <v>227.18</v>
      </c>
      <c r="E113" s="2"/>
      <c r="F113" s="21">
        <f t="shared" si="6"/>
        <v>8.4047177865911185E-5</v>
      </c>
      <c r="G113" s="2"/>
      <c r="H113" s="2">
        <v>982.09</v>
      </c>
      <c r="I113" s="2"/>
      <c r="J113" s="21">
        <f t="shared" si="7"/>
        <v>3.2395372897464143E-4</v>
      </c>
      <c r="K113" s="2"/>
      <c r="L113" s="2">
        <f t="shared" si="8"/>
        <v>-754.91000000000008</v>
      </c>
      <c r="M113" s="2"/>
      <c r="N113" s="21">
        <f t="shared" si="9"/>
        <v>-0.76867700516245974</v>
      </c>
      <c r="O113" s="11"/>
      <c r="P113" s="2">
        <v>341.6</v>
      </c>
      <c r="Q113" s="2"/>
      <c r="R113" s="21">
        <f t="shared" si="10"/>
        <v>1.1181874108745953E-4</v>
      </c>
      <c r="S113" s="2"/>
      <c r="T113" s="2">
        <v>982.09</v>
      </c>
      <c r="U113" s="2"/>
      <c r="V113" s="21">
        <f t="shared" si="11"/>
        <v>2.8772150632405322E-4</v>
      </c>
      <c r="W113" s="2"/>
      <c r="X113" s="2">
        <f t="shared" si="12"/>
        <v>-640.49</v>
      </c>
      <c r="Y113" s="2"/>
      <c r="Z113" s="21">
        <f t="shared" si="13"/>
        <v>-0.65217037135089451</v>
      </c>
    </row>
    <row r="114" spans="1:26" s="24" customFormat="1" hidden="1" outlineLevel="1" x14ac:dyDescent="0.25">
      <c r="A114" s="50"/>
      <c r="B114" s="11" t="str">
        <f>CONCATENATE("          ", "5033", " - ", "PURCHASES @ COST-CANDY")</f>
        <v xml:space="preserve">          5033 - PURCHASES @ COST-CANDY</v>
      </c>
      <c r="C114" s="11"/>
      <c r="D114" s="2">
        <v>986.46</v>
      </c>
      <c r="E114" s="2"/>
      <c r="F114" s="21">
        <f t="shared" si="6"/>
        <v>3.6494928725066796E-4</v>
      </c>
      <c r="G114" s="2"/>
      <c r="H114" s="2">
        <v>926.93</v>
      </c>
      <c r="I114" s="2"/>
      <c r="J114" s="21">
        <f t="shared" si="7"/>
        <v>3.057585659139838E-4</v>
      </c>
      <c r="K114" s="2"/>
      <c r="L114" s="2">
        <f t="shared" si="8"/>
        <v>59.530000000000086</v>
      </c>
      <c r="M114" s="2"/>
      <c r="N114" s="21">
        <f t="shared" si="9"/>
        <v>6.4222756842480105E-2</v>
      </c>
      <c r="O114" s="11"/>
      <c r="P114" s="2">
        <v>986.46</v>
      </c>
      <c r="Q114" s="2"/>
      <c r="R114" s="21">
        <f t="shared" si="10"/>
        <v>3.2290607533119238E-4</v>
      </c>
      <c r="S114" s="2"/>
      <c r="T114" s="2">
        <v>1089.92</v>
      </c>
      <c r="U114" s="2"/>
      <c r="V114" s="21">
        <f t="shared" si="11"/>
        <v>3.1931230760186144E-4</v>
      </c>
      <c r="W114" s="2"/>
      <c r="X114" s="2">
        <f t="shared" si="12"/>
        <v>-103.46000000000004</v>
      </c>
      <c r="Y114" s="2"/>
      <c r="Z114" s="21">
        <f t="shared" si="13"/>
        <v>-9.4924398120963038E-2</v>
      </c>
    </row>
    <row r="115" spans="1:26" s="24" customFormat="1" hidden="1" outlineLevel="1" x14ac:dyDescent="0.25">
      <c r="A115" s="50"/>
      <c r="B115" s="11" t="str">
        <f>CONCATENATE("          ", "5034", " - ", "PURCHASES @ COST-SODA")</f>
        <v xml:space="preserve">          5034 - PURCHASES @ COST-SODA</v>
      </c>
      <c r="C115" s="11"/>
      <c r="D115" s="2">
        <v>350.04</v>
      </c>
      <c r="E115" s="2"/>
      <c r="F115" s="21">
        <f t="shared" si="6"/>
        <v>1.2950028233199906E-4</v>
      </c>
      <c r="G115" s="2"/>
      <c r="H115" s="2">
        <v>538.94000000000005</v>
      </c>
      <c r="I115" s="2"/>
      <c r="J115" s="21">
        <f t="shared" si="7"/>
        <v>1.777755833921466E-4</v>
      </c>
      <c r="K115" s="2"/>
      <c r="L115" s="2">
        <f t="shared" si="8"/>
        <v>-188.90000000000003</v>
      </c>
      <c r="M115" s="2"/>
      <c r="N115" s="21">
        <f t="shared" si="9"/>
        <v>-0.3505028389060007</v>
      </c>
      <c r="O115" s="11"/>
      <c r="P115" s="2">
        <v>288.5</v>
      </c>
      <c r="Q115" s="2"/>
      <c r="R115" s="21">
        <f t="shared" si="10"/>
        <v>9.44370808071782E-5</v>
      </c>
      <c r="S115" s="2"/>
      <c r="T115" s="2">
        <v>538.94000000000005</v>
      </c>
      <c r="U115" s="2"/>
      <c r="V115" s="21">
        <f t="shared" si="11"/>
        <v>1.5789248298861129E-4</v>
      </c>
      <c r="W115" s="2"/>
      <c r="X115" s="2">
        <f t="shared" si="12"/>
        <v>-250.44000000000005</v>
      </c>
      <c r="Y115" s="2"/>
      <c r="Z115" s="21">
        <f t="shared" si="13"/>
        <v>-0.4646899469328683</v>
      </c>
    </row>
    <row r="116" spans="1:26" s="24" customFormat="1" hidden="1" outlineLevel="1" x14ac:dyDescent="0.25">
      <c r="A116" s="50"/>
      <c r="B116" s="11" t="str">
        <f>CONCATENATE("          ", "5035", " - ", "PURCHASES @ COST-HEALTH &amp; BEAU")</f>
        <v xml:space="preserve">          5035 - PURCHASES @ COST-HEALTH &amp; BEAU</v>
      </c>
      <c r="C116" s="11"/>
      <c r="D116" s="2">
        <v>76.73</v>
      </c>
      <c r="E116" s="2"/>
      <c r="F116" s="21">
        <f t="shared" si="6"/>
        <v>2.8386917676077847E-5</v>
      </c>
      <c r="G116" s="2"/>
      <c r="H116" s="2">
        <v>44.49</v>
      </c>
      <c r="I116" s="2"/>
      <c r="J116" s="21">
        <f t="shared" si="7"/>
        <v>1.4675540329381011E-5</v>
      </c>
      <c r="K116" s="2"/>
      <c r="L116" s="2">
        <f t="shared" si="8"/>
        <v>32.24</v>
      </c>
      <c r="M116" s="2"/>
      <c r="N116" s="21">
        <f t="shared" si="9"/>
        <v>0.72465722634299845</v>
      </c>
      <c r="O116" s="11"/>
      <c r="P116" s="2">
        <v>76.73</v>
      </c>
      <c r="Q116" s="2"/>
      <c r="R116" s="21">
        <f t="shared" si="10"/>
        <v>2.5116662774124033E-5</v>
      </c>
      <c r="S116" s="2"/>
      <c r="T116" s="2">
        <v>44.49</v>
      </c>
      <c r="U116" s="2"/>
      <c r="V116" s="21">
        <f t="shared" si="11"/>
        <v>1.3034171833902319E-5</v>
      </c>
      <c r="W116" s="2"/>
      <c r="X116" s="2">
        <f t="shared" si="12"/>
        <v>32.24</v>
      </c>
      <c r="Y116" s="2"/>
      <c r="Z116" s="21">
        <f t="shared" si="13"/>
        <v>0.72465722634299845</v>
      </c>
    </row>
    <row r="117" spans="1:26" s="24" customFormat="1" hidden="1" outlineLevel="1" x14ac:dyDescent="0.25">
      <c r="A117" s="50"/>
      <c r="B117" s="11" t="str">
        <f>CONCATENATE("          ", "5037", " - ", "PURCHASES @ COST-WATER")</f>
        <v xml:space="preserve">          5037 - PURCHASES @ COST-WATER</v>
      </c>
      <c r="C117" s="11"/>
      <c r="D117" s="2">
        <v>462.36</v>
      </c>
      <c r="E117" s="2"/>
      <c r="F117" s="21">
        <f t="shared" si="6"/>
        <v>1.7105402393733027E-4</v>
      </c>
      <c r="G117" s="2"/>
      <c r="H117" s="2">
        <v>591.05999999999995</v>
      </c>
      <c r="I117" s="2"/>
      <c r="J117" s="21">
        <f t="shared" si="7"/>
        <v>1.9496796734286219E-4</v>
      </c>
      <c r="K117" s="2"/>
      <c r="L117" s="2">
        <f t="shared" si="8"/>
        <v>-128.69999999999993</v>
      </c>
      <c r="M117" s="2"/>
      <c r="N117" s="21">
        <f t="shared" si="9"/>
        <v>-0.21774439143234181</v>
      </c>
      <c r="O117" s="11"/>
      <c r="P117" s="2">
        <v>495.94</v>
      </c>
      <c r="Q117" s="2"/>
      <c r="R117" s="21">
        <f t="shared" si="10"/>
        <v>1.6234012428253711E-4</v>
      </c>
      <c r="S117" s="2"/>
      <c r="T117" s="2">
        <v>591.05999999999995</v>
      </c>
      <c r="U117" s="2"/>
      <c r="V117" s="21">
        <f t="shared" si="11"/>
        <v>1.7316200503812775E-4</v>
      </c>
      <c r="W117" s="2"/>
      <c r="X117" s="2">
        <f t="shared" si="12"/>
        <v>-95.119999999999948</v>
      </c>
      <c r="Y117" s="2"/>
      <c r="Z117" s="21">
        <f t="shared" si="13"/>
        <v>-0.16093120833756294</v>
      </c>
    </row>
    <row r="118" spans="1:26" s="24" customFormat="1" hidden="1" outlineLevel="1" x14ac:dyDescent="0.25">
      <c r="A118" s="50"/>
      <c r="B118" s="11" t="str">
        <f>CONCATENATE("          ", "5040", " - ", "PURCHASES @ COST-LOGO CLOTHING")</f>
        <v xml:space="preserve">          5040 - PURCHASES @ COST-LOGO CLOTHING</v>
      </c>
      <c r="C118" s="11"/>
      <c r="D118" s="2">
        <v>106647.4</v>
      </c>
      <c r="E118" s="2"/>
      <c r="F118" s="21">
        <f t="shared" si="6"/>
        <v>3.9455114872510674E-2</v>
      </c>
      <c r="G118" s="2"/>
      <c r="H118" s="2">
        <v>88746.85</v>
      </c>
      <c r="I118" s="2"/>
      <c r="J118" s="21">
        <f t="shared" si="7"/>
        <v>2.927417343853736E-2</v>
      </c>
      <c r="K118" s="2"/>
      <c r="L118" s="2">
        <f t="shared" si="8"/>
        <v>17900.549999999988</v>
      </c>
      <c r="M118" s="2"/>
      <c r="N118" s="21">
        <f t="shared" si="9"/>
        <v>0.20170349708186811</v>
      </c>
      <c r="O118" s="11"/>
      <c r="P118" s="2">
        <v>185568.97</v>
      </c>
      <c r="Q118" s="2"/>
      <c r="R118" s="21">
        <f t="shared" si="10"/>
        <v>6.0743819116793156E-2</v>
      </c>
      <c r="S118" s="2"/>
      <c r="T118" s="2">
        <v>168247.22</v>
      </c>
      <c r="U118" s="2"/>
      <c r="V118" s="21">
        <f t="shared" si="11"/>
        <v>4.9291148034532856E-2</v>
      </c>
      <c r="W118" s="2"/>
      <c r="X118" s="2">
        <f t="shared" si="12"/>
        <v>17321.75</v>
      </c>
      <c r="Y118" s="2"/>
      <c r="Z118" s="21">
        <f t="shared" si="13"/>
        <v>0.10295415282344636</v>
      </c>
    </row>
    <row r="119" spans="1:26" s="24" customFormat="1" hidden="1" outlineLevel="1" x14ac:dyDescent="0.25">
      <c r="A119" s="50"/>
      <c r="B119" s="11" t="str">
        <f>CONCATENATE("          ", "5041", " - ", "PURCHASES @ COST-LOGO GIFTS")</f>
        <v xml:space="preserve">          5041 - PURCHASES @ COST-LOGO GIFTS</v>
      </c>
      <c r="C119" s="11"/>
      <c r="D119" s="2">
        <v>16578.89</v>
      </c>
      <c r="E119" s="2"/>
      <c r="F119" s="21">
        <f t="shared" si="6"/>
        <v>6.1335017019516509E-3</v>
      </c>
      <c r="G119" s="2"/>
      <c r="H119" s="2">
        <v>18758.96</v>
      </c>
      <c r="I119" s="2"/>
      <c r="J119" s="21">
        <f t="shared" si="7"/>
        <v>6.1878596092884959E-3</v>
      </c>
      <c r="K119" s="2"/>
      <c r="L119" s="2">
        <f t="shared" si="8"/>
        <v>-2180.0699999999997</v>
      </c>
      <c r="M119" s="2"/>
      <c r="N119" s="21">
        <f t="shared" si="9"/>
        <v>-0.11621486478994571</v>
      </c>
      <c r="O119" s="11"/>
      <c r="P119" s="2">
        <v>28529.16</v>
      </c>
      <c r="Q119" s="2"/>
      <c r="R119" s="21">
        <f t="shared" si="10"/>
        <v>9.3386848813896556E-3</v>
      </c>
      <c r="S119" s="2"/>
      <c r="T119" s="2">
        <v>40854.899999999994</v>
      </c>
      <c r="U119" s="2"/>
      <c r="V119" s="21">
        <f t="shared" si="11"/>
        <v>1.196920177246338E-2</v>
      </c>
      <c r="W119" s="2"/>
      <c r="X119" s="2">
        <f t="shared" si="12"/>
        <v>-12325.739999999994</v>
      </c>
      <c r="Y119" s="2"/>
      <c r="Z119" s="21">
        <f t="shared" si="13"/>
        <v>-0.30169551265576455</v>
      </c>
    </row>
    <row r="120" spans="1:26" s="24" customFormat="1" hidden="1" outlineLevel="1" x14ac:dyDescent="0.25">
      <c r="A120" s="50"/>
      <c r="B120" s="11" t="str">
        <f>CONCATENATE("          ", "5042", " - ", "PURCHASES @ COST-EVERYDAY GIFT")</f>
        <v xml:space="preserve">          5042 - PURCHASES @ COST-EVERYDAY GIFT</v>
      </c>
      <c r="C120" s="11"/>
      <c r="D120" s="2">
        <v>15979.86</v>
      </c>
      <c r="E120" s="2"/>
      <c r="F120" s="21">
        <f t="shared" si="6"/>
        <v>5.911885446308475E-3</v>
      </c>
      <c r="G120" s="2"/>
      <c r="H120" s="2">
        <v>18833.41</v>
      </c>
      <c r="I120" s="2"/>
      <c r="J120" s="21">
        <f t="shared" si="7"/>
        <v>6.2124178016355943E-3</v>
      </c>
      <c r="K120" s="2"/>
      <c r="L120" s="2">
        <f t="shared" si="8"/>
        <v>-2853.5499999999993</v>
      </c>
      <c r="M120" s="2"/>
      <c r="N120" s="21">
        <f t="shared" si="9"/>
        <v>-0.15151531241554234</v>
      </c>
      <c r="O120" s="11"/>
      <c r="P120" s="2">
        <v>23732.22</v>
      </c>
      <c r="Q120" s="2"/>
      <c r="R120" s="21">
        <f t="shared" si="10"/>
        <v>7.7684630082278357E-3</v>
      </c>
      <c r="S120" s="2"/>
      <c r="T120" s="2">
        <v>23533.83</v>
      </c>
      <c r="U120" s="2"/>
      <c r="V120" s="21">
        <f t="shared" si="11"/>
        <v>6.8946726035029318E-3</v>
      </c>
      <c r="W120" s="2"/>
      <c r="X120" s="2">
        <f t="shared" si="12"/>
        <v>198.38999999999942</v>
      </c>
      <c r="Y120" s="2"/>
      <c r="Z120" s="21">
        <f t="shared" si="13"/>
        <v>8.429992058241239E-3</v>
      </c>
    </row>
    <row r="121" spans="1:26" s="24" customFormat="1" hidden="1" outlineLevel="1" x14ac:dyDescent="0.25">
      <c r="A121" s="50"/>
      <c r="B121" s="11" t="str">
        <f>CONCATENATE("          ", "5043", " - ", "PURCHASES @ COST-CARDS")</f>
        <v xml:space="preserve">          5043 - PURCHASES @ COST-CARDS</v>
      </c>
      <c r="C121" s="11"/>
      <c r="D121" s="2">
        <v>15.24</v>
      </c>
      <c r="E121" s="2"/>
      <c r="F121" s="21">
        <f t="shared" si="6"/>
        <v>5.6381679314925889E-6</v>
      </c>
      <c r="G121" s="2"/>
      <c r="H121" s="2">
        <v>-6.92</v>
      </c>
      <c r="I121" s="2"/>
      <c r="J121" s="21">
        <f t="shared" si="7"/>
        <v>-2.2826419213152749E-6</v>
      </c>
      <c r="K121" s="2"/>
      <c r="L121" s="2">
        <f t="shared" si="8"/>
        <v>22.16</v>
      </c>
      <c r="M121" s="2"/>
      <c r="N121" s="21">
        <f t="shared" si="9"/>
        <v>-3.2023121387283235</v>
      </c>
      <c r="O121" s="11"/>
      <c r="P121" s="2">
        <v>513.5</v>
      </c>
      <c r="Q121" s="2"/>
      <c r="R121" s="21">
        <f t="shared" si="10"/>
        <v>1.6808818368972618E-4</v>
      </c>
      <c r="S121" s="2"/>
      <c r="T121" s="2">
        <v>463.81</v>
      </c>
      <c r="U121" s="2"/>
      <c r="V121" s="21">
        <f t="shared" si="11"/>
        <v>1.3588175406343525E-4</v>
      </c>
      <c r="W121" s="2"/>
      <c r="X121" s="2">
        <f t="shared" si="12"/>
        <v>49.69</v>
      </c>
      <c r="Y121" s="2"/>
      <c r="Z121" s="21">
        <f t="shared" si="13"/>
        <v>0.10713438692568077</v>
      </c>
    </row>
    <row r="122" spans="1:26" s="24" customFormat="1" hidden="1" outlineLevel="1" x14ac:dyDescent="0.25">
      <c r="A122" s="50"/>
      <c r="B122" s="11" t="str">
        <f>CONCATENATE("          ", "5044", " - ", "PURCHASES @ COST-ACCESSORIES")</f>
        <v xml:space="preserve">          5044 - PURCHASES @ COST-ACCESSORIES</v>
      </c>
      <c r="C122" s="11"/>
      <c r="D122" s="2">
        <v>13249.12</v>
      </c>
      <c r="E122" s="2"/>
      <c r="F122" s="21">
        <f t="shared" si="6"/>
        <v>4.9016249018698881E-3</v>
      </c>
      <c r="G122" s="2"/>
      <c r="H122" s="2">
        <v>2132.59</v>
      </c>
      <c r="I122" s="2"/>
      <c r="J122" s="21">
        <f t="shared" si="7"/>
        <v>7.0345944147077208E-4</v>
      </c>
      <c r="K122" s="2"/>
      <c r="L122" s="2">
        <f t="shared" si="8"/>
        <v>11116.53</v>
      </c>
      <c r="M122" s="2"/>
      <c r="N122" s="21">
        <f t="shared" si="9"/>
        <v>5.212689734079218</v>
      </c>
      <c r="O122" s="11"/>
      <c r="P122" s="2">
        <v>18088.12</v>
      </c>
      <c r="Q122" s="2"/>
      <c r="R122" s="21">
        <f t="shared" si="10"/>
        <v>5.9209332758749945E-3</v>
      </c>
      <c r="S122" s="2"/>
      <c r="T122" s="2">
        <v>8195.59</v>
      </c>
      <c r="U122" s="2"/>
      <c r="V122" s="21">
        <f t="shared" si="11"/>
        <v>2.4010503110858958E-3</v>
      </c>
      <c r="W122" s="2"/>
      <c r="X122" s="2">
        <f t="shared" si="12"/>
        <v>9892.5299999999988</v>
      </c>
      <c r="Y122" s="2"/>
      <c r="Z122" s="21">
        <f t="shared" si="13"/>
        <v>1.2070552577666769</v>
      </c>
    </row>
    <row r="123" spans="1:26" s="24" customFormat="1" hidden="1" outlineLevel="1" x14ac:dyDescent="0.25">
      <c r="A123" s="50"/>
      <c r="B123" s="11" t="str">
        <f>CONCATENATE("          ", "5045", " - ", "PURCHASES @ COST-SPECIAL ORDER")</f>
        <v xml:space="preserve">          5045 - PURCHASES @ COST-SPECIAL ORDER</v>
      </c>
      <c r="C123" s="11"/>
      <c r="D123" s="2">
        <v>4152.78</v>
      </c>
      <c r="E123" s="2"/>
      <c r="F123" s="21">
        <f t="shared" si="6"/>
        <v>1.5363563663086477E-3</v>
      </c>
      <c r="G123" s="2"/>
      <c r="H123" s="2">
        <v>11385.67</v>
      </c>
      <c r="I123" s="2"/>
      <c r="J123" s="21">
        <f t="shared" si="7"/>
        <v>3.7556947462805907E-3</v>
      </c>
      <c r="K123" s="2"/>
      <c r="L123" s="2">
        <f t="shared" si="8"/>
        <v>-7232.89</v>
      </c>
      <c r="M123" s="2"/>
      <c r="N123" s="21">
        <f t="shared" si="9"/>
        <v>-0.6352625712847817</v>
      </c>
      <c r="O123" s="11"/>
      <c r="P123" s="2">
        <v>20145.63</v>
      </c>
      <c r="Q123" s="2"/>
      <c r="R123" s="21">
        <f t="shared" si="10"/>
        <v>6.5944349678388678E-3</v>
      </c>
      <c r="S123" s="2"/>
      <c r="T123" s="2">
        <v>30009.980000000003</v>
      </c>
      <c r="U123" s="2"/>
      <c r="V123" s="21">
        <f t="shared" si="11"/>
        <v>8.7919810306129904E-3</v>
      </c>
      <c r="W123" s="2"/>
      <c r="X123" s="2">
        <f t="shared" si="12"/>
        <v>-9864.3500000000022</v>
      </c>
      <c r="Y123" s="2"/>
      <c r="Z123" s="21">
        <f t="shared" si="13"/>
        <v>-0.32870231836209157</v>
      </c>
    </row>
    <row r="124" spans="1:26" s="24" customFormat="1" hidden="1" outlineLevel="1" x14ac:dyDescent="0.25">
      <c r="A124" s="50"/>
      <c r="B124" s="11" t="str">
        <f>CONCATENATE("          ", "5081", " - ", "PURCHASES @ COST-ELECTRONICS")</f>
        <v xml:space="preserve">          5081 - PURCHASES @ COST-ELECTRONICS</v>
      </c>
      <c r="C124" s="11"/>
      <c r="D124" s="2">
        <v>304.16000000000003</v>
      </c>
      <c r="E124" s="2"/>
      <c r="F124" s="21">
        <f t="shared" si="6"/>
        <v>1.1252658517341115E-4</v>
      </c>
      <c r="G124" s="2"/>
      <c r="H124" s="2">
        <v>156.52000000000001</v>
      </c>
      <c r="I124" s="2"/>
      <c r="J124" s="21">
        <f t="shared" si="7"/>
        <v>5.1629929700038563E-5</v>
      </c>
      <c r="K124" s="2"/>
      <c r="L124" s="2">
        <f t="shared" si="8"/>
        <v>147.64000000000001</v>
      </c>
      <c r="M124" s="2"/>
      <c r="N124" s="21">
        <f t="shared" si="9"/>
        <v>0.94326603628929218</v>
      </c>
      <c r="O124" s="11"/>
      <c r="P124" s="2">
        <v>304.16000000000003</v>
      </c>
      <c r="Q124" s="2"/>
      <c r="R124" s="21">
        <f t="shared" si="10"/>
        <v>9.9563197567803543E-5</v>
      </c>
      <c r="S124" s="2"/>
      <c r="T124" s="2">
        <v>156.52000000000001</v>
      </c>
      <c r="U124" s="2"/>
      <c r="V124" s="21">
        <f t="shared" si="11"/>
        <v>4.5855441120305486E-5</v>
      </c>
      <c r="W124" s="2"/>
      <c r="X124" s="2">
        <f t="shared" si="12"/>
        <v>147.64000000000001</v>
      </c>
      <c r="Y124" s="2"/>
      <c r="Z124" s="21">
        <f t="shared" si="13"/>
        <v>0.94326603628929218</v>
      </c>
    </row>
    <row r="125" spans="1:26" s="24" customFormat="1" hidden="1" outlineLevel="1" x14ac:dyDescent="0.25">
      <c r="A125" s="50"/>
      <c r="B125" s="11" t="str">
        <f>CONCATENATE("          ", "5082", " - ", "PURCHASES @ COST-COMPUTER HARD")</f>
        <v xml:space="preserve">          5082 - PURCHASES @ COST-COMPUTER HARD</v>
      </c>
      <c r="C125" s="11"/>
      <c r="D125" s="2">
        <v>130.6</v>
      </c>
      <c r="E125" s="2"/>
      <c r="F125" s="21">
        <f t="shared" si="6"/>
        <v>4.8316583454916803E-5</v>
      </c>
      <c r="G125" s="2"/>
      <c r="H125" s="2">
        <v>58</v>
      </c>
      <c r="I125" s="2"/>
      <c r="J125" s="21">
        <f t="shared" si="7"/>
        <v>1.9131969860734963E-5</v>
      </c>
      <c r="K125" s="2"/>
      <c r="L125" s="2">
        <f t="shared" si="8"/>
        <v>72.599999999999994</v>
      </c>
      <c r="M125" s="2"/>
      <c r="N125" s="21">
        <f t="shared" si="9"/>
        <v>1.2517241379310344</v>
      </c>
      <c r="O125" s="11"/>
      <c r="P125" s="2">
        <v>130.6</v>
      </c>
      <c r="Q125" s="2"/>
      <c r="R125" s="21">
        <f t="shared" si="10"/>
        <v>4.2750373495381184E-5</v>
      </c>
      <c r="S125" s="2"/>
      <c r="T125" s="2">
        <v>58</v>
      </c>
      <c r="U125" s="2"/>
      <c r="V125" s="21">
        <f t="shared" si="11"/>
        <v>1.6992177261549439E-5</v>
      </c>
      <c r="W125" s="2"/>
      <c r="X125" s="2">
        <f t="shared" si="12"/>
        <v>72.599999999999994</v>
      </c>
      <c r="Y125" s="2"/>
      <c r="Z125" s="21">
        <f t="shared" si="13"/>
        <v>1.2517241379310344</v>
      </c>
    </row>
    <row r="126" spans="1:26" s="24" customFormat="1" hidden="1" outlineLevel="1" x14ac:dyDescent="0.25">
      <c r="A126" s="50"/>
      <c r="B126" s="11" t="str">
        <f>CONCATENATE("          ", "5083", " - ", "PURCHASES @ COST-COMPUTER EQUI")</f>
        <v xml:space="preserve">          5083 - PURCHASES @ COST-COMPUTER EQUI</v>
      </c>
      <c r="C126" s="11"/>
      <c r="D126" s="2">
        <v>81.45</v>
      </c>
      <c r="E126" s="2"/>
      <c r="F126" s="21">
        <f t="shared" si="6"/>
        <v>3.0133121917327519E-5</v>
      </c>
      <c r="G126" s="2"/>
      <c r="H126" s="2">
        <v>86.05</v>
      </c>
      <c r="I126" s="2"/>
      <c r="J126" s="21">
        <f t="shared" si="7"/>
        <v>2.838458631924558E-5</v>
      </c>
      <c r="K126" s="2"/>
      <c r="L126" s="2">
        <f t="shared" si="8"/>
        <v>-4.5999999999999943</v>
      </c>
      <c r="M126" s="2"/>
      <c r="N126" s="21">
        <f t="shared" si="9"/>
        <v>-5.345729227193486E-2</v>
      </c>
      <c r="O126" s="11"/>
      <c r="P126" s="2">
        <v>81.45</v>
      </c>
      <c r="Q126" s="2"/>
      <c r="R126" s="21">
        <f t="shared" si="10"/>
        <v>2.6661699243482372E-5</v>
      </c>
      <c r="S126" s="2"/>
      <c r="T126" s="2">
        <v>86.05</v>
      </c>
      <c r="U126" s="2"/>
      <c r="V126" s="21">
        <f t="shared" si="11"/>
        <v>2.5209945747522914E-5</v>
      </c>
      <c r="W126" s="2"/>
      <c r="X126" s="2">
        <f t="shared" si="12"/>
        <v>-4.5999999999999943</v>
      </c>
      <c r="Y126" s="2"/>
      <c r="Z126" s="21">
        <f t="shared" si="13"/>
        <v>-5.345729227193486E-2</v>
      </c>
    </row>
    <row r="127" spans="1:26" s="24" customFormat="1" hidden="1" outlineLevel="1" x14ac:dyDescent="0.25">
      <c r="A127" s="50"/>
      <c r="B127" s="11" t="str">
        <f>CONCATENATE("          ", "5086", " - ", "PURCHASES @ COST-COMPUTER SUPP")</f>
        <v xml:space="preserve">          5086 - PURCHASES @ COST-COMPUTER SUPP</v>
      </c>
      <c r="C127" s="11"/>
      <c r="D127" s="2">
        <v>58</v>
      </c>
      <c r="E127" s="2"/>
      <c r="F127" s="21">
        <f t="shared" si="6"/>
        <v>2.1457594489932425E-5</v>
      </c>
      <c r="G127" s="2"/>
      <c r="H127" s="2">
        <v>92.47</v>
      </c>
      <c r="I127" s="2"/>
      <c r="J127" s="21">
        <f t="shared" si="7"/>
        <v>3.0502297465899345E-5</v>
      </c>
      <c r="K127" s="2"/>
      <c r="L127" s="2">
        <f t="shared" si="8"/>
        <v>-34.47</v>
      </c>
      <c r="M127" s="2"/>
      <c r="N127" s="21">
        <f t="shared" si="9"/>
        <v>-0.37276954688006919</v>
      </c>
      <c r="O127" s="11"/>
      <c r="P127" s="2">
        <v>58</v>
      </c>
      <c r="Q127" s="2"/>
      <c r="R127" s="21">
        <f t="shared" si="10"/>
        <v>1.8985617631945701E-5</v>
      </c>
      <c r="S127" s="2"/>
      <c r="T127" s="2">
        <v>92.47</v>
      </c>
      <c r="U127" s="2"/>
      <c r="V127" s="21">
        <f t="shared" si="11"/>
        <v>2.7090803989232354E-5</v>
      </c>
      <c r="W127" s="2"/>
      <c r="X127" s="2">
        <f t="shared" si="12"/>
        <v>-34.47</v>
      </c>
      <c r="Y127" s="2"/>
      <c r="Z127" s="21">
        <f t="shared" si="13"/>
        <v>-0.37276954688006919</v>
      </c>
    </row>
    <row r="128" spans="1:26" s="24" customFormat="1" hidden="1" outlineLevel="1" x14ac:dyDescent="0.25">
      <c r="A128" s="50"/>
      <c r="B128" s="11" t="str">
        <f>CONCATENATE("          ", "5092", " - ", "PURCHASES @ COST-GRAD MERCH")</f>
        <v xml:space="preserve">          5092 - PURCHASES @ COST-GRAD MERCH</v>
      </c>
      <c r="C128" s="11"/>
      <c r="D128" s="2">
        <v>-600.6</v>
      </c>
      <c r="E128" s="2"/>
      <c r="F128" s="21">
        <f t="shared" si="6"/>
        <v>-2.2219709052850715E-4</v>
      </c>
      <c r="G128" s="2"/>
      <c r="H128" s="2">
        <v>-1509.65</v>
      </c>
      <c r="I128" s="2"/>
      <c r="J128" s="21">
        <f t="shared" si="7"/>
        <v>-4.9797548793549203E-4</v>
      </c>
      <c r="K128" s="2"/>
      <c r="L128" s="2">
        <f t="shared" si="8"/>
        <v>909.05000000000007</v>
      </c>
      <c r="M128" s="2"/>
      <c r="N128" s="21">
        <f t="shared" si="9"/>
        <v>-0.60215944093001694</v>
      </c>
      <c r="O128" s="11"/>
      <c r="P128" s="2">
        <v>628</v>
      </c>
      <c r="Q128" s="2"/>
      <c r="R128" s="21">
        <f t="shared" si="10"/>
        <v>2.0556841160106727E-4</v>
      </c>
      <c r="S128" s="2"/>
      <c r="T128" s="2">
        <v>-2745.04</v>
      </c>
      <c r="U128" s="2"/>
      <c r="V128" s="21">
        <f t="shared" si="11"/>
        <v>-8.0421045293178743E-4</v>
      </c>
      <c r="W128" s="2"/>
      <c r="X128" s="2">
        <f t="shared" si="12"/>
        <v>3373.04</v>
      </c>
      <c r="Y128" s="2"/>
      <c r="Z128" s="21">
        <f t="shared" si="13"/>
        <v>-1.2287762655553289</v>
      </c>
    </row>
    <row r="129" spans="1:26" s="24" customFormat="1" hidden="1" outlineLevel="1" x14ac:dyDescent="0.25">
      <c r="A129" s="50"/>
      <c r="B129" s="11" t="str">
        <f>CONCATENATE("          ", "5095", " - ", "PURCHASES @ COST-CUSTOMER SERV")</f>
        <v xml:space="preserve">          5095 - PURCHASES @ COST-CUSTOMER SERV</v>
      </c>
      <c r="C129" s="11"/>
      <c r="D129" s="2"/>
      <c r="E129" s="2"/>
      <c r="F129" s="21">
        <f t="shared" si="6"/>
        <v>0</v>
      </c>
      <c r="G129" s="2"/>
      <c r="H129" s="2"/>
      <c r="I129" s="2"/>
      <c r="J129" s="21">
        <f t="shared" si="7"/>
        <v>0</v>
      </c>
      <c r="K129" s="2"/>
      <c r="L129" s="2">
        <f t="shared" si="8"/>
        <v>0</v>
      </c>
      <c r="M129" s="2"/>
      <c r="N129" s="21">
        <f t="shared" si="9"/>
        <v>0</v>
      </c>
      <c r="O129" s="11"/>
      <c r="P129" s="2">
        <v>0</v>
      </c>
      <c r="Q129" s="2"/>
      <c r="R129" s="21">
        <f t="shared" si="10"/>
        <v>0</v>
      </c>
      <c r="S129" s="2"/>
      <c r="T129" s="2"/>
      <c r="U129" s="2"/>
      <c r="V129" s="21">
        <f t="shared" si="11"/>
        <v>0</v>
      </c>
      <c r="W129" s="2"/>
      <c r="X129" s="2">
        <f t="shared" si="12"/>
        <v>0</v>
      </c>
      <c r="Y129" s="2"/>
      <c r="Z129" s="21">
        <f t="shared" si="13"/>
        <v>0</v>
      </c>
    </row>
    <row r="130" spans="1:26" s="24" customFormat="1" hidden="1" outlineLevel="1" x14ac:dyDescent="0.25">
      <c r="A130" s="50"/>
      <c r="B130" s="11" t="str">
        <f>CONCATENATE("          ", "5200", " - ", "PURCHASES OFFSET")</f>
        <v xml:space="preserve">          5200 - PURCHASES OFFSET</v>
      </c>
      <c r="C130" s="11"/>
      <c r="D130" s="2">
        <v>-1527442</v>
      </c>
      <c r="E130" s="2"/>
      <c r="F130" s="21">
        <f t="shared" si="6"/>
        <v>-0.56509019039467867</v>
      </c>
      <c r="G130" s="2"/>
      <c r="H130" s="2">
        <v>-1093106</v>
      </c>
      <c r="I130" s="2"/>
      <c r="J130" s="21">
        <f t="shared" si="7"/>
        <v>-0.36057363873428538</v>
      </c>
      <c r="K130" s="2"/>
      <c r="L130" s="2">
        <f t="shared" si="8"/>
        <v>-434336</v>
      </c>
      <c r="M130" s="2"/>
      <c r="N130" s="21">
        <f t="shared" si="9"/>
        <v>0.39734115447175294</v>
      </c>
      <c r="O130" s="11"/>
      <c r="P130" s="2">
        <v>-2356311</v>
      </c>
      <c r="Q130" s="2"/>
      <c r="R130" s="21">
        <f t="shared" si="10"/>
        <v>-0.77131068393013125</v>
      </c>
      <c r="S130" s="2"/>
      <c r="T130" s="2">
        <v>-1895524.0000000002</v>
      </c>
      <c r="U130" s="2"/>
      <c r="V130" s="21">
        <f t="shared" si="11"/>
        <v>-0.55532896226760764</v>
      </c>
      <c r="W130" s="2"/>
      <c r="X130" s="2">
        <f t="shared" si="12"/>
        <v>-460786.99999999977</v>
      </c>
      <c r="Y130" s="2"/>
      <c r="Z130" s="21">
        <f t="shared" si="13"/>
        <v>0.24309214760667747</v>
      </c>
    </row>
    <row r="131" spans="1:26" s="24" customFormat="1" hidden="1" outlineLevel="1" x14ac:dyDescent="0.25">
      <c r="A131" s="50"/>
      <c r="B131" s="11" t="str">
        <f>CONCATENATE("          ", "5300", " - ", "COG$ OFFSET")</f>
        <v xml:space="preserve">          5300 - COG$ OFFSET</v>
      </c>
      <c r="C131" s="11"/>
      <c r="D131" s="2">
        <v>1248264</v>
      </c>
      <c r="E131" s="2"/>
      <c r="F131" s="21">
        <f t="shared" si="6"/>
        <v>0.4618059091100174</v>
      </c>
      <c r="G131" s="2"/>
      <c r="H131" s="2">
        <v>1436060</v>
      </c>
      <c r="I131" s="2"/>
      <c r="J131" s="21">
        <f t="shared" si="7"/>
        <v>0.47370097652081128</v>
      </c>
      <c r="K131" s="2"/>
      <c r="L131" s="2">
        <f t="shared" si="8"/>
        <v>-187796</v>
      </c>
      <c r="M131" s="2"/>
      <c r="N131" s="21">
        <f t="shared" si="9"/>
        <v>-0.1307716947759843</v>
      </c>
      <c r="O131" s="11"/>
      <c r="P131" s="2">
        <v>1429434</v>
      </c>
      <c r="Q131" s="2"/>
      <c r="R131" s="21">
        <f t="shared" si="10"/>
        <v>0.46790840265694267</v>
      </c>
      <c r="S131" s="2"/>
      <c r="T131" s="2">
        <v>1627825</v>
      </c>
      <c r="U131" s="2"/>
      <c r="V131" s="21">
        <f t="shared" si="11"/>
        <v>0.47690156811692608</v>
      </c>
      <c r="W131" s="2"/>
      <c r="X131" s="2">
        <f t="shared" si="12"/>
        <v>-198391</v>
      </c>
      <c r="Y131" s="2"/>
      <c r="Z131" s="21">
        <f t="shared" si="13"/>
        <v>-0.12187489441432586</v>
      </c>
    </row>
    <row r="132" spans="1:26" s="24" customFormat="1" hidden="1" outlineLevel="1" x14ac:dyDescent="0.25">
      <c r="A132" s="50"/>
      <c r="B132" s="11" t="str">
        <f>CONCATENATE("          ", "5500", " - ", "FREIGHT-IN")</f>
        <v xml:space="preserve">          5500 - FREIGHT-IN</v>
      </c>
      <c r="C132" s="11"/>
      <c r="D132" s="2"/>
      <c r="E132" s="2"/>
      <c r="F132" s="21">
        <f t="shared" si="6"/>
        <v>0</v>
      </c>
      <c r="G132" s="2"/>
      <c r="H132" s="2">
        <v>213.97</v>
      </c>
      <c r="I132" s="2"/>
      <c r="J132" s="21">
        <f t="shared" si="7"/>
        <v>7.0580475708645861E-5</v>
      </c>
      <c r="K132" s="2"/>
      <c r="L132" s="2">
        <f t="shared" si="8"/>
        <v>-213.97</v>
      </c>
      <c r="M132" s="2"/>
      <c r="N132" s="21">
        <f t="shared" si="9"/>
        <v>-1</v>
      </c>
      <c r="O132" s="11"/>
      <c r="P132" s="2">
        <v>49</v>
      </c>
      <c r="Q132" s="2"/>
      <c r="R132" s="21">
        <f t="shared" si="10"/>
        <v>1.6039573516643783E-5</v>
      </c>
      <c r="S132" s="2"/>
      <c r="T132" s="2">
        <v>213.97</v>
      </c>
      <c r="U132" s="2"/>
      <c r="V132" s="21">
        <f t="shared" si="11"/>
        <v>6.2686485666443669E-5</v>
      </c>
      <c r="W132" s="2"/>
      <c r="X132" s="2">
        <f t="shared" si="12"/>
        <v>-164.97</v>
      </c>
      <c r="Y132" s="2"/>
      <c r="Z132" s="21">
        <f t="shared" si="13"/>
        <v>-0.77099593400944055</v>
      </c>
    </row>
    <row r="133" spans="1:26" s="24" customFormat="1" hidden="1" outlineLevel="1" x14ac:dyDescent="0.25">
      <c r="A133" s="50"/>
      <c r="B133" s="11" t="str">
        <f>CONCATENATE("          ", "5501", " - ", "FREIGHT-IN-NEW TEXT")</f>
        <v xml:space="preserve">          5501 - FREIGHT-IN-NEW TEXT</v>
      </c>
      <c r="C133" s="11"/>
      <c r="D133" s="2">
        <v>11008.16</v>
      </c>
      <c r="E133" s="2"/>
      <c r="F133" s="21">
        <f t="shared" si="6"/>
        <v>4.072562644143009E-3</v>
      </c>
      <c r="G133" s="2"/>
      <c r="H133" s="2">
        <v>6840.15</v>
      </c>
      <c r="I133" s="2"/>
      <c r="J133" s="21">
        <f t="shared" si="7"/>
        <v>2.2563024766018322E-3</v>
      </c>
      <c r="K133" s="2"/>
      <c r="L133" s="2">
        <f t="shared" si="8"/>
        <v>4168.01</v>
      </c>
      <c r="M133" s="2"/>
      <c r="N133" s="21">
        <f t="shared" si="9"/>
        <v>0.60934482430940851</v>
      </c>
      <c r="O133" s="11"/>
      <c r="P133" s="2">
        <v>12724.24</v>
      </c>
      <c r="Q133" s="2"/>
      <c r="R133" s="21">
        <f t="shared" si="10"/>
        <v>4.1651302637432551E-3</v>
      </c>
      <c r="S133" s="2"/>
      <c r="T133" s="2">
        <v>8999.08</v>
      </c>
      <c r="U133" s="2"/>
      <c r="V133" s="21">
        <f t="shared" si="11"/>
        <v>2.6364476301873156E-3</v>
      </c>
      <c r="W133" s="2"/>
      <c r="X133" s="2">
        <f t="shared" si="12"/>
        <v>3725.16</v>
      </c>
      <c r="Y133" s="2"/>
      <c r="Z133" s="21">
        <f t="shared" si="13"/>
        <v>0.41394898145143727</v>
      </c>
    </row>
    <row r="134" spans="1:26" s="24" customFormat="1" hidden="1" outlineLevel="1" x14ac:dyDescent="0.25">
      <c r="A134" s="50"/>
      <c r="B134" s="11" t="str">
        <f>CONCATENATE("          ", "5502", " - ", "FREIGHT-IN-USED TEXT")</f>
        <v xml:space="preserve">          5502 - FREIGHT-IN-USED TEXT</v>
      </c>
      <c r="C134" s="11"/>
      <c r="D134" s="2">
        <v>3985.02</v>
      </c>
      <c r="E134" s="2"/>
      <c r="F134" s="21">
        <f t="shared" si="6"/>
        <v>1.4742921240391467E-3</v>
      </c>
      <c r="G134" s="2"/>
      <c r="H134" s="2">
        <v>1508.23</v>
      </c>
      <c r="I134" s="2"/>
      <c r="J134" s="21">
        <f t="shared" si="7"/>
        <v>4.975070845354534E-4</v>
      </c>
      <c r="K134" s="2"/>
      <c r="L134" s="2">
        <f t="shared" si="8"/>
        <v>2476.79</v>
      </c>
      <c r="M134" s="2"/>
      <c r="N134" s="21">
        <f t="shared" si="9"/>
        <v>1.6421832213919627</v>
      </c>
      <c r="O134" s="11"/>
      <c r="P134" s="2">
        <v>4262.51</v>
      </c>
      <c r="Q134" s="2"/>
      <c r="R134" s="21">
        <f t="shared" si="10"/>
        <v>1.3952825002128428E-3</v>
      </c>
      <c r="S134" s="2"/>
      <c r="T134" s="2">
        <v>1794.84</v>
      </c>
      <c r="U134" s="2"/>
      <c r="V134" s="21">
        <f t="shared" si="11"/>
        <v>5.2583171441585161E-4</v>
      </c>
      <c r="W134" s="2"/>
      <c r="X134" s="2">
        <f t="shared" si="12"/>
        <v>2467.67</v>
      </c>
      <c r="Y134" s="2"/>
      <c r="Z134" s="21">
        <f t="shared" si="13"/>
        <v>1.3748690691092242</v>
      </c>
    </row>
    <row r="135" spans="1:26" s="24" customFormat="1" hidden="1" outlineLevel="1" x14ac:dyDescent="0.25">
      <c r="A135" s="50"/>
      <c r="B135" s="11" t="str">
        <f>CONCATENATE("          ", "5504", " - ", "FREIGHT-IN-DIGITAL TEXT")</f>
        <v xml:space="preserve">          5504 - FREIGHT-IN-DIGITAL TEXT</v>
      </c>
      <c r="C135" s="11"/>
      <c r="D135" s="2">
        <v>7.03</v>
      </c>
      <c r="E135" s="2"/>
      <c r="F135" s="21">
        <f t="shared" si="6"/>
        <v>2.6008084355900854E-6</v>
      </c>
      <c r="G135" s="2"/>
      <c r="H135" s="2">
        <v>2.5</v>
      </c>
      <c r="I135" s="2"/>
      <c r="J135" s="21">
        <f t="shared" si="7"/>
        <v>8.2465387330754155E-7</v>
      </c>
      <c r="K135" s="2"/>
      <c r="L135" s="2">
        <f t="shared" si="8"/>
        <v>4.53</v>
      </c>
      <c r="M135" s="2"/>
      <c r="N135" s="21">
        <f t="shared" si="9"/>
        <v>1.8120000000000001</v>
      </c>
      <c r="O135" s="11"/>
      <c r="P135" s="2">
        <v>7.03</v>
      </c>
      <c r="Q135" s="2"/>
      <c r="R135" s="21">
        <f t="shared" si="10"/>
        <v>2.3011877922858328E-6</v>
      </c>
      <c r="S135" s="2"/>
      <c r="T135" s="2">
        <v>2.5</v>
      </c>
      <c r="U135" s="2"/>
      <c r="V135" s="21">
        <f t="shared" si="11"/>
        <v>7.3242143368747576E-7</v>
      </c>
      <c r="W135" s="2"/>
      <c r="X135" s="2">
        <f t="shared" si="12"/>
        <v>4.53</v>
      </c>
      <c r="Y135" s="2"/>
      <c r="Z135" s="21">
        <f t="shared" si="13"/>
        <v>1.8120000000000001</v>
      </c>
    </row>
    <row r="136" spans="1:26" s="24" customFormat="1" hidden="1" outlineLevel="1" x14ac:dyDescent="0.25">
      <c r="A136" s="50"/>
      <c r="B136" s="11" t="str">
        <f>CONCATENATE("          ", "5513", " - ", "FREIGHT-IN-TRADE BOOKS")</f>
        <v xml:space="preserve">          5513 - FREIGHT-IN-TRADE BOOKS</v>
      </c>
      <c r="C136" s="11"/>
      <c r="D136" s="2"/>
      <c r="E136" s="2"/>
      <c r="F136" s="21">
        <f t="shared" si="6"/>
        <v>0</v>
      </c>
      <c r="G136" s="2"/>
      <c r="H136" s="2"/>
      <c r="I136" s="2"/>
      <c r="J136" s="21">
        <f t="shared" si="7"/>
        <v>0</v>
      </c>
      <c r="K136" s="2"/>
      <c r="L136" s="2">
        <f t="shared" si="8"/>
        <v>0</v>
      </c>
      <c r="M136" s="2"/>
      <c r="N136" s="21">
        <f t="shared" si="9"/>
        <v>0</v>
      </c>
      <c r="O136" s="11"/>
      <c r="P136" s="2"/>
      <c r="Q136" s="2"/>
      <c r="R136" s="21">
        <f t="shared" si="10"/>
        <v>0</v>
      </c>
      <c r="S136" s="2"/>
      <c r="T136" s="2">
        <v>7.27</v>
      </c>
      <c r="U136" s="2"/>
      <c r="V136" s="21">
        <f t="shared" si="11"/>
        <v>2.1298815291631796E-6</v>
      </c>
      <c r="W136" s="2"/>
      <c r="X136" s="2">
        <f t="shared" si="12"/>
        <v>-7.27</v>
      </c>
      <c r="Y136" s="2"/>
      <c r="Z136" s="21">
        <f t="shared" si="13"/>
        <v>-1</v>
      </c>
    </row>
    <row r="137" spans="1:26" s="24" customFormat="1" hidden="1" outlineLevel="1" x14ac:dyDescent="0.25">
      <c r="A137" s="50"/>
      <c r="B137" s="11" t="str">
        <f>CONCATENATE("          ", "5526", " - ", "FREIGHT-IN-WRITING INSTRUMENTS")</f>
        <v xml:space="preserve">          5526 - FREIGHT-IN-WRITING INSTRUMENTS</v>
      </c>
      <c r="C137" s="11"/>
      <c r="D137" s="2">
        <v>17.46</v>
      </c>
      <c r="E137" s="2"/>
      <c r="F137" s="21">
        <f t="shared" si="6"/>
        <v>6.4594758585210371E-6</v>
      </c>
      <c r="G137" s="2"/>
      <c r="H137" s="2">
        <v>8.58</v>
      </c>
      <c r="I137" s="2"/>
      <c r="J137" s="21">
        <f t="shared" si="7"/>
        <v>2.8302120931914825E-6</v>
      </c>
      <c r="K137" s="2"/>
      <c r="L137" s="2">
        <f t="shared" si="8"/>
        <v>8.8800000000000008</v>
      </c>
      <c r="M137" s="2"/>
      <c r="N137" s="21">
        <f t="shared" si="9"/>
        <v>1.034965034965035</v>
      </c>
      <c r="O137" s="11"/>
      <c r="P137" s="2">
        <v>56.57</v>
      </c>
      <c r="Q137" s="2"/>
      <c r="R137" s="21">
        <f t="shared" si="10"/>
        <v>1.8517523955847733E-5</v>
      </c>
      <c r="S137" s="2"/>
      <c r="T137" s="2">
        <v>42.74</v>
      </c>
      <c r="U137" s="2"/>
      <c r="V137" s="21">
        <f t="shared" si="11"/>
        <v>1.2521476830321087E-5</v>
      </c>
      <c r="W137" s="2"/>
      <c r="X137" s="2">
        <f t="shared" si="12"/>
        <v>13.829999999999998</v>
      </c>
      <c r="Y137" s="2"/>
      <c r="Z137" s="21">
        <f t="shared" si="13"/>
        <v>0.32358446420215248</v>
      </c>
    </row>
    <row r="138" spans="1:26" s="24" customFormat="1" hidden="1" outlineLevel="1" x14ac:dyDescent="0.25">
      <c r="A138" s="50"/>
      <c r="B138" s="11" t="str">
        <f>CONCATENATE("          ", "5527", " - ", "FREIGHT-IN-SCHOOL SUPPLIES")</f>
        <v xml:space="preserve">          5527 - FREIGHT-IN-SCHOOL SUPPLIES</v>
      </c>
      <c r="C138" s="11"/>
      <c r="D138" s="2">
        <v>10.49</v>
      </c>
      <c r="E138" s="2"/>
      <c r="F138" s="21">
        <f t="shared" si="6"/>
        <v>3.8808649344722611E-6</v>
      </c>
      <c r="G138" s="2"/>
      <c r="H138" s="2"/>
      <c r="I138" s="2"/>
      <c r="J138" s="21">
        <f t="shared" si="7"/>
        <v>0</v>
      </c>
      <c r="K138" s="2"/>
      <c r="L138" s="2">
        <f t="shared" si="8"/>
        <v>10.49</v>
      </c>
      <c r="M138" s="2"/>
      <c r="N138" s="21">
        <f t="shared" si="9"/>
        <v>0</v>
      </c>
      <c r="O138" s="11"/>
      <c r="P138" s="2">
        <v>260.51</v>
      </c>
      <c r="Q138" s="2"/>
      <c r="R138" s="21">
        <f t="shared" si="10"/>
        <v>8.5274883608589221E-5</v>
      </c>
      <c r="S138" s="2"/>
      <c r="T138" s="2">
        <v>280.67</v>
      </c>
      <c r="U138" s="2"/>
      <c r="V138" s="21">
        <f t="shared" si="11"/>
        <v>8.2227489517225539E-5</v>
      </c>
      <c r="W138" s="2"/>
      <c r="X138" s="2">
        <f t="shared" si="12"/>
        <v>-20.160000000000025</v>
      </c>
      <c r="Y138" s="2"/>
      <c r="Z138" s="21">
        <f t="shared" si="13"/>
        <v>-7.182812555670369E-2</v>
      </c>
    </row>
    <row r="139" spans="1:26" s="24" customFormat="1" hidden="1" outlineLevel="1" x14ac:dyDescent="0.25">
      <c r="A139" s="50"/>
      <c r="B139" s="11" t="str">
        <f>CONCATENATE("          ", "5528", " - ", "FREIGHT-IN-ART/TECH")</f>
        <v xml:space="preserve">          5528 - FREIGHT-IN-ART/TECH</v>
      </c>
      <c r="C139" s="11"/>
      <c r="D139" s="2">
        <v>255.45</v>
      </c>
      <c r="E139" s="2"/>
      <c r="F139" s="21">
        <f t="shared" si="6"/>
        <v>9.4505905387124787E-5</v>
      </c>
      <c r="G139" s="2"/>
      <c r="H139" s="2">
        <v>81.37</v>
      </c>
      <c r="I139" s="2"/>
      <c r="J139" s="21">
        <f t="shared" si="7"/>
        <v>2.6840834268413864E-5</v>
      </c>
      <c r="K139" s="2"/>
      <c r="L139" s="2">
        <f t="shared" si="8"/>
        <v>174.07999999999998</v>
      </c>
      <c r="M139" s="2"/>
      <c r="N139" s="21">
        <f t="shared" si="9"/>
        <v>2.1393634017451144</v>
      </c>
      <c r="O139" s="11"/>
      <c r="P139" s="2">
        <v>299.8</v>
      </c>
      <c r="Q139" s="2"/>
      <c r="R139" s="21">
        <f t="shared" si="10"/>
        <v>9.8136002863057282E-5</v>
      </c>
      <c r="S139" s="2"/>
      <c r="T139" s="2">
        <v>227.26</v>
      </c>
      <c r="U139" s="2"/>
      <c r="V139" s="21">
        <f t="shared" si="11"/>
        <v>6.6580038007926291E-5</v>
      </c>
      <c r="W139" s="2"/>
      <c r="X139" s="2">
        <f t="shared" si="12"/>
        <v>72.54000000000002</v>
      </c>
      <c r="Y139" s="2"/>
      <c r="Z139" s="21">
        <f t="shared" si="13"/>
        <v>0.31919387485699208</v>
      </c>
    </row>
    <row r="140" spans="1:26" s="24" customFormat="1" hidden="1" outlineLevel="1" x14ac:dyDescent="0.25">
      <c r="A140" s="50"/>
      <c r="B140" s="11" t="str">
        <f>CONCATENATE("          ", "5540", " - ", "FREIGHT-IN-LOGO CLOTHING")</f>
        <v xml:space="preserve">          5540 - FREIGHT-IN-LOGO CLOTHING</v>
      </c>
      <c r="C140" s="11"/>
      <c r="D140" s="2">
        <v>1936.72</v>
      </c>
      <c r="E140" s="2"/>
      <c r="F140" s="21">
        <f t="shared" si="6"/>
        <v>7.1650607587141256E-4</v>
      </c>
      <c r="G140" s="2"/>
      <c r="H140" s="2">
        <v>1830.62</v>
      </c>
      <c r="I140" s="2"/>
      <c r="J140" s="21">
        <f t="shared" si="7"/>
        <v>6.0385114942170068E-4</v>
      </c>
      <c r="K140" s="2"/>
      <c r="L140" s="2">
        <f t="shared" si="8"/>
        <v>106.10000000000014</v>
      </c>
      <c r="M140" s="2"/>
      <c r="N140" s="21">
        <f t="shared" si="9"/>
        <v>5.7958505861402228E-2</v>
      </c>
      <c r="O140" s="11"/>
      <c r="P140" s="2">
        <v>2331.94</v>
      </c>
      <c r="Q140" s="2"/>
      <c r="R140" s="21">
        <f t="shared" si="10"/>
        <v>7.6333312380412867E-4</v>
      </c>
      <c r="S140" s="2"/>
      <c r="T140" s="2">
        <v>2920.15</v>
      </c>
      <c r="U140" s="2"/>
      <c r="V140" s="21">
        <f t="shared" si="11"/>
        <v>8.5551217983299301E-4</v>
      </c>
      <c r="W140" s="2"/>
      <c r="X140" s="2">
        <f t="shared" si="12"/>
        <v>-588.21</v>
      </c>
      <c r="Y140" s="2"/>
      <c r="Z140" s="21">
        <f t="shared" si="13"/>
        <v>-0.20143143331678168</v>
      </c>
    </row>
    <row r="141" spans="1:26" s="24" customFormat="1" hidden="1" outlineLevel="1" x14ac:dyDescent="0.25">
      <c r="A141" s="50"/>
      <c r="B141" s="11" t="str">
        <f>CONCATENATE("          ", "5541", " - ", "FREIGHT-IN-LOGO GIFTS")</f>
        <v xml:space="preserve">          5541 - FREIGHT-IN-LOGO GIFTS</v>
      </c>
      <c r="C141" s="11"/>
      <c r="D141" s="2">
        <v>405.92</v>
      </c>
      <c r="E141" s="2"/>
      <c r="F141" s="21">
        <f t="shared" si="6"/>
        <v>1.501735647474719E-4</v>
      </c>
      <c r="G141" s="2"/>
      <c r="H141" s="2">
        <v>456.13</v>
      </c>
      <c r="I141" s="2"/>
      <c r="J141" s="21">
        <f t="shared" si="7"/>
        <v>1.5045974849270757E-4</v>
      </c>
      <c r="K141" s="2"/>
      <c r="L141" s="2">
        <f t="shared" si="8"/>
        <v>-50.20999999999998</v>
      </c>
      <c r="M141" s="2"/>
      <c r="N141" s="21">
        <f t="shared" si="9"/>
        <v>-0.11007826716067784</v>
      </c>
      <c r="O141" s="11"/>
      <c r="P141" s="2">
        <v>720.41</v>
      </c>
      <c r="Q141" s="2"/>
      <c r="R141" s="21">
        <f t="shared" si="10"/>
        <v>2.3581773790051731E-4</v>
      </c>
      <c r="S141" s="2"/>
      <c r="T141" s="2">
        <v>1241.53</v>
      </c>
      <c r="U141" s="2"/>
      <c r="V141" s="21">
        <f t="shared" si="11"/>
        <v>3.6372927302640468E-4</v>
      </c>
      <c r="W141" s="2"/>
      <c r="X141" s="2">
        <f t="shared" si="12"/>
        <v>-521.12</v>
      </c>
      <c r="Y141" s="2"/>
      <c r="Z141" s="21">
        <f t="shared" si="13"/>
        <v>-0.41974015931954928</v>
      </c>
    </row>
    <row r="142" spans="1:26" s="24" customFormat="1" hidden="1" outlineLevel="1" x14ac:dyDescent="0.25">
      <c r="A142" s="50"/>
      <c r="B142" s="11" t="str">
        <f>CONCATENATE("          ", "5542", " - ", "FREIGHT-IN-EVERYDAY GIFTS")</f>
        <v xml:space="preserve">          5542 - FREIGHT-IN-EVERYDAY GIFTS</v>
      </c>
      <c r="C142" s="11"/>
      <c r="D142" s="2">
        <v>83.05</v>
      </c>
      <c r="E142" s="2"/>
      <c r="F142" s="21">
        <f t="shared" si="6"/>
        <v>3.0725055558429102E-5</v>
      </c>
      <c r="G142" s="2"/>
      <c r="H142" s="2">
        <v>422.79</v>
      </c>
      <c r="I142" s="2"/>
      <c r="J142" s="21">
        <f t="shared" si="7"/>
        <v>1.3946216443827821E-4</v>
      </c>
      <c r="K142" s="2"/>
      <c r="L142" s="2">
        <f t="shared" si="8"/>
        <v>-339.74</v>
      </c>
      <c r="M142" s="2"/>
      <c r="N142" s="21">
        <f t="shared" si="9"/>
        <v>-0.8035667825634476</v>
      </c>
      <c r="O142" s="11"/>
      <c r="P142" s="2">
        <v>112.77</v>
      </c>
      <c r="Q142" s="2"/>
      <c r="R142" s="21">
        <f t="shared" si="10"/>
        <v>3.6913932764733051E-5</v>
      </c>
      <c r="S142" s="2"/>
      <c r="T142" s="2">
        <v>422.79</v>
      </c>
      <c r="U142" s="2"/>
      <c r="V142" s="21">
        <f t="shared" si="11"/>
        <v>1.2386418317949117E-4</v>
      </c>
      <c r="W142" s="2"/>
      <c r="X142" s="2">
        <f t="shared" si="12"/>
        <v>-310.02000000000004</v>
      </c>
      <c r="Y142" s="2"/>
      <c r="Z142" s="21">
        <f t="shared" si="13"/>
        <v>-0.73327183708223942</v>
      </c>
    </row>
    <row r="143" spans="1:26" s="24" customFormat="1" hidden="1" outlineLevel="1" x14ac:dyDescent="0.25">
      <c r="A143" s="50"/>
      <c r="B143" s="11" t="str">
        <f>CONCATENATE("          ", "5543", " - ", "FREIGHT-IN-CARDS")</f>
        <v xml:space="preserve">          5543 - FREIGHT-IN-CARDS</v>
      </c>
      <c r="C143" s="11"/>
      <c r="D143" s="2">
        <v>4.58</v>
      </c>
      <c r="E143" s="2"/>
      <c r="F143" s="21">
        <f t="shared" si="6"/>
        <v>1.6944100476532845E-6</v>
      </c>
      <c r="G143" s="2"/>
      <c r="H143" s="2"/>
      <c r="I143" s="2"/>
      <c r="J143" s="21">
        <f t="shared" si="7"/>
        <v>0</v>
      </c>
      <c r="K143" s="2"/>
      <c r="L143" s="2">
        <f t="shared" si="8"/>
        <v>4.58</v>
      </c>
      <c r="M143" s="2"/>
      <c r="N143" s="21">
        <f t="shared" si="9"/>
        <v>0</v>
      </c>
      <c r="O143" s="11"/>
      <c r="P143" s="2">
        <v>4.58</v>
      </c>
      <c r="Q143" s="2"/>
      <c r="R143" s="21">
        <f t="shared" si="10"/>
        <v>1.4992091164536435E-6</v>
      </c>
      <c r="S143" s="2"/>
      <c r="T143" s="2"/>
      <c r="U143" s="2"/>
      <c r="V143" s="21">
        <f t="shared" si="11"/>
        <v>0</v>
      </c>
      <c r="W143" s="2"/>
      <c r="X143" s="2">
        <f t="shared" si="12"/>
        <v>4.58</v>
      </c>
      <c r="Y143" s="2"/>
      <c r="Z143" s="21">
        <f t="shared" si="13"/>
        <v>0</v>
      </c>
    </row>
    <row r="144" spans="1:26" s="24" customFormat="1" hidden="1" outlineLevel="1" x14ac:dyDescent="0.25">
      <c r="A144" s="50"/>
      <c r="B144" s="11" t="str">
        <f>CONCATENATE("          ", "5544", " - ", "FREIGHT-IN-ACCESSORIES")</f>
        <v xml:space="preserve">          5544 - FREIGHT-IN-ACCESSORIES</v>
      </c>
      <c r="C144" s="11"/>
      <c r="D144" s="2">
        <v>84.93</v>
      </c>
      <c r="E144" s="2"/>
      <c r="F144" s="21">
        <f t="shared" si="6"/>
        <v>3.1420577586723465E-5</v>
      </c>
      <c r="G144" s="2"/>
      <c r="H144" s="2">
        <v>123.59</v>
      </c>
      <c r="I144" s="2"/>
      <c r="J144" s="21">
        <f t="shared" si="7"/>
        <v>4.0767588880831628E-5</v>
      </c>
      <c r="K144" s="2"/>
      <c r="L144" s="2">
        <f t="shared" si="8"/>
        <v>-38.659999999999997</v>
      </c>
      <c r="M144" s="2"/>
      <c r="N144" s="21">
        <f t="shared" si="9"/>
        <v>-0.31280847965045711</v>
      </c>
      <c r="O144" s="11"/>
      <c r="P144" s="2">
        <v>101.66</v>
      </c>
      <c r="Q144" s="2"/>
      <c r="R144" s="21">
        <f t="shared" si="10"/>
        <v>3.3277204973510346E-5</v>
      </c>
      <c r="S144" s="2"/>
      <c r="T144" s="2">
        <v>152.85</v>
      </c>
      <c r="U144" s="2"/>
      <c r="V144" s="21">
        <f t="shared" si="11"/>
        <v>4.4780246455652268E-5</v>
      </c>
      <c r="W144" s="2"/>
      <c r="X144" s="2">
        <f t="shared" si="12"/>
        <v>-51.19</v>
      </c>
      <c r="Y144" s="2"/>
      <c r="Z144" s="21">
        <f t="shared" si="13"/>
        <v>-0.33490350016355902</v>
      </c>
    </row>
    <row r="145" spans="1:26" s="24" customFormat="1" hidden="1" outlineLevel="1" x14ac:dyDescent="0.25">
      <c r="A145" s="50"/>
      <c r="B145" s="11" t="str">
        <f>CONCATENATE("          ", "5545", " - ", "FREIGHT-IN-SPECIAL ORDERS")</f>
        <v xml:space="preserve">          5545 - FREIGHT-IN-SPECIAL ORDERS</v>
      </c>
      <c r="C145" s="11"/>
      <c r="D145" s="2">
        <v>8.8699999999999992</v>
      </c>
      <c r="E145" s="2"/>
      <c r="F145" s="21">
        <f t="shared" si="6"/>
        <v>3.2815321228569069E-6</v>
      </c>
      <c r="G145" s="2"/>
      <c r="H145" s="2">
        <v>849.93</v>
      </c>
      <c r="I145" s="2"/>
      <c r="J145" s="21">
        <f t="shared" si="7"/>
        <v>2.803592266161115E-4</v>
      </c>
      <c r="K145" s="2"/>
      <c r="L145" s="2">
        <f t="shared" si="8"/>
        <v>-841.06</v>
      </c>
      <c r="M145" s="2"/>
      <c r="N145" s="21">
        <f t="shared" si="9"/>
        <v>-0.9895638464344122</v>
      </c>
      <c r="O145" s="11"/>
      <c r="P145" s="2">
        <v>235.95</v>
      </c>
      <c r="Q145" s="2"/>
      <c r="R145" s="21">
        <f t="shared" si="10"/>
        <v>7.7235456556165312E-5</v>
      </c>
      <c r="S145" s="2"/>
      <c r="T145" s="2">
        <v>1155.04</v>
      </c>
      <c r="U145" s="2"/>
      <c r="V145" s="21">
        <f t="shared" si="11"/>
        <v>3.3839042110655278E-4</v>
      </c>
      <c r="W145" s="2"/>
      <c r="X145" s="2">
        <f t="shared" si="12"/>
        <v>-919.08999999999992</v>
      </c>
      <c r="Y145" s="2"/>
      <c r="Z145" s="21">
        <f t="shared" si="13"/>
        <v>-0.79572136029921037</v>
      </c>
    </row>
    <row r="146" spans="1:26" s="24" customFormat="1" hidden="1" outlineLevel="1" x14ac:dyDescent="0.25">
      <c r="A146" s="50"/>
      <c r="B146" s="11" t="str">
        <f>CONCATENATE("          ", "5592", " - ", "FREIGHT-IN-GRAD MERCH")</f>
        <v xml:space="preserve">          5592 - FREIGHT-IN-GRAD MERCH</v>
      </c>
      <c r="C146" s="11"/>
      <c r="D146" s="2">
        <v>59.57</v>
      </c>
      <c r="E146" s="2"/>
      <c r="F146" s="21">
        <f t="shared" si="6"/>
        <v>2.2038429375263353E-5</v>
      </c>
      <c r="G146" s="2"/>
      <c r="H146" s="2"/>
      <c r="I146" s="2"/>
      <c r="J146" s="21">
        <f t="shared" si="7"/>
        <v>0</v>
      </c>
      <c r="K146" s="2"/>
      <c r="L146" s="2">
        <f t="shared" si="8"/>
        <v>59.57</v>
      </c>
      <c r="M146" s="2"/>
      <c r="N146" s="21">
        <f t="shared" si="9"/>
        <v>0</v>
      </c>
      <c r="O146" s="11"/>
      <c r="P146" s="2">
        <v>59.57</v>
      </c>
      <c r="Q146" s="2"/>
      <c r="R146" s="21">
        <f t="shared" si="10"/>
        <v>1.949953866094837E-5</v>
      </c>
      <c r="S146" s="2"/>
      <c r="T146" s="2">
        <v>108.69</v>
      </c>
      <c r="U146" s="2"/>
      <c r="V146" s="21">
        <f t="shared" si="11"/>
        <v>3.1842754250996693E-5</v>
      </c>
      <c r="W146" s="2"/>
      <c r="X146" s="2">
        <f t="shared" si="12"/>
        <v>-49.12</v>
      </c>
      <c r="Y146" s="2"/>
      <c r="Z146" s="21">
        <f t="shared" si="13"/>
        <v>-0.45192750023001194</v>
      </c>
    </row>
    <row r="147" spans="1:26" x14ac:dyDescent="0.25">
      <c r="A147" s="9"/>
      <c r="B147" s="10"/>
      <c r="C147" s="10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O147" s="10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x14ac:dyDescent="0.25">
      <c r="A148" s="10"/>
      <c r="B148" s="26" t="s">
        <v>6</v>
      </c>
      <c r="C148" s="26"/>
      <c r="D148" s="20">
        <f>D12-D98</f>
        <v>932727.86000000034</v>
      </c>
      <c r="E148" s="13"/>
      <c r="F148" s="19">
        <f>IF(D$12=0,0,D148/D$12)</f>
        <v>0.34507062395418048</v>
      </c>
      <c r="G148" s="13"/>
      <c r="H148" s="20">
        <f>H12-H98</f>
        <v>996378.89999999921</v>
      </c>
      <c r="I148" s="13"/>
      <c r="J148" s="19">
        <f>IF(H$12=0,0,H148/H$12)</f>
        <v>0.32866708766676278</v>
      </c>
      <c r="K148" s="15"/>
      <c r="L148" s="20">
        <f>+D148-H148</f>
        <v>-63651.039999998873</v>
      </c>
      <c r="M148" s="15"/>
      <c r="N148" s="19">
        <f>IF(H148=0,0,L148/H148)</f>
        <v>-6.3882364429835803E-2</v>
      </c>
      <c r="O148" s="25"/>
      <c r="P148" s="20">
        <f>P12-P98</f>
        <v>1090743.8100000005</v>
      </c>
      <c r="Q148" s="13"/>
      <c r="R148" s="19">
        <f>IF(P$12=0,0,P148/P$12)</f>
        <v>0.35704215363916625</v>
      </c>
      <c r="S148" s="13"/>
      <c r="T148" s="20">
        <f>T12-T98</f>
        <v>1166443.6800000011</v>
      </c>
      <c r="U148" s="13"/>
      <c r="V148" s="19">
        <f>IF(T$12=0,0,T148/T$12)</f>
        <v>0.34173134096851843</v>
      </c>
      <c r="W148" s="15"/>
      <c r="X148" s="20">
        <f>+P148-T148</f>
        <v>-75699.870000000577</v>
      </c>
      <c r="Y148" s="15"/>
      <c r="Z148" s="19">
        <f>IF(T148=0,0,X148/T148)</f>
        <v>-6.4898006905914657E-2</v>
      </c>
    </row>
    <row r="149" spans="1:26" x14ac:dyDescent="0.25">
      <c r="A149" s="9"/>
      <c r="B149" s="10"/>
      <c r="C149" s="9"/>
      <c r="D149" s="1"/>
      <c r="E149" s="1"/>
      <c r="F149" s="5"/>
      <c r="G149" s="1"/>
      <c r="H149" s="1"/>
      <c r="I149" s="1"/>
      <c r="J149" s="5"/>
      <c r="K149" s="1"/>
      <c r="L149" s="1"/>
      <c r="M149" s="1"/>
      <c r="N149" s="5"/>
      <c r="O149" s="37"/>
      <c r="P149" s="1"/>
      <c r="Q149" s="1"/>
      <c r="R149" s="5"/>
      <c r="S149" s="1"/>
      <c r="T149" s="1"/>
      <c r="U149" s="1"/>
      <c r="V149" s="5"/>
      <c r="W149" s="1"/>
      <c r="X149" s="1"/>
      <c r="Y149" s="1"/>
      <c r="Z149" s="5"/>
    </row>
    <row r="150" spans="1:26" s="23" customFormat="1" x14ac:dyDescent="0.25">
      <c r="A150" s="10"/>
      <c r="B150" s="25" t="s">
        <v>9</v>
      </c>
      <c r="C150" s="10"/>
      <c r="D150" s="22">
        <f>SUM(OSRRefD22x_0)</f>
        <v>410344.45</v>
      </c>
      <c r="E150" s="22"/>
      <c r="F150" s="33">
        <f t="shared" ref="F150:F160" si="14">IF(D$12=0,0,D150/D$12)</f>
        <v>0.15181042774645434</v>
      </c>
      <c r="G150" s="22"/>
      <c r="H150" s="22">
        <f>SUM(OSRRefH22x_0)</f>
        <v>426494.78</v>
      </c>
      <c r="I150" s="22"/>
      <c r="J150" s="33">
        <f t="shared" ref="J150:J160" si="15">IF(H$12=0,0,H150/H$12)</f>
        <v>0.14068422890897914</v>
      </c>
      <c r="K150" s="4"/>
      <c r="L150" s="22">
        <f t="shared" ref="L150:L160" si="16">+D150-H150</f>
        <v>-16150.330000000016</v>
      </c>
      <c r="M150" s="4"/>
      <c r="N150" s="33">
        <f t="shared" ref="N150:N160" si="17">IF(H150=0,0,L150/H150)</f>
        <v>-3.7867591251644427E-2</v>
      </c>
      <c r="O150" s="10"/>
      <c r="P150" s="22">
        <f>SUM(OSRRefP22x_0)</f>
        <v>766109.74</v>
      </c>
      <c r="Q150" s="22"/>
      <c r="R150" s="33">
        <f t="shared" ref="R150:R160" si="18">IF(P$12=0,0,P150/P$12)</f>
        <v>0.25077701013360926</v>
      </c>
      <c r="S150" s="22"/>
      <c r="T150" s="22">
        <f>SUM(OSRRefT22x_0)</f>
        <v>840044.72999999986</v>
      </c>
      <c r="U150" s="22"/>
      <c r="V150" s="33">
        <f t="shared" ref="V150:V160" si="19">IF(T$12=0,0,T150/T$12)</f>
        <v>0.24610670620328334</v>
      </c>
      <c r="W150" s="4"/>
      <c r="X150" s="22">
        <f t="shared" ref="X150:X160" si="20">+P150-T150</f>
        <v>-73934.989999999874</v>
      </c>
      <c r="Y150" s="4"/>
      <c r="Z150" s="33">
        <f t="shared" ref="Z150:Z160" si="21">IF(T150=0,0,X150/T150)</f>
        <v>-8.8013158537402991E-2</v>
      </c>
    </row>
    <row r="151" spans="1:26" s="27" customFormat="1" outlineLevel="1" collapsed="1" x14ac:dyDescent="0.25">
      <c r="A151" s="28"/>
      <c r="B151" s="14" t="str">
        <f>CONCATENATE("     ","*Benefits                                         ")</f>
        <v xml:space="preserve">     *Benefits                                         </v>
      </c>
      <c r="C151" s="14"/>
      <c r="D151" s="1">
        <f>SUM(OSRRefD22_0x_0)</f>
        <v>52794.29</v>
      </c>
      <c r="E151" s="1"/>
      <c r="F151" s="5">
        <f t="shared" si="14"/>
        <v>1.9531697693170594E-2</v>
      </c>
      <c r="G151" s="1"/>
      <c r="H151" s="1">
        <f>SUM(OSRRefH22_0x_0)</f>
        <v>52901.04</v>
      </c>
      <c r="I151" s="1"/>
      <c r="J151" s="5">
        <f t="shared" si="15"/>
        <v>1.7450019015198874E-2</v>
      </c>
      <c r="K151" s="1"/>
      <c r="L151" s="1">
        <f t="shared" si="16"/>
        <v>-106.75</v>
      </c>
      <c r="M151" s="1"/>
      <c r="N151" s="5">
        <f t="shared" si="17"/>
        <v>-2.017918740349906E-3</v>
      </c>
      <c r="O151" s="14"/>
      <c r="P151" s="1">
        <f>SUM(OSRRefP22_0x_0)</f>
        <v>107945.64</v>
      </c>
      <c r="Q151" s="1"/>
      <c r="R151" s="5">
        <f t="shared" si="18"/>
        <v>3.5334735277166608E-2</v>
      </c>
      <c r="S151" s="1"/>
      <c r="T151" s="1">
        <f>SUM(OSRRefT22_0x_0)</f>
        <v>102493.42999999998</v>
      </c>
      <c r="U151" s="1"/>
      <c r="V151" s="5">
        <f t="shared" si="19"/>
        <v>3.002735397765877E-2</v>
      </c>
      <c r="W151" s="1"/>
      <c r="X151" s="1">
        <f t="shared" si="20"/>
        <v>5452.210000000021</v>
      </c>
      <c r="Y151" s="1"/>
      <c r="Z151" s="5">
        <f t="shared" si="21"/>
        <v>5.3195702397705123E-2</v>
      </c>
    </row>
    <row r="152" spans="1:26" s="24" customFormat="1" hidden="1" outlineLevel="2" x14ac:dyDescent="0.25">
      <c r="A152" s="29"/>
      <c r="B152" s="11" t="str">
        <f>CONCATENATE("          ", "6111", " - ", "F.I.C.A.")</f>
        <v xml:space="preserve">          6111 - F.I.C.A.</v>
      </c>
      <c r="C152" s="11"/>
      <c r="D152" s="7">
        <v>14163.46</v>
      </c>
      <c r="E152" s="2"/>
      <c r="F152" s="6">
        <f t="shared" si="14"/>
        <v>5.2398927802479013E-3</v>
      </c>
      <c r="G152" s="2"/>
      <c r="H152" s="7">
        <v>13593.24</v>
      </c>
      <c r="I152" s="2"/>
      <c r="J152" s="6">
        <f t="shared" si="15"/>
        <v>4.4838872067196021E-3</v>
      </c>
      <c r="K152" s="2"/>
      <c r="L152" s="7">
        <f t="shared" si="16"/>
        <v>570.21999999999935</v>
      </c>
      <c r="M152" s="2"/>
      <c r="N152" s="6">
        <f t="shared" si="17"/>
        <v>4.1948792193766855E-2</v>
      </c>
      <c r="O152" s="11"/>
      <c r="P152" s="7">
        <v>25000.1</v>
      </c>
      <c r="Q152" s="2"/>
      <c r="R152" s="6">
        <f t="shared" si="18"/>
        <v>8.1834886096621672E-3</v>
      </c>
      <c r="S152" s="2"/>
      <c r="T152" s="7">
        <v>24139.4</v>
      </c>
      <c r="U152" s="2"/>
      <c r="V152" s="6">
        <f t="shared" si="19"/>
        <v>7.0720855825421817E-3</v>
      </c>
      <c r="W152" s="2"/>
      <c r="X152" s="7">
        <f t="shared" si="20"/>
        <v>860.69999999999709</v>
      </c>
      <c r="Y152" s="2"/>
      <c r="Z152" s="6">
        <f t="shared" si="21"/>
        <v>3.5655401542705994E-2</v>
      </c>
    </row>
    <row r="153" spans="1:26" s="24" customFormat="1" hidden="1" outlineLevel="2" x14ac:dyDescent="0.25">
      <c r="A153" s="29"/>
      <c r="B153" s="11" t="str">
        <f>CONCATENATE("          ", "6112", " - ", "COMPENSATION INSURANCE")</f>
        <v xml:space="preserve">          6112 - COMPENSATION INSURANCE</v>
      </c>
      <c r="C153" s="11"/>
      <c r="D153" s="7">
        <v>2910.5</v>
      </c>
      <c r="E153" s="2"/>
      <c r="F153" s="6">
        <f t="shared" si="14"/>
        <v>1.0767642890163504E-3</v>
      </c>
      <c r="G153" s="2"/>
      <c r="H153" s="7">
        <v>1666.49</v>
      </c>
      <c r="I153" s="2"/>
      <c r="J153" s="6">
        <f t="shared" si="15"/>
        <v>5.4971097333131401E-4</v>
      </c>
      <c r="K153" s="2"/>
      <c r="L153" s="7">
        <f t="shared" si="16"/>
        <v>1244.01</v>
      </c>
      <c r="M153" s="2"/>
      <c r="N153" s="6">
        <f t="shared" si="17"/>
        <v>0.74648512742350692</v>
      </c>
      <c r="O153" s="11"/>
      <c r="P153" s="7">
        <v>4876.84</v>
      </c>
      <c r="Q153" s="2"/>
      <c r="R153" s="6">
        <f t="shared" si="18"/>
        <v>1.5963761981410015E-3</v>
      </c>
      <c r="S153" s="2"/>
      <c r="T153" s="7">
        <v>3521.24</v>
      </c>
      <c r="U153" s="2"/>
      <c r="V153" s="6">
        <f t="shared" si="19"/>
        <v>1.0316126596630747E-3</v>
      </c>
      <c r="W153" s="2"/>
      <c r="X153" s="7">
        <f t="shared" si="20"/>
        <v>1355.6000000000004</v>
      </c>
      <c r="Y153" s="2"/>
      <c r="Z153" s="6">
        <f t="shared" si="21"/>
        <v>0.38497801910690566</v>
      </c>
    </row>
    <row r="154" spans="1:26" s="24" customFormat="1" hidden="1" outlineLevel="2" x14ac:dyDescent="0.25">
      <c r="A154" s="29"/>
      <c r="B154" s="11" t="str">
        <f>CONCATENATE("          ", "6113", " - ", "GROUP INSURANCE")</f>
        <v xml:space="preserve">          6113 - GROUP INSURANCE</v>
      </c>
      <c r="C154" s="11"/>
      <c r="D154" s="7">
        <v>18998.099999999999</v>
      </c>
      <c r="E154" s="2"/>
      <c r="F154" s="6">
        <f t="shared" si="14"/>
        <v>7.0285090668825026E-3</v>
      </c>
      <c r="G154" s="2"/>
      <c r="H154" s="7">
        <v>20730.79</v>
      </c>
      <c r="I154" s="2"/>
      <c r="J154" s="6">
        <f t="shared" si="15"/>
        <v>6.8382905080900998E-3</v>
      </c>
      <c r="K154" s="2"/>
      <c r="L154" s="7">
        <f t="shared" si="16"/>
        <v>-1732.6900000000023</v>
      </c>
      <c r="M154" s="2"/>
      <c r="N154" s="6">
        <f t="shared" si="17"/>
        <v>-8.358050995644653E-2</v>
      </c>
      <c r="O154" s="11"/>
      <c r="P154" s="7">
        <v>37528.550000000003</v>
      </c>
      <c r="Q154" s="2"/>
      <c r="R154" s="6">
        <f t="shared" si="18"/>
        <v>1.2284529320368207E-2</v>
      </c>
      <c r="S154" s="2"/>
      <c r="T154" s="7">
        <v>28286.14</v>
      </c>
      <c r="U154" s="2"/>
      <c r="V154" s="6">
        <f t="shared" si="19"/>
        <v>8.2869500849138619E-3</v>
      </c>
      <c r="W154" s="2"/>
      <c r="X154" s="7">
        <f t="shared" si="20"/>
        <v>9242.4100000000035</v>
      </c>
      <c r="Y154" s="2"/>
      <c r="Z154" s="6">
        <f t="shared" si="21"/>
        <v>0.32674695098023288</v>
      </c>
    </row>
    <row r="155" spans="1:26" s="24" customFormat="1" hidden="1" outlineLevel="2" x14ac:dyDescent="0.25">
      <c r="A155" s="29"/>
      <c r="B155" s="11" t="str">
        <f>CONCATENATE("          ", "6114", " - ", "STATE UNEMPLOYMENT INSURANCE")</f>
        <v xml:space="preserve">          6114 - STATE UNEMPLOYMENT INSURANCE</v>
      </c>
      <c r="C155" s="11"/>
      <c r="D155" s="7">
        <v>482.73</v>
      </c>
      <c r="E155" s="2"/>
      <c r="F155" s="6">
        <f t="shared" si="14"/>
        <v>1.7859007910560483E-4</v>
      </c>
      <c r="G155" s="2"/>
      <c r="H155" s="7">
        <v>462.89</v>
      </c>
      <c r="I155" s="2"/>
      <c r="J155" s="6">
        <f t="shared" si="15"/>
        <v>1.5268961256613116E-4</v>
      </c>
      <c r="K155" s="2"/>
      <c r="L155" s="7">
        <f t="shared" si="16"/>
        <v>19.840000000000032</v>
      </c>
      <c r="M155" s="2"/>
      <c r="N155" s="6">
        <f t="shared" si="17"/>
        <v>4.2861154918015149E-2</v>
      </c>
      <c r="O155" s="11"/>
      <c r="P155" s="7">
        <v>849.77</v>
      </c>
      <c r="Q155" s="2"/>
      <c r="R155" s="6">
        <f t="shared" si="18"/>
        <v>2.7816221198445688E-4</v>
      </c>
      <c r="S155" s="2"/>
      <c r="T155" s="7">
        <v>997.93</v>
      </c>
      <c r="U155" s="2"/>
      <c r="V155" s="6">
        <f t="shared" si="19"/>
        <v>2.9236212852789704E-4</v>
      </c>
      <c r="W155" s="2"/>
      <c r="X155" s="7">
        <f t="shared" si="20"/>
        <v>-148.15999999999997</v>
      </c>
      <c r="Y155" s="2"/>
      <c r="Z155" s="6">
        <f t="shared" si="21"/>
        <v>-0.148467327367651</v>
      </c>
    </row>
    <row r="156" spans="1:26" s="24" customFormat="1" hidden="1" outlineLevel="2" x14ac:dyDescent="0.25">
      <c r="A156" s="29"/>
      <c r="B156" s="11" t="str">
        <f>CONCATENATE("          ", "6115", " - ", "P.E.R.S.")</f>
        <v xml:space="preserve">          6115 - P.E.R.S.</v>
      </c>
      <c r="C156" s="11"/>
      <c r="D156" s="7">
        <v>6190.68</v>
      </c>
      <c r="E156" s="2"/>
      <c r="F156" s="6">
        <f t="shared" si="14"/>
        <v>2.2902948458092217E-3</v>
      </c>
      <c r="G156" s="2"/>
      <c r="H156" s="7">
        <v>5595.85</v>
      </c>
      <c r="I156" s="2"/>
      <c r="J156" s="6">
        <f t="shared" si="15"/>
        <v>1.8458557507792027E-3</v>
      </c>
      <c r="K156" s="2"/>
      <c r="L156" s="7">
        <f t="shared" si="16"/>
        <v>594.82999999999993</v>
      </c>
      <c r="M156" s="2"/>
      <c r="N156" s="6">
        <f t="shared" si="17"/>
        <v>0.10629841757731173</v>
      </c>
      <c r="O156" s="11"/>
      <c r="P156" s="7">
        <v>12305.17</v>
      </c>
      <c r="Q156" s="2"/>
      <c r="R156" s="6">
        <f t="shared" si="18"/>
        <v>4.027952629587747E-3</v>
      </c>
      <c r="S156" s="2"/>
      <c r="T156" s="7">
        <v>13908.16</v>
      </c>
      <c r="U156" s="2"/>
      <c r="V156" s="6">
        <f t="shared" si="19"/>
        <v>4.0746537948619212E-3</v>
      </c>
      <c r="W156" s="2"/>
      <c r="X156" s="7">
        <f t="shared" si="20"/>
        <v>-1602.9899999999998</v>
      </c>
      <c r="Y156" s="2"/>
      <c r="Z156" s="6">
        <f t="shared" si="21"/>
        <v>-0.11525536088166945</v>
      </c>
    </row>
    <row r="157" spans="1:26" s="24" customFormat="1" hidden="1" outlineLevel="2" x14ac:dyDescent="0.25">
      <c r="A157" s="29"/>
      <c r="B157" s="11" t="str">
        <f>CONCATENATE("          ", "6117", " - ", "RETIREMENT STAFF HOURLY")</f>
        <v xml:space="preserve">          6117 - RETIREMENT STAFF HOURLY</v>
      </c>
      <c r="C157" s="11"/>
      <c r="D157" s="7">
        <v>94.68</v>
      </c>
      <c r="E157" s="2"/>
      <c r="F157" s="6">
        <f t="shared" si="14"/>
        <v>3.5027673212186242E-5</v>
      </c>
      <c r="G157" s="2"/>
      <c r="H157" s="7">
        <v>303.17</v>
      </c>
      <c r="I157" s="2"/>
      <c r="J157" s="6">
        <f t="shared" si="15"/>
        <v>1.0000412590825896E-4</v>
      </c>
      <c r="K157" s="2"/>
      <c r="L157" s="7">
        <f t="shared" si="16"/>
        <v>-208.49</v>
      </c>
      <c r="M157" s="2"/>
      <c r="N157" s="6">
        <f t="shared" si="17"/>
        <v>-0.68769997031368535</v>
      </c>
      <c r="O157" s="11"/>
      <c r="P157" s="7">
        <v>315.37</v>
      </c>
      <c r="Q157" s="2"/>
      <c r="R157" s="6">
        <f t="shared" si="18"/>
        <v>1.032326591825296E-4</v>
      </c>
      <c r="S157" s="2"/>
      <c r="T157" s="7">
        <v>588.39</v>
      </c>
      <c r="U157" s="2"/>
      <c r="V157" s="6">
        <f t="shared" si="19"/>
        <v>1.7237977894694954E-4</v>
      </c>
      <c r="W157" s="2"/>
      <c r="X157" s="7">
        <f t="shared" si="20"/>
        <v>-273.02</v>
      </c>
      <c r="Y157" s="2"/>
      <c r="Z157" s="6">
        <f t="shared" si="21"/>
        <v>-0.46401196485324359</v>
      </c>
    </row>
    <row r="158" spans="1:26" s="24" customFormat="1" hidden="1" outlineLevel="2" x14ac:dyDescent="0.25">
      <c r="A158" s="29"/>
      <c r="B158" s="11" t="str">
        <f>CONCATENATE("          ", "6118", " - ", "VACATION")</f>
        <v xml:space="preserve">          6118 - VACATION</v>
      </c>
      <c r="C158" s="11"/>
      <c r="D158" s="7">
        <v>4704.8500000000004</v>
      </c>
      <c r="E158" s="2"/>
      <c r="F158" s="6">
        <f t="shared" si="14"/>
        <v>1.7405993695854926E-3</v>
      </c>
      <c r="G158" s="2"/>
      <c r="H158" s="7">
        <v>4985.82</v>
      </c>
      <c r="I158" s="2"/>
      <c r="J158" s="6">
        <f t="shared" si="15"/>
        <v>1.6446303098456828E-3</v>
      </c>
      <c r="K158" s="2"/>
      <c r="L158" s="7">
        <f t="shared" si="16"/>
        <v>-280.96999999999935</v>
      </c>
      <c r="M158" s="2"/>
      <c r="N158" s="6">
        <f t="shared" si="17"/>
        <v>-5.6353819431908765E-2</v>
      </c>
      <c r="O158" s="11"/>
      <c r="P158" s="7">
        <v>12039.76</v>
      </c>
      <c r="Q158" s="2"/>
      <c r="R158" s="6">
        <f t="shared" si="18"/>
        <v>3.941073788627493E-3</v>
      </c>
      <c r="S158" s="2"/>
      <c r="T158" s="7">
        <v>13783.87</v>
      </c>
      <c r="U158" s="2"/>
      <c r="V158" s="6">
        <f t="shared" si="19"/>
        <v>4.0382407308647145E-3</v>
      </c>
      <c r="W158" s="2"/>
      <c r="X158" s="7">
        <f t="shared" si="20"/>
        <v>-1744.1100000000006</v>
      </c>
      <c r="Y158" s="2"/>
      <c r="Z158" s="6">
        <f t="shared" si="21"/>
        <v>-0.12653267913873248</v>
      </c>
    </row>
    <row r="159" spans="1:26" s="24" customFormat="1" hidden="1" outlineLevel="2" x14ac:dyDescent="0.25">
      <c r="A159" s="29"/>
      <c r="B159" s="11" t="str">
        <f>CONCATENATE("          ", "6119", " - ", "SICK LEAVE")</f>
        <v xml:space="preserve">          6119 - SICK LEAVE</v>
      </c>
      <c r="C159" s="11"/>
      <c r="D159" s="7">
        <v>3331.17</v>
      </c>
      <c r="E159" s="2"/>
      <c r="F159" s="6">
        <f t="shared" si="14"/>
        <v>1.2323947420177276E-3</v>
      </c>
      <c r="G159" s="2"/>
      <c r="H159" s="7">
        <v>3338.31</v>
      </c>
      <c r="I159" s="2"/>
      <c r="J159" s="6">
        <f t="shared" si="15"/>
        <v>1.1011801087205196E-3</v>
      </c>
      <c r="K159" s="2"/>
      <c r="L159" s="7">
        <f t="shared" si="16"/>
        <v>-7.1399999999998727</v>
      </c>
      <c r="M159" s="2"/>
      <c r="N159" s="6">
        <f t="shared" si="17"/>
        <v>-2.1388067615050349E-3</v>
      </c>
      <c r="O159" s="11"/>
      <c r="P159" s="7">
        <v>11382.25</v>
      </c>
      <c r="Q159" s="2"/>
      <c r="R159" s="6">
        <f t="shared" si="18"/>
        <v>3.725845625710586E-3</v>
      </c>
      <c r="S159" s="2"/>
      <c r="T159" s="7">
        <v>13031.51</v>
      </c>
      <c r="U159" s="2"/>
      <c r="V159" s="6">
        <f t="shared" si="19"/>
        <v>3.8178228949250709E-3</v>
      </c>
      <c r="W159" s="2"/>
      <c r="X159" s="7">
        <f t="shared" si="20"/>
        <v>-1649.2600000000002</v>
      </c>
      <c r="Y159" s="2"/>
      <c r="Z159" s="6">
        <f t="shared" si="21"/>
        <v>-0.12655939334735578</v>
      </c>
    </row>
    <row r="160" spans="1:26" s="24" customFormat="1" hidden="1" outlineLevel="2" x14ac:dyDescent="0.25">
      <c r="A160" s="29"/>
      <c r="B160" s="11" t="str">
        <f>CONCATENATE("          ", "6156", " - ", "EMPLOYEE MEALS")</f>
        <v xml:space="preserve">          6156 - EMPLOYEE MEALS</v>
      </c>
      <c r="C160" s="11"/>
      <c r="D160" s="7">
        <v>1918.12</v>
      </c>
      <c r="E160" s="2"/>
      <c r="F160" s="6">
        <f t="shared" si="14"/>
        <v>7.0962484729360654E-4</v>
      </c>
      <c r="G160" s="2"/>
      <c r="H160" s="7">
        <v>2224.48</v>
      </c>
      <c r="I160" s="2"/>
      <c r="J160" s="6">
        <f t="shared" si="15"/>
        <v>7.3377041923806399E-4</v>
      </c>
      <c r="K160" s="2"/>
      <c r="L160" s="7">
        <f t="shared" si="16"/>
        <v>-306.36000000000013</v>
      </c>
      <c r="M160" s="2"/>
      <c r="N160" s="6">
        <f t="shared" si="17"/>
        <v>-0.13772207437243766</v>
      </c>
      <c r="O160" s="11"/>
      <c r="P160" s="7">
        <v>3647.83</v>
      </c>
      <c r="Q160" s="2"/>
      <c r="R160" s="6">
        <f t="shared" si="18"/>
        <v>1.1940742339024222E-3</v>
      </c>
      <c r="S160" s="2"/>
      <c r="T160" s="7">
        <v>4236.79</v>
      </c>
      <c r="U160" s="2"/>
      <c r="V160" s="6">
        <f t="shared" si="19"/>
        <v>1.2412463224131041E-3</v>
      </c>
      <c r="W160" s="2"/>
      <c r="X160" s="7">
        <f t="shared" si="20"/>
        <v>-588.96</v>
      </c>
      <c r="Y160" s="2"/>
      <c r="Z160" s="6">
        <f t="shared" si="21"/>
        <v>-0.13901090212165343</v>
      </c>
    </row>
    <row r="161" spans="1:26" s="27" customFormat="1" outlineLevel="1" collapsed="1" x14ac:dyDescent="0.25">
      <c r="A161" s="28"/>
      <c r="B161" s="14" t="str">
        <f>CONCATENATE("     ","*Payroll                                          ")</f>
        <v xml:space="preserve">     *Payroll                                          </v>
      </c>
      <c r="C161" s="14"/>
      <c r="D161" s="1">
        <f>SUM(OSRRefD22_1x_0)</f>
        <v>223834.41</v>
      </c>
      <c r="E161" s="1"/>
      <c r="F161" s="5">
        <f t="shared" ref="F161:F168" si="22">IF(D$12=0,0,D161/D$12)</f>
        <v>8.2809448321953028E-2</v>
      </c>
      <c r="G161" s="1"/>
      <c r="H161" s="1">
        <f>SUM(OSRRefH22_1x_0)</f>
        <v>214094.59999999998</v>
      </c>
      <c r="I161" s="1"/>
      <c r="J161" s="5">
        <f t="shared" ref="J161:J168" si="23">IF(H$12=0,0,H161/H$12)</f>
        <v>7.0621576457691501E-2</v>
      </c>
      <c r="K161" s="1"/>
      <c r="L161" s="1">
        <f t="shared" ref="L161:L168" si="24">+D161-H161</f>
        <v>9739.8100000000268</v>
      </c>
      <c r="M161" s="1"/>
      <c r="N161" s="5">
        <f t="shared" ref="N161:N168" si="25">IF(H161=0,0,L161/H161)</f>
        <v>4.5493020375105338E-2</v>
      </c>
      <c r="O161" s="14"/>
      <c r="P161" s="1">
        <f>SUM(OSRRefP22_1x_0)</f>
        <v>394132.18000000005</v>
      </c>
      <c r="Q161" s="1"/>
      <c r="R161" s="5">
        <f t="shared" ref="R161:R168" si="26">IF(P$12=0,0,P161/P$12)</f>
        <v>0.1290145321711241</v>
      </c>
      <c r="S161" s="1"/>
      <c r="T161" s="1">
        <f>SUM(OSRRefT22_1x_0)</f>
        <v>384057.86</v>
      </c>
      <c r="U161" s="1"/>
      <c r="V161" s="5">
        <f t="shared" ref="V161:V168" si="27">IF(T$12=0,0,T161/T$12)</f>
        <v>0.11251688337605753</v>
      </c>
      <c r="W161" s="1"/>
      <c r="X161" s="1">
        <f t="shared" ref="X161:X168" si="28">+P161-T161</f>
        <v>10074.320000000065</v>
      </c>
      <c r="Y161" s="1"/>
      <c r="Z161" s="5">
        <f t="shared" ref="Z161:Z168" si="29">IF(T161=0,0,X161/T161)</f>
        <v>2.6231255884204701E-2</v>
      </c>
    </row>
    <row r="162" spans="1:26" s="24" customFormat="1" hidden="1" outlineLevel="2" x14ac:dyDescent="0.25">
      <c r="A162" s="29"/>
      <c r="B162" s="11" t="str">
        <f>CONCATENATE("          ", "6001", " - ", "ADMINISTRATIVE SALARIES")</f>
        <v xml:space="preserve">          6001 - ADMINISTRATIVE SALARIES</v>
      </c>
      <c r="C162" s="11"/>
      <c r="D162" s="7">
        <v>10181.280000000001</v>
      </c>
      <c r="E162" s="2"/>
      <c r="F162" s="6">
        <f t="shared" si="22"/>
        <v>3.7666513384217106E-3</v>
      </c>
      <c r="G162" s="2"/>
      <c r="H162" s="7">
        <v>10405</v>
      </c>
      <c r="I162" s="2"/>
      <c r="J162" s="6">
        <f t="shared" si="23"/>
        <v>3.4322094207059881E-3</v>
      </c>
      <c r="K162" s="2"/>
      <c r="L162" s="7">
        <f t="shared" si="24"/>
        <v>-223.71999999999935</v>
      </c>
      <c r="M162" s="2"/>
      <c r="N162" s="6">
        <f t="shared" si="25"/>
        <v>-2.1501201345506905E-2</v>
      </c>
      <c r="O162" s="11"/>
      <c r="P162" s="7">
        <v>23041.56</v>
      </c>
      <c r="Q162" s="2"/>
      <c r="R162" s="6">
        <f t="shared" si="26"/>
        <v>7.5423835828195666E-3</v>
      </c>
      <c r="S162" s="2"/>
      <c r="T162" s="7">
        <v>23411</v>
      </c>
      <c r="U162" s="2"/>
      <c r="V162" s="6">
        <f t="shared" si="27"/>
        <v>6.858687273622998E-3</v>
      </c>
      <c r="W162" s="2"/>
      <c r="X162" s="7">
        <f t="shared" si="28"/>
        <v>-369.43999999999869</v>
      </c>
      <c r="Y162" s="2"/>
      <c r="Z162" s="6">
        <f t="shared" si="29"/>
        <v>-1.5780615949767148E-2</v>
      </c>
    </row>
    <row r="163" spans="1:26" s="24" customFormat="1" hidden="1" outlineLevel="2" x14ac:dyDescent="0.25">
      <c r="A163" s="29"/>
      <c r="B163" s="11" t="str">
        <f>CONCATENATE("          ", "6002", " - ", "STAFF SALARIES")</f>
        <v xml:space="preserve">          6002 - STAFF SALARIES</v>
      </c>
      <c r="C163" s="11"/>
      <c r="D163" s="7">
        <v>56508.47</v>
      </c>
      <c r="E163" s="2"/>
      <c r="F163" s="6">
        <f t="shared" si="22"/>
        <v>2.0905790250112272E-2</v>
      </c>
      <c r="G163" s="2"/>
      <c r="H163" s="7">
        <v>51547.96</v>
      </c>
      <c r="I163" s="2"/>
      <c r="J163" s="6">
        <f t="shared" si="23"/>
        <v>1.7003689950040889E-2</v>
      </c>
      <c r="K163" s="2"/>
      <c r="L163" s="7">
        <f t="shared" si="24"/>
        <v>4960.510000000002</v>
      </c>
      <c r="M163" s="2"/>
      <c r="N163" s="6">
        <f t="shared" si="25"/>
        <v>9.6230966269082271E-2</v>
      </c>
      <c r="O163" s="11"/>
      <c r="P163" s="7">
        <v>120636.08000000002</v>
      </c>
      <c r="Q163" s="2"/>
      <c r="R163" s="6">
        <f t="shared" si="26"/>
        <v>3.9488801508565735E-2</v>
      </c>
      <c r="S163" s="2"/>
      <c r="T163" s="7">
        <v>114855.73000000001</v>
      </c>
      <c r="U163" s="2"/>
      <c r="V163" s="6">
        <f t="shared" si="27"/>
        <v>3.3649119373528651E-2</v>
      </c>
      <c r="W163" s="2"/>
      <c r="X163" s="7">
        <f t="shared" si="28"/>
        <v>5780.3500000000058</v>
      </c>
      <c r="Y163" s="2"/>
      <c r="Z163" s="6">
        <f t="shared" si="29"/>
        <v>5.0327049421043296E-2</v>
      </c>
    </row>
    <row r="164" spans="1:26" s="24" customFormat="1" hidden="1" outlineLevel="2" x14ac:dyDescent="0.25">
      <c r="A164" s="29"/>
      <c r="B164" s="11" t="str">
        <f>CONCATENATE("          ", "6004", " - ", "STAFF HOURLY")</f>
        <v xml:space="preserve">          6004 - STAFF HOURLY</v>
      </c>
      <c r="C164" s="11"/>
      <c r="D164" s="7">
        <v>2830.32</v>
      </c>
      <c r="E164" s="2"/>
      <c r="F164" s="6">
        <f t="shared" si="22"/>
        <v>1.0471010144266473E-3</v>
      </c>
      <c r="G164" s="2"/>
      <c r="H164" s="7">
        <v>6032.47</v>
      </c>
      <c r="I164" s="2"/>
      <c r="J164" s="6">
        <f t="shared" si="23"/>
        <v>1.9898799004446181E-3</v>
      </c>
      <c r="K164" s="2"/>
      <c r="L164" s="7">
        <f t="shared" si="24"/>
        <v>-3202.15</v>
      </c>
      <c r="M164" s="2"/>
      <c r="N164" s="6">
        <f t="shared" si="25"/>
        <v>-0.53081905090286396</v>
      </c>
      <c r="O164" s="11"/>
      <c r="P164" s="7">
        <v>4836.25</v>
      </c>
      <c r="Q164" s="2"/>
      <c r="R164" s="6">
        <f t="shared" si="26"/>
        <v>1.5830895391809898E-3</v>
      </c>
      <c r="S164" s="2"/>
      <c r="T164" s="7">
        <v>11401.51</v>
      </c>
      <c r="U164" s="2"/>
      <c r="V164" s="6">
        <f t="shared" si="27"/>
        <v>3.3402841201608368E-3</v>
      </c>
      <c r="W164" s="2"/>
      <c r="X164" s="7">
        <f t="shared" si="28"/>
        <v>-6565.26</v>
      </c>
      <c r="Y164" s="2"/>
      <c r="Z164" s="6">
        <f t="shared" si="29"/>
        <v>-0.57582372861138564</v>
      </c>
    </row>
    <row r="165" spans="1:26" s="24" customFormat="1" hidden="1" outlineLevel="2" x14ac:dyDescent="0.25">
      <c r="A165" s="29"/>
      <c r="B165" s="11" t="str">
        <f>CONCATENATE("          ", "6005", " - ", "TEMPORARY WAGES-HOURLY")</f>
        <v xml:space="preserve">          6005 - TEMPORARY WAGES-HOURLY</v>
      </c>
      <c r="C165" s="11"/>
      <c r="D165" s="7">
        <v>17494.070000000003</v>
      </c>
      <c r="E165" s="2"/>
      <c r="F165" s="6">
        <f t="shared" si="22"/>
        <v>6.4720803454912448E-3</v>
      </c>
      <c r="G165" s="2"/>
      <c r="H165" s="7">
        <v>17741.969999999998</v>
      </c>
      <c r="I165" s="2"/>
      <c r="J165" s="6">
        <f t="shared" si="23"/>
        <v>5.8523937122424803E-3</v>
      </c>
      <c r="K165" s="2"/>
      <c r="L165" s="7">
        <f t="shared" si="24"/>
        <v>-247.89999999999418</v>
      </c>
      <c r="M165" s="2"/>
      <c r="N165" s="6">
        <f t="shared" si="25"/>
        <v>-1.3972518271645945E-2</v>
      </c>
      <c r="O165" s="11"/>
      <c r="P165" s="7">
        <v>34872.71</v>
      </c>
      <c r="Q165" s="2"/>
      <c r="R165" s="6">
        <f t="shared" si="26"/>
        <v>1.1415171342236711E-2</v>
      </c>
      <c r="S165" s="2"/>
      <c r="T165" s="7">
        <v>30294.27</v>
      </c>
      <c r="U165" s="2"/>
      <c r="V165" s="6">
        <f t="shared" si="27"/>
        <v>8.8752690663661954E-3</v>
      </c>
      <c r="W165" s="2"/>
      <c r="X165" s="7">
        <f t="shared" si="28"/>
        <v>4578.4399999999987</v>
      </c>
      <c r="Y165" s="2"/>
      <c r="Z165" s="6">
        <f t="shared" si="29"/>
        <v>0.15113221081082326</v>
      </c>
    </row>
    <row r="166" spans="1:26" s="24" customFormat="1" hidden="1" outlineLevel="2" x14ac:dyDescent="0.25">
      <c r="A166" s="29"/>
      <c r="B166" s="11" t="str">
        <f>CONCATENATE("          ", "6006", " - ", "TEMPORARY PART TIME")</f>
        <v xml:space="preserve">          6006 - TEMPORARY PART TIME</v>
      </c>
      <c r="C166" s="11"/>
      <c r="D166" s="7">
        <v>5082.5600000000004</v>
      </c>
      <c r="E166" s="2"/>
      <c r="F166" s="6">
        <f t="shared" si="22"/>
        <v>1.8803364043232923E-3</v>
      </c>
      <c r="G166" s="2"/>
      <c r="H166" s="7">
        <v>9437.84</v>
      </c>
      <c r="I166" s="2"/>
      <c r="J166" s="6">
        <f t="shared" si="23"/>
        <v>3.1131805246627391E-3</v>
      </c>
      <c r="K166" s="2"/>
      <c r="L166" s="7">
        <f t="shared" si="24"/>
        <v>-4355.28</v>
      </c>
      <c r="M166" s="2"/>
      <c r="N166" s="6">
        <f t="shared" si="25"/>
        <v>-0.46146999737228006</v>
      </c>
      <c r="O166" s="11"/>
      <c r="P166" s="7">
        <v>8274</v>
      </c>
      <c r="Q166" s="2"/>
      <c r="R166" s="6">
        <f t="shared" si="26"/>
        <v>2.7083965566675645E-3</v>
      </c>
      <c r="S166" s="2"/>
      <c r="T166" s="7">
        <v>19488.289999999997</v>
      </c>
      <c r="U166" s="2"/>
      <c r="V166" s="6">
        <f t="shared" si="27"/>
        <v>5.7094565207669182E-3</v>
      </c>
      <c r="W166" s="2"/>
      <c r="X166" s="7">
        <f t="shared" si="28"/>
        <v>-11214.289999999997</v>
      </c>
      <c r="Y166" s="2"/>
      <c r="Z166" s="6">
        <f t="shared" si="29"/>
        <v>-0.57543735237930049</v>
      </c>
    </row>
    <row r="167" spans="1:26" s="24" customFormat="1" hidden="1" outlineLevel="2" x14ac:dyDescent="0.25">
      <c r="A167" s="29"/>
      <c r="B167" s="11" t="str">
        <f>CONCATENATE("          ", "6007", " - ", "STUDENT HOURLY")</f>
        <v xml:space="preserve">          6007 - STUDENT HOURLY</v>
      </c>
      <c r="C167" s="11"/>
      <c r="D167" s="7">
        <v>130090.70999999999</v>
      </c>
      <c r="E167" s="2"/>
      <c r="F167" s="6">
        <f t="shared" si="22"/>
        <v>4.8128167277368912E-2</v>
      </c>
      <c r="G167" s="2"/>
      <c r="H167" s="7">
        <v>115835.61</v>
      </c>
      <c r="I167" s="2"/>
      <c r="J167" s="6">
        <f t="shared" si="23"/>
        <v>3.820971378137672E-2</v>
      </c>
      <c r="K167" s="2"/>
      <c r="L167" s="7">
        <f t="shared" si="24"/>
        <v>14255.099999999991</v>
      </c>
      <c r="M167" s="2"/>
      <c r="N167" s="6">
        <f t="shared" si="25"/>
        <v>0.12306319274357852</v>
      </c>
      <c r="O167" s="11"/>
      <c r="P167" s="7">
        <v>200509.58000000002</v>
      </c>
      <c r="Q167" s="2"/>
      <c r="R167" s="6">
        <f t="shared" si="26"/>
        <v>6.5634452024517717E-2</v>
      </c>
      <c r="S167" s="2"/>
      <c r="T167" s="7">
        <v>180047.56</v>
      </c>
      <c r="U167" s="2"/>
      <c r="V167" s="6">
        <f t="shared" si="27"/>
        <v>5.2748276810852722E-2</v>
      </c>
      <c r="W167" s="2"/>
      <c r="X167" s="7">
        <f t="shared" si="28"/>
        <v>20462.020000000019</v>
      </c>
      <c r="Y167" s="2"/>
      <c r="Z167" s="6">
        <f t="shared" si="29"/>
        <v>0.11364786059861083</v>
      </c>
    </row>
    <row r="168" spans="1:26" s="24" customFormat="1" hidden="1" outlineLevel="2" x14ac:dyDescent="0.25">
      <c r="A168" s="29"/>
      <c r="B168" s="11" t="str">
        <f>CONCATENATE("          ", "6008", " - ", "STUDENT HOURLY-FICA EXEMPT")</f>
        <v xml:space="preserve">          6008 - STUDENT HOURLY-FICA EXEMPT</v>
      </c>
      <c r="C168" s="11"/>
      <c r="D168" s="7">
        <v>1647</v>
      </c>
      <c r="E168" s="2"/>
      <c r="F168" s="6">
        <f t="shared" si="22"/>
        <v>6.0932169180894316E-4</v>
      </c>
      <c r="G168" s="2"/>
      <c r="H168" s="7">
        <v>3093.75</v>
      </c>
      <c r="I168" s="2"/>
      <c r="J168" s="6">
        <f t="shared" si="23"/>
        <v>1.0205091682180826E-3</v>
      </c>
      <c r="K168" s="2"/>
      <c r="L168" s="7">
        <f t="shared" si="24"/>
        <v>-1446.75</v>
      </c>
      <c r="M168" s="2"/>
      <c r="N168" s="6">
        <f t="shared" si="25"/>
        <v>-0.46763636363636363</v>
      </c>
      <c r="O168" s="11"/>
      <c r="P168" s="7">
        <v>1962</v>
      </c>
      <c r="Q168" s="2"/>
      <c r="R168" s="6">
        <f t="shared" si="26"/>
        <v>6.422376171358184E-4</v>
      </c>
      <c r="S168" s="2"/>
      <c r="T168" s="7">
        <v>4559.5</v>
      </c>
      <c r="U168" s="2"/>
      <c r="V168" s="6">
        <f t="shared" si="27"/>
        <v>1.3357902107592183E-3</v>
      </c>
      <c r="W168" s="2"/>
      <c r="X168" s="7">
        <f t="shared" si="28"/>
        <v>-2597.5</v>
      </c>
      <c r="Y168" s="2"/>
      <c r="Z168" s="6">
        <f t="shared" si="29"/>
        <v>-0.56968965895383261</v>
      </c>
    </row>
    <row r="169" spans="1:26" s="27" customFormat="1" outlineLevel="1" collapsed="1" x14ac:dyDescent="0.25">
      <c r="A169" s="28"/>
      <c r="B169" s="14" t="str">
        <f>CONCATENATE("     ","Advertising/Promo                                 ")</f>
        <v xml:space="preserve">     Advertising/Promo                                 </v>
      </c>
      <c r="C169" s="14"/>
      <c r="D169" s="1">
        <f>SUM(OSRRefD22_2x_0)</f>
        <v>6658.2</v>
      </c>
      <c r="E169" s="1"/>
      <c r="F169" s="5">
        <f t="shared" ref="F169:F177" si="30">IF(D$12=0,0,D169/D$12)</f>
        <v>2.4632578557391045E-3</v>
      </c>
      <c r="G169" s="1"/>
      <c r="H169" s="1">
        <f>SUM(OSRRefH22_2x_0)</f>
        <v>3456.69</v>
      </c>
      <c r="I169" s="1"/>
      <c r="J169" s="5">
        <f t="shared" ref="J169:J177" si="31">IF(H$12=0,0,H169/H$12)</f>
        <v>1.1402291189293783E-3</v>
      </c>
      <c r="K169" s="1"/>
      <c r="L169" s="1">
        <f t="shared" ref="L169:L177" si="32">+D169-H169</f>
        <v>3201.5099999999998</v>
      </c>
      <c r="M169" s="1"/>
      <c r="N169" s="5">
        <f t="shared" ref="N169:N177" si="33">IF(H169=0,0,L169/H169)</f>
        <v>0.92617793322513731</v>
      </c>
      <c r="O169" s="14"/>
      <c r="P169" s="1">
        <f>SUM(OSRRefP22_2x_0)</f>
        <v>7190.5</v>
      </c>
      <c r="Q169" s="1"/>
      <c r="R169" s="5">
        <f t="shared" ref="R169:R177" si="34">IF(P$12=0,0,P169/P$12)</f>
        <v>2.3537255790087169E-3</v>
      </c>
      <c r="S169" s="1"/>
      <c r="T169" s="1">
        <f>SUM(OSRRefT22_2x_0)</f>
        <v>8611.8700000000008</v>
      </c>
      <c r="U169" s="1"/>
      <c r="V169" s="5">
        <f t="shared" ref="V169:V177" si="35">IF(T$12=0,0,T169/T$12)</f>
        <v>2.523007268852065E-3</v>
      </c>
      <c r="W169" s="1"/>
      <c r="X169" s="1">
        <f t="shared" ref="X169:X177" si="36">+P169-T169</f>
        <v>-1421.3700000000008</v>
      </c>
      <c r="Y169" s="1"/>
      <c r="Z169" s="5">
        <f t="shared" ref="Z169:Z177" si="37">IF(T169=0,0,X169/T169)</f>
        <v>-0.16504777707977486</v>
      </c>
    </row>
    <row r="170" spans="1:26" s="24" customFormat="1" hidden="1" outlineLevel="2" x14ac:dyDescent="0.25">
      <c r="A170" s="29"/>
      <c r="B170" s="11" t="str">
        <f>CONCATENATE("          ", "6362", " - ", "ADVERTISING EXPENSE")</f>
        <v xml:space="preserve">          6362 - ADVERTISING EXPENSE</v>
      </c>
      <c r="C170" s="11"/>
      <c r="D170" s="7">
        <v>6658.2</v>
      </c>
      <c r="E170" s="2"/>
      <c r="F170" s="6">
        <f t="shared" si="30"/>
        <v>2.4632578557391045E-3</v>
      </c>
      <c r="G170" s="2"/>
      <c r="H170" s="7">
        <v>3456.69</v>
      </c>
      <c r="I170" s="2"/>
      <c r="J170" s="6">
        <f t="shared" si="31"/>
        <v>1.1402291189293783E-3</v>
      </c>
      <c r="K170" s="2"/>
      <c r="L170" s="7">
        <f t="shared" si="32"/>
        <v>3201.5099999999998</v>
      </c>
      <c r="M170" s="2"/>
      <c r="N170" s="6">
        <f t="shared" si="33"/>
        <v>0.92617793322513731</v>
      </c>
      <c r="O170" s="11"/>
      <c r="P170" s="7">
        <v>7190.5</v>
      </c>
      <c r="Q170" s="2"/>
      <c r="R170" s="6">
        <f t="shared" si="34"/>
        <v>2.3537255790087169E-3</v>
      </c>
      <c r="S170" s="2"/>
      <c r="T170" s="7">
        <v>8611.8700000000008</v>
      </c>
      <c r="U170" s="2"/>
      <c r="V170" s="6">
        <f t="shared" si="35"/>
        <v>2.523007268852065E-3</v>
      </c>
      <c r="W170" s="2"/>
      <c r="X170" s="7">
        <f t="shared" si="36"/>
        <v>-1421.3700000000008</v>
      </c>
      <c r="Y170" s="2"/>
      <c r="Z170" s="6">
        <f t="shared" si="37"/>
        <v>-0.16504777707977486</v>
      </c>
    </row>
    <row r="171" spans="1:26" s="27" customFormat="1" outlineLevel="1" collapsed="1" x14ac:dyDescent="0.25">
      <c r="A171" s="28"/>
      <c r="B171" s="14" t="str">
        <f>CONCATENATE("     ","Bad Debts/Over/Short                              ")</f>
        <v xml:space="preserve">     Bad Debts/Over/Short                              </v>
      </c>
      <c r="C171" s="14"/>
      <c r="D171" s="1">
        <f>SUM(OSRRefD22_3x_0)</f>
        <v>-63.63</v>
      </c>
      <c r="E171" s="1"/>
      <c r="F171" s="5">
        <f t="shared" si="30"/>
        <v>-2.3540460989558624E-5</v>
      </c>
      <c r="G171" s="1"/>
      <c r="H171" s="1">
        <f>SUM(OSRRefH22_3x_0)</f>
        <v>62.21</v>
      </c>
      <c r="I171" s="1"/>
      <c r="J171" s="5">
        <f t="shared" si="31"/>
        <v>2.0520686983384865E-5</v>
      </c>
      <c r="K171" s="1"/>
      <c r="L171" s="1">
        <f t="shared" si="32"/>
        <v>-125.84</v>
      </c>
      <c r="M171" s="1"/>
      <c r="N171" s="5">
        <f t="shared" si="33"/>
        <v>-2.0228259122327601</v>
      </c>
      <c r="O171" s="14"/>
      <c r="P171" s="1">
        <f>SUM(OSRRefP22_3x_0)</f>
        <v>-82.33</v>
      </c>
      <c r="Q171" s="1"/>
      <c r="R171" s="5">
        <f t="shared" si="34"/>
        <v>-2.6949756890311893E-5</v>
      </c>
      <c r="S171" s="1"/>
      <c r="T171" s="1">
        <f>SUM(OSRRefT22_3x_0)</f>
        <v>39.29</v>
      </c>
      <c r="U171" s="1"/>
      <c r="V171" s="5">
        <f t="shared" si="35"/>
        <v>1.1510735251832369E-5</v>
      </c>
      <c r="W171" s="1"/>
      <c r="X171" s="1">
        <f t="shared" si="36"/>
        <v>-121.62</v>
      </c>
      <c r="Y171" s="1"/>
      <c r="Z171" s="5">
        <f t="shared" si="37"/>
        <v>-3.0954441333672693</v>
      </c>
    </row>
    <row r="172" spans="1:26" s="24" customFormat="1" hidden="1" outlineLevel="2" x14ac:dyDescent="0.25">
      <c r="A172" s="29"/>
      <c r="B172" s="11" t="str">
        <f>CONCATENATE("          ", "6272", " - ", "CASH (OVER/SHORT)")</f>
        <v xml:space="preserve">          6272 - CASH (OVER/SHORT)</v>
      </c>
      <c r="C172" s="11"/>
      <c r="D172" s="7">
        <v>-63.63</v>
      </c>
      <c r="E172" s="2"/>
      <c r="F172" s="6">
        <f t="shared" si="30"/>
        <v>-2.3540460989558624E-5</v>
      </c>
      <c r="G172" s="2"/>
      <c r="H172" s="7">
        <v>62.21</v>
      </c>
      <c r="I172" s="2"/>
      <c r="J172" s="6">
        <f t="shared" si="31"/>
        <v>2.0520686983384865E-5</v>
      </c>
      <c r="K172" s="2"/>
      <c r="L172" s="7">
        <f t="shared" si="32"/>
        <v>-125.84</v>
      </c>
      <c r="M172" s="2"/>
      <c r="N172" s="6">
        <f t="shared" si="33"/>
        <v>-2.0228259122327601</v>
      </c>
      <c r="O172" s="11"/>
      <c r="P172" s="7">
        <v>-82.33</v>
      </c>
      <c r="Q172" s="2"/>
      <c r="R172" s="6">
        <f t="shared" si="34"/>
        <v>-2.6949756890311893E-5</v>
      </c>
      <c r="S172" s="2"/>
      <c r="T172" s="7">
        <v>39.29</v>
      </c>
      <c r="U172" s="2"/>
      <c r="V172" s="6">
        <f t="shared" si="35"/>
        <v>1.1510735251832369E-5</v>
      </c>
      <c r="W172" s="2"/>
      <c r="X172" s="7">
        <f t="shared" si="36"/>
        <v>-121.62</v>
      </c>
      <c r="Y172" s="2"/>
      <c r="Z172" s="6">
        <f t="shared" si="37"/>
        <v>-3.0954441333672693</v>
      </c>
    </row>
    <row r="173" spans="1:26" s="27" customFormat="1" outlineLevel="1" collapsed="1" x14ac:dyDescent="0.25">
      <c r="A173" s="28"/>
      <c r="B173" s="14" t="str">
        <f>CONCATENATE("     ","Bank/card Fees                                    ")</f>
        <v xml:space="preserve">     Bank/card Fees                                    </v>
      </c>
      <c r="C173" s="14"/>
      <c r="D173" s="1">
        <f>SUM(OSRRefD22_4x_0)</f>
        <v>33669.619999999995</v>
      </c>
      <c r="E173" s="1"/>
      <c r="F173" s="5">
        <f t="shared" si="30"/>
        <v>1.2456362975691698E-2</v>
      </c>
      <c r="G173" s="1"/>
      <c r="H173" s="1">
        <f>SUM(OSRRefH22_4x_0)</f>
        <v>29763.820000000003</v>
      </c>
      <c r="I173" s="1"/>
      <c r="J173" s="5">
        <f t="shared" si="31"/>
        <v>9.8179397789713903E-3</v>
      </c>
      <c r="K173" s="1"/>
      <c r="L173" s="1">
        <f t="shared" si="32"/>
        <v>3905.799999999992</v>
      </c>
      <c r="M173" s="1"/>
      <c r="N173" s="5">
        <f t="shared" si="33"/>
        <v>0.13122643531643424</v>
      </c>
      <c r="O173" s="14"/>
      <c r="P173" s="1">
        <f>SUM(OSRRefP22_4x_0)</f>
        <v>39455.51</v>
      </c>
      <c r="Q173" s="1"/>
      <c r="R173" s="5">
        <f t="shared" si="34"/>
        <v>1.291529700574845E-2</v>
      </c>
      <c r="S173" s="1"/>
      <c r="T173" s="1">
        <f>SUM(OSRRefT22_4x_0)</f>
        <v>36037.25</v>
      </c>
      <c r="U173" s="1"/>
      <c r="V173" s="5">
        <f t="shared" si="35"/>
        <v>1.0557781724461594E-2</v>
      </c>
      <c r="W173" s="1"/>
      <c r="X173" s="1">
        <f t="shared" si="36"/>
        <v>3418.260000000002</v>
      </c>
      <c r="Y173" s="1"/>
      <c r="Z173" s="5">
        <f t="shared" si="37"/>
        <v>9.4853519622057791E-2</v>
      </c>
    </row>
    <row r="174" spans="1:26" s="24" customFormat="1" hidden="1" outlineLevel="2" x14ac:dyDescent="0.25">
      <c r="A174" s="29"/>
      <c r="B174" s="11" t="str">
        <f>CONCATENATE("          ", "6381", " - ", "BANK/CREDIT CARD FEES")</f>
        <v xml:space="preserve">          6381 - BANK/CREDIT CARD FEES</v>
      </c>
      <c r="C174" s="11"/>
      <c r="D174" s="7">
        <v>33669.619999999995</v>
      </c>
      <c r="E174" s="2"/>
      <c r="F174" s="6">
        <f t="shared" si="30"/>
        <v>1.2456362975691698E-2</v>
      </c>
      <c r="G174" s="2"/>
      <c r="H174" s="7">
        <v>29763.820000000003</v>
      </c>
      <c r="I174" s="2"/>
      <c r="J174" s="6">
        <f t="shared" si="31"/>
        <v>9.8179397789713903E-3</v>
      </c>
      <c r="K174" s="2"/>
      <c r="L174" s="7">
        <f t="shared" si="32"/>
        <v>3905.799999999992</v>
      </c>
      <c r="M174" s="2"/>
      <c r="N174" s="6">
        <f t="shared" si="33"/>
        <v>0.13122643531643424</v>
      </c>
      <c r="O174" s="11"/>
      <c r="P174" s="7">
        <v>39455.51</v>
      </c>
      <c r="Q174" s="2"/>
      <c r="R174" s="6">
        <f t="shared" si="34"/>
        <v>1.291529700574845E-2</v>
      </c>
      <c r="S174" s="2"/>
      <c r="T174" s="7">
        <v>36037.25</v>
      </c>
      <c r="U174" s="2"/>
      <c r="V174" s="6">
        <f t="shared" si="35"/>
        <v>1.0557781724461594E-2</v>
      </c>
      <c r="W174" s="2"/>
      <c r="X174" s="7">
        <f t="shared" si="36"/>
        <v>3418.260000000002</v>
      </c>
      <c r="Y174" s="2"/>
      <c r="Z174" s="6">
        <f t="shared" si="37"/>
        <v>9.4853519622057791E-2</v>
      </c>
    </row>
    <row r="175" spans="1:26" s="27" customFormat="1" outlineLevel="1" collapsed="1" x14ac:dyDescent="0.25">
      <c r="A175" s="28"/>
      <c r="B175" s="14" t="str">
        <f>CONCATENATE("     ","Depreciation                                      ")</f>
        <v xml:space="preserve">     Depreciation                                      </v>
      </c>
      <c r="C175" s="14"/>
      <c r="D175" s="1">
        <f>SUM(OSRRefD22_5x_0)</f>
        <v>29607.43</v>
      </c>
      <c r="E175" s="1"/>
      <c r="F175" s="5">
        <f t="shared" si="30"/>
        <v>1.0953521152225172E-2</v>
      </c>
      <c r="G175" s="1"/>
      <c r="H175" s="1">
        <f>SUM(OSRRefH22_5x_0)</f>
        <v>29330.07</v>
      </c>
      <c r="I175" s="1"/>
      <c r="J175" s="5">
        <f t="shared" si="31"/>
        <v>9.6748623319525308E-3</v>
      </c>
      <c r="K175" s="1"/>
      <c r="L175" s="1">
        <f t="shared" si="32"/>
        <v>277.36000000000058</v>
      </c>
      <c r="M175" s="1"/>
      <c r="N175" s="5">
        <f t="shared" si="33"/>
        <v>9.4565065818117914E-3</v>
      </c>
      <c r="O175" s="14"/>
      <c r="P175" s="1">
        <f>SUM(OSRRefP22_5x_0)</f>
        <v>59214.86</v>
      </c>
      <c r="Q175" s="1"/>
      <c r="R175" s="5">
        <f t="shared" si="34"/>
        <v>1.9383287760158557E-2</v>
      </c>
      <c r="S175" s="1"/>
      <c r="T175" s="1">
        <f>SUM(OSRRefT22_5x_0)</f>
        <v>58660.14</v>
      </c>
      <c r="U175" s="1"/>
      <c r="V175" s="5">
        <f t="shared" si="35"/>
        <v>1.7185577535643218E-2</v>
      </c>
      <c r="W175" s="1"/>
      <c r="X175" s="1">
        <f t="shared" si="36"/>
        <v>554.72000000000116</v>
      </c>
      <c r="Y175" s="1"/>
      <c r="Z175" s="5">
        <f t="shared" si="37"/>
        <v>9.4565065818117914E-3</v>
      </c>
    </row>
    <row r="176" spans="1:26" s="24" customFormat="1" hidden="1" outlineLevel="2" x14ac:dyDescent="0.25">
      <c r="A176" s="29"/>
      <c r="B176" s="11" t="str">
        <f>CONCATENATE("          ", "6321", " - ", "BUILDING DEPRECIATION")</f>
        <v xml:space="preserve">          6321 - BUILDING DEPRECIATION</v>
      </c>
      <c r="C176" s="11"/>
      <c r="D176" s="7">
        <v>16396.52</v>
      </c>
      <c r="E176" s="2"/>
      <c r="F176" s="6">
        <f t="shared" si="30"/>
        <v>6.0660323656218417E-3</v>
      </c>
      <c r="G176" s="2"/>
      <c r="H176" s="7">
        <v>16453.38</v>
      </c>
      <c r="I176" s="2"/>
      <c r="J176" s="6">
        <f t="shared" si="31"/>
        <v>5.427337418400336E-3</v>
      </c>
      <c r="K176" s="2"/>
      <c r="L176" s="7">
        <f t="shared" si="32"/>
        <v>-56.860000000000582</v>
      </c>
      <c r="M176" s="2"/>
      <c r="N176" s="6">
        <f t="shared" si="33"/>
        <v>-3.4558248821822978E-3</v>
      </c>
      <c r="O176" s="11"/>
      <c r="P176" s="7">
        <v>32793.040000000001</v>
      </c>
      <c r="Q176" s="2"/>
      <c r="R176" s="6">
        <f t="shared" si="34"/>
        <v>1.0734415834984495E-2</v>
      </c>
      <c r="S176" s="2"/>
      <c r="T176" s="7">
        <v>32906.76</v>
      </c>
      <c r="U176" s="2"/>
      <c r="V176" s="6">
        <f t="shared" si="35"/>
        <v>9.6406465348838725E-3</v>
      </c>
      <c r="W176" s="2"/>
      <c r="X176" s="7">
        <f t="shared" si="36"/>
        <v>-113.72000000000116</v>
      </c>
      <c r="Y176" s="2"/>
      <c r="Z176" s="6">
        <f t="shared" si="37"/>
        <v>-3.4558248821822978E-3</v>
      </c>
    </row>
    <row r="177" spans="1:26" s="24" customFormat="1" hidden="1" outlineLevel="2" x14ac:dyDescent="0.25">
      <c r="A177" s="29"/>
      <c r="B177" s="11" t="str">
        <f>CONCATENATE("          ", "6322", " - ", "EQUIPMENT DEPRECIATION EXPENSE")</f>
        <v xml:space="preserve">          6322 - EQUIPMENT DEPRECIATION EXPENSE</v>
      </c>
      <c r="C177" s="11"/>
      <c r="D177" s="7">
        <v>13210.91</v>
      </c>
      <c r="E177" s="2"/>
      <c r="F177" s="6">
        <f t="shared" si="30"/>
        <v>4.8874887866033308E-3</v>
      </c>
      <c r="G177" s="2"/>
      <c r="H177" s="7">
        <v>12876.69</v>
      </c>
      <c r="I177" s="2"/>
      <c r="J177" s="6">
        <f t="shared" si="31"/>
        <v>4.2475249135521947E-3</v>
      </c>
      <c r="K177" s="2"/>
      <c r="L177" s="7">
        <f t="shared" si="32"/>
        <v>334.21999999999935</v>
      </c>
      <c r="M177" s="2"/>
      <c r="N177" s="6">
        <f t="shared" si="33"/>
        <v>2.5955427986539967E-2</v>
      </c>
      <c r="O177" s="11"/>
      <c r="P177" s="7">
        <v>26421.82</v>
      </c>
      <c r="Q177" s="2"/>
      <c r="R177" s="6">
        <f t="shared" si="34"/>
        <v>8.648871925174063E-3</v>
      </c>
      <c r="S177" s="2"/>
      <c r="T177" s="7">
        <v>25753.38</v>
      </c>
      <c r="U177" s="2"/>
      <c r="V177" s="6">
        <f t="shared" si="35"/>
        <v>7.5449310007593461E-3</v>
      </c>
      <c r="W177" s="2"/>
      <c r="X177" s="7">
        <f t="shared" si="36"/>
        <v>668.43999999999869</v>
      </c>
      <c r="Y177" s="2"/>
      <c r="Z177" s="6">
        <f t="shared" si="37"/>
        <v>2.5955427986539967E-2</v>
      </c>
    </row>
    <row r="178" spans="1:26" s="27" customFormat="1" outlineLevel="1" collapsed="1" x14ac:dyDescent="0.25">
      <c r="A178" s="28"/>
      <c r="B178" s="14" t="str">
        <f>CONCATENATE("     ","Discounts and Markdowns                           ")</f>
        <v xml:space="preserve">     Discounts and Markdowns                           </v>
      </c>
      <c r="C178" s="14"/>
      <c r="D178" s="1">
        <f>SUM(OSRRefD22_6x_0)</f>
        <v>34594.36</v>
      </c>
      <c r="E178" s="1"/>
      <c r="F178" s="5">
        <f t="shared" ref="F178:F180" si="38">IF(D$12=0,0,D178/D$12)</f>
        <v>1.2798478422736874E-2</v>
      </c>
      <c r="G178" s="1"/>
      <c r="H178" s="1">
        <f>SUM(OSRRefH22_6x_0)</f>
        <v>39307.980000000003</v>
      </c>
      <c r="I178" s="1"/>
      <c r="J178" s="5">
        <f t="shared" ref="J178:J180" si="39">IF(H$12=0,0,H178/H$12)</f>
        <v>1.2966191183558151E-2</v>
      </c>
      <c r="K178" s="1"/>
      <c r="L178" s="1">
        <f t="shared" ref="L178:L180" si="40">+D178-H178</f>
        <v>-4713.6200000000026</v>
      </c>
      <c r="M178" s="1"/>
      <c r="N178" s="5">
        <f t="shared" ref="N178:N180" si="41">IF(H178=0,0,L178/H178)</f>
        <v>-0.1199150910324062</v>
      </c>
      <c r="O178" s="14"/>
      <c r="P178" s="1">
        <f>SUM(OSRRefP22_6x_0)</f>
        <v>59083.41</v>
      </c>
      <c r="Q178" s="1"/>
      <c r="R178" s="5">
        <f t="shared" ref="R178:R180" si="42">IF(P$12=0,0,P178/P$12)</f>
        <v>1.9340259149163399E-2</v>
      </c>
      <c r="S178" s="1"/>
      <c r="T178" s="1">
        <f>SUM(OSRRefT22_6x_0)</f>
        <v>58659.41</v>
      </c>
      <c r="U178" s="1"/>
      <c r="V178" s="5">
        <f t="shared" ref="V178:V180" si="43">IF(T$12=0,0,T178/T$12)</f>
        <v>1.7185363668584582E-2</v>
      </c>
      <c r="W178" s="1"/>
      <c r="X178" s="1">
        <f t="shared" ref="X178:X180" si="44">+P178-T178</f>
        <v>424</v>
      </c>
      <c r="Y178" s="1"/>
      <c r="Z178" s="5">
        <f t="shared" ref="Z178:Z180" si="45">IF(T178=0,0,X178/T178)</f>
        <v>7.2281668022232065E-3</v>
      </c>
    </row>
    <row r="179" spans="1:26" s="24" customFormat="1" hidden="1" outlineLevel="2" x14ac:dyDescent="0.25">
      <c r="A179" s="29"/>
      <c r="B179" s="11" t="str">
        <f>CONCATENATE("          ", "6382", " - ", "DISCOUNTS/MARK DOWNS")</f>
        <v xml:space="preserve">          6382 - DISCOUNTS/MARK DOWNS</v>
      </c>
      <c r="C179" s="11"/>
      <c r="D179" s="7">
        <v>35400.21</v>
      </c>
      <c r="E179" s="2"/>
      <c r="F179" s="6">
        <f t="shared" si="38"/>
        <v>1.3096609500662944E-2</v>
      </c>
      <c r="G179" s="2"/>
      <c r="H179" s="7">
        <v>39798.460000000006</v>
      </c>
      <c r="I179" s="2"/>
      <c r="J179" s="6">
        <f t="shared" si="39"/>
        <v>1.3127981676270106E-2</v>
      </c>
      <c r="K179" s="2"/>
      <c r="L179" s="7">
        <f t="shared" si="40"/>
        <v>-4398.2500000000073</v>
      </c>
      <c r="M179" s="2"/>
      <c r="N179" s="6">
        <f t="shared" si="41"/>
        <v>-0.11051307010371775</v>
      </c>
      <c r="O179" s="11"/>
      <c r="P179" s="7">
        <v>60332.97</v>
      </c>
      <c r="Q179" s="2"/>
      <c r="R179" s="6">
        <f t="shared" si="42"/>
        <v>1.9749287914131917E-2</v>
      </c>
      <c r="S179" s="2"/>
      <c r="T179" s="7">
        <v>60060.05</v>
      </c>
      <c r="U179" s="2"/>
      <c r="V179" s="6">
        <f t="shared" si="43"/>
        <v>1.7595707171336593E-2</v>
      </c>
      <c r="W179" s="2"/>
      <c r="X179" s="7">
        <f t="shared" si="44"/>
        <v>272.91999999999825</v>
      </c>
      <c r="Y179" s="2"/>
      <c r="Z179" s="6">
        <f t="shared" si="45"/>
        <v>4.5441187611398636E-3</v>
      </c>
    </row>
    <row r="180" spans="1:26" s="24" customFormat="1" hidden="1" outlineLevel="2" x14ac:dyDescent="0.25">
      <c r="A180" s="29"/>
      <c r="B180" s="11" t="str">
        <f>CONCATENATE("          ", "9175", " - ", "EARNED DISCOUNTS")</f>
        <v xml:space="preserve">          9175 - EARNED DISCOUNTS</v>
      </c>
      <c r="C180" s="11"/>
      <c r="D180" s="7">
        <v>-805.85</v>
      </c>
      <c r="E180" s="2"/>
      <c r="F180" s="6">
        <f t="shared" si="38"/>
        <v>-2.9813107792606971E-4</v>
      </c>
      <c r="G180" s="2"/>
      <c r="H180" s="7">
        <v>-490.48</v>
      </c>
      <c r="I180" s="2"/>
      <c r="J180" s="6">
        <f t="shared" si="39"/>
        <v>-1.6179049271195319E-4</v>
      </c>
      <c r="K180" s="2"/>
      <c r="L180" s="7">
        <f t="shared" si="40"/>
        <v>-315.37</v>
      </c>
      <c r="M180" s="2"/>
      <c r="N180" s="6">
        <f t="shared" si="41"/>
        <v>0.64298238460283808</v>
      </c>
      <c r="O180" s="11"/>
      <c r="P180" s="7">
        <v>-1249.56</v>
      </c>
      <c r="Q180" s="2"/>
      <c r="R180" s="6">
        <f t="shared" si="42"/>
        <v>-4.0902876496851846E-4</v>
      </c>
      <c r="S180" s="2"/>
      <c r="T180" s="7">
        <v>-1400.64</v>
      </c>
      <c r="U180" s="2"/>
      <c r="V180" s="6">
        <f t="shared" si="43"/>
        <v>-4.1034350275201046E-4</v>
      </c>
      <c r="W180" s="2"/>
      <c r="X180" s="7">
        <f t="shared" si="44"/>
        <v>151.08000000000015</v>
      </c>
      <c r="Y180" s="2"/>
      <c r="Z180" s="6">
        <f t="shared" si="45"/>
        <v>-0.10786497601096652</v>
      </c>
    </row>
    <row r="181" spans="1:26" s="27" customFormat="1" outlineLevel="1" collapsed="1" x14ac:dyDescent="0.25">
      <c r="A181" s="28"/>
      <c r="B181" s="14" t="str">
        <f>CONCATENATE("     ","Donations                                         ")</f>
        <v xml:space="preserve">     Donations                                         </v>
      </c>
      <c r="C181" s="14"/>
      <c r="D181" s="1">
        <f>SUM(OSRRefD22_7x_0)</f>
        <v>2691.56</v>
      </c>
      <c r="E181" s="1"/>
      <c r="F181" s="5">
        <f t="shared" ref="F181:F189" si="46">IF(D$12=0,0,D181/D$12)</f>
        <v>9.9576556940211228E-4</v>
      </c>
      <c r="G181" s="1"/>
      <c r="H181" s="1">
        <f>SUM(OSRRefH22_7x_0)</f>
        <v>859.6</v>
      </c>
      <c r="I181" s="1"/>
      <c r="J181" s="5">
        <f t="shared" ref="J181:J189" si="47">IF(H$12=0,0,H181/H$12)</f>
        <v>2.8354898779806508E-4</v>
      </c>
      <c r="K181" s="1"/>
      <c r="L181" s="1">
        <f t="shared" ref="L181:L189" si="48">+D181-H181</f>
        <v>1831.96</v>
      </c>
      <c r="M181" s="1"/>
      <c r="N181" s="5">
        <f t="shared" ref="N181:N189" si="49">IF(H181=0,0,L181/H181)</f>
        <v>2.1311772917636111</v>
      </c>
      <c r="O181" s="14"/>
      <c r="P181" s="1">
        <f>SUM(OSRRefP22_7x_0)</f>
        <v>3616.98</v>
      </c>
      <c r="Q181" s="1"/>
      <c r="R181" s="5">
        <f t="shared" ref="R181:R189" si="50">IF(P$12=0,0,P181/P$12)</f>
        <v>1.1839758493516375E-3</v>
      </c>
      <c r="S181" s="1"/>
      <c r="T181" s="1">
        <f>SUM(OSRRefT22_7x_0)</f>
        <v>2295.81</v>
      </c>
      <c r="U181" s="1"/>
      <c r="V181" s="5">
        <f t="shared" ref="V181:V189" si="51">IF(T$12=0,0,T181/T$12)</f>
        <v>6.7260018066961748E-4</v>
      </c>
      <c r="W181" s="1"/>
      <c r="X181" s="1">
        <f t="shared" ref="X181:X189" si="52">+P181-T181</f>
        <v>1321.17</v>
      </c>
      <c r="Y181" s="1"/>
      <c r="Z181" s="5">
        <f t="shared" ref="Z181:Z189" si="53">IF(T181=0,0,X181/T181)</f>
        <v>0.57547009552184203</v>
      </c>
    </row>
    <row r="182" spans="1:26" s="24" customFormat="1" hidden="1" outlineLevel="2" x14ac:dyDescent="0.25">
      <c r="A182" s="29"/>
      <c r="B182" s="11" t="str">
        <f>CONCATENATE("          ", "6399", " - ", "DONATION-ON CAMPUS")</f>
        <v xml:space="preserve">          6399 - DONATION-ON CAMPUS</v>
      </c>
      <c r="C182" s="11"/>
      <c r="D182" s="7">
        <v>2691.56</v>
      </c>
      <c r="E182" s="2"/>
      <c r="F182" s="6">
        <f t="shared" si="46"/>
        <v>9.9576556940211228E-4</v>
      </c>
      <c r="G182" s="2"/>
      <c r="H182" s="7">
        <v>859.6</v>
      </c>
      <c r="I182" s="2"/>
      <c r="J182" s="6">
        <f t="shared" si="47"/>
        <v>2.8354898779806508E-4</v>
      </c>
      <c r="K182" s="2"/>
      <c r="L182" s="7">
        <f t="shared" si="48"/>
        <v>1831.96</v>
      </c>
      <c r="M182" s="2"/>
      <c r="N182" s="6">
        <f t="shared" si="49"/>
        <v>2.1311772917636111</v>
      </c>
      <c r="O182" s="11"/>
      <c r="P182" s="7">
        <v>3616.98</v>
      </c>
      <c r="Q182" s="2"/>
      <c r="R182" s="6">
        <f t="shared" si="50"/>
        <v>1.1839758493516375E-3</v>
      </c>
      <c r="S182" s="2"/>
      <c r="T182" s="7">
        <v>2295.81</v>
      </c>
      <c r="U182" s="2"/>
      <c r="V182" s="6">
        <f t="shared" si="51"/>
        <v>6.7260018066961748E-4</v>
      </c>
      <c r="W182" s="2"/>
      <c r="X182" s="7">
        <f t="shared" si="52"/>
        <v>1321.17</v>
      </c>
      <c r="Y182" s="2"/>
      <c r="Z182" s="6">
        <f t="shared" si="53"/>
        <v>0.57547009552184203</v>
      </c>
    </row>
    <row r="183" spans="1:26" s="27" customFormat="1" outlineLevel="1" collapsed="1" x14ac:dyDescent="0.25">
      <c r="A183" s="28"/>
      <c r="B183" s="14" t="str">
        <f>CONCATENATE("     ","Employees' Appreciation                           ")</f>
        <v xml:space="preserve">     Employees' Appreciation                           </v>
      </c>
      <c r="C183" s="14"/>
      <c r="D183" s="1">
        <f>SUM(OSRRefD22_8x_0)</f>
        <v>57.33</v>
      </c>
      <c r="E183" s="1"/>
      <c r="F183" s="5">
        <f t="shared" si="46"/>
        <v>2.1209722277721136E-5</v>
      </c>
      <c r="G183" s="1"/>
      <c r="H183" s="1">
        <f>SUM(OSRRefH22_8x_0)</f>
        <v>507.83</v>
      </c>
      <c r="I183" s="1"/>
      <c r="J183" s="5">
        <f t="shared" si="47"/>
        <v>1.6751359059270752E-4</v>
      </c>
      <c r="K183" s="1"/>
      <c r="L183" s="1">
        <f t="shared" si="48"/>
        <v>-450.5</v>
      </c>
      <c r="M183" s="1"/>
      <c r="N183" s="5">
        <f t="shared" si="49"/>
        <v>-0.88710789043577576</v>
      </c>
      <c r="O183" s="14"/>
      <c r="P183" s="1">
        <f>SUM(OSRRefP22_8x_0)</f>
        <v>450.87</v>
      </c>
      <c r="Q183" s="1"/>
      <c r="R183" s="5">
        <f t="shared" si="50"/>
        <v>1.4758699002957515E-4</v>
      </c>
      <c r="S183" s="1"/>
      <c r="T183" s="1">
        <f>SUM(OSRRefT22_8x_0)</f>
        <v>738.74</v>
      </c>
      <c r="U183" s="1"/>
      <c r="V183" s="5">
        <f t="shared" si="51"/>
        <v>2.1642760396891434E-4</v>
      </c>
      <c r="W183" s="1"/>
      <c r="X183" s="1">
        <f t="shared" si="52"/>
        <v>-287.87</v>
      </c>
      <c r="Y183" s="1"/>
      <c r="Z183" s="5">
        <f t="shared" si="53"/>
        <v>-0.38967701762460405</v>
      </c>
    </row>
    <row r="184" spans="1:26" s="24" customFormat="1" hidden="1" outlineLevel="2" x14ac:dyDescent="0.25">
      <c r="A184" s="29"/>
      <c r="B184" s="11" t="str">
        <f>CONCATENATE("          ", "6277", " - ", "EMPLOYEE APPRECIATION")</f>
        <v xml:space="preserve">          6277 - EMPLOYEE APPRECIATION</v>
      </c>
      <c r="C184" s="11"/>
      <c r="D184" s="7">
        <v>57.33</v>
      </c>
      <c r="E184" s="2"/>
      <c r="F184" s="6">
        <f t="shared" si="46"/>
        <v>2.1209722277721136E-5</v>
      </c>
      <c r="G184" s="2"/>
      <c r="H184" s="7">
        <v>507.83</v>
      </c>
      <c r="I184" s="2"/>
      <c r="J184" s="6">
        <f t="shared" si="47"/>
        <v>1.6751359059270752E-4</v>
      </c>
      <c r="K184" s="2"/>
      <c r="L184" s="7">
        <f t="shared" si="48"/>
        <v>-450.5</v>
      </c>
      <c r="M184" s="2"/>
      <c r="N184" s="6">
        <f t="shared" si="49"/>
        <v>-0.88710789043577576</v>
      </c>
      <c r="O184" s="11"/>
      <c r="P184" s="7">
        <v>450.87</v>
      </c>
      <c r="Q184" s="2"/>
      <c r="R184" s="6">
        <f t="shared" si="50"/>
        <v>1.4758699002957515E-4</v>
      </c>
      <c r="S184" s="2"/>
      <c r="T184" s="7">
        <v>738.74</v>
      </c>
      <c r="U184" s="2"/>
      <c r="V184" s="6">
        <f t="shared" si="51"/>
        <v>2.1642760396891434E-4</v>
      </c>
      <c r="W184" s="2"/>
      <c r="X184" s="7">
        <f t="shared" si="52"/>
        <v>-287.87</v>
      </c>
      <c r="Y184" s="2"/>
      <c r="Z184" s="6">
        <f t="shared" si="53"/>
        <v>-0.38967701762460405</v>
      </c>
    </row>
    <row r="185" spans="1:26" s="27" customFormat="1" outlineLevel="1" collapsed="1" x14ac:dyDescent="0.25">
      <c r="A185" s="28"/>
      <c r="B185" s="14" t="str">
        <f>CONCATENATE("     ","Equipment Rental                                  ")</f>
        <v xml:space="preserve">     Equipment Rental                                  </v>
      </c>
      <c r="C185" s="14"/>
      <c r="D185" s="1">
        <f>SUM(OSRRefD22_9x_0)</f>
        <v>1296.9000000000001</v>
      </c>
      <c r="E185" s="1"/>
      <c r="F185" s="5">
        <f t="shared" si="46"/>
        <v>4.797992119654028E-4</v>
      </c>
      <c r="G185" s="1"/>
      <c r="H185" s="1">
        <f>SUM(OSRRefH22_9x_0)</f>
        <v>3400.41</v>
      </c>
      <c r="I185" s="1"/>
      <c r="J185" s="5">
        <f t="shared" si="47"/>
        <v>1.121664510933479E-3</v>
      </c>
      <c r="K185" s="1"/>
      <c r="L185" s="1">
        <f t="shared" si="48"/>
        <v>-2103.5099999999998</v>
      </c>
      <c r="M185" s="1"/>
      <c r="N185" s="5">
        <f t="shared" si="49"/>
        <v>-0.61860481530168421</v>
      </c>
      <c r="O185" s="14"/>
      <c r="P185" s="1">
        <f>SUM(OSRRefP22_9x_0)</f>
        <v>2593.8000000000002</v>
      </c>
      <c r="Q185" s="1"/>
      <c r="R185" s="5">
        <f t="shared" si="50"/>
        <v>8.4904991403001318E-4</v>
      </c>
      <c r="S185" s="1"/>
      <c r="T185" s="1">
        <f>SUM(OSRRefT22_9x_0)</f>
        <v>6802.1</v>
      </c>
      <c r="U185" s="1"/>
      <c r="V185" s="5">
        <f t="shared" si="51"/>
        <v>1.9928015336342316E-3</v>
      </c>
      <c r="W185" s="1"/>
      <c r="X185" s="1">
        <f t="shared" si="52"/>
        <v>-4208.3</v>
      </c>
      <c r="Y185" s="1"/>
      <c r="Z185" s="5">
        <f t="shared" si="53"/>
        <v>-0.61867658517222623</v>
      </c>
    </row>
    <row r="186" spans="1:26" s="24" customFormat="1" hidden="1" outlineLevel="2" x14ac:dyDescent="0.25">
      <c r="A186" s="29"/>
      <c r="B186" s="11" t="str">
        <f>CONCATENATE("          ", "6351", " - ", "EQUIPMENT RENTAL")</f>
        <v xml:space="preserve">          6351 - EQUIPMENT RENTAL</v>
      </c>
      <c r="C186" s="11"/>
      <c r="D186" s="7">
        <v>1296.9000000000001</v>
      </c>
      <c r="E186" s="2"/>
      <c r="F186" s="6">
        <f t="shared" si="46"/>
        <v>4.797992119654028E-4</v>
      </c>
      <c r="G186" s="2"/>
      <c r="H186" s="7">
        <v>3400.41</v>
      </c>
      <c r="I186" s="2"/>
      <c r="J186" s="6">
        <f t="shared" si="47"/>
        <v>1.121664510933479E-3</v>
      </c>
      <c r="K186" s="2"/>
      <c r="L186" s="7">
        <f t="shared" si="48"/>
        <v>-2103.5099999999998</v>
      </c>
      <c r="M186" s="2"/>
      <c r="N186" s="6">
        <f t="shared" si="49"/>
        <v>-0.61860481530168421</v>
      </c>
      <c r="O186" s="11"/>
      <c r="P186" s="7">
        <v>2593.8000000000002</v>
      </c>
      <c r="Q186" s="2"/>
      <c r="R186" s="6">
        <f t="shared" si="50"/>
        <v>8.4904991403001318E-4</v>
      </c>
      <c r="S186" s="2"/>
      <c r="T186" s="7">
        <v>6802.1</v>
      </c>
      <c r="U186" s="2"/>
      <c r="V186" s="6">
        <f t="shared" si="51"/>
        <v>1.9928015336342316E-3</v>
      </c>
      <c r="W186" s="2"/>
      <c r="X186" s="7">
        <f t="shared" si="52"/>
        <v>-4208.3</v>
      </c>
      <c r="Y186" s="2"/>
      <c r="Z186" s="6">
        <f t="shared" si="53"/>
        <v>-0.61867658517222623</v>
      </c>
    </row>
    <row r="187" spans="1:26" s="27" customFormat="1" outlineLevel="1" collapsed="1" x14ac:dyDescent="0.25">
      <c r="A187" s="28"/>
      <c r="B187" s="14" t="str">
        <f>CONCATENATE("     ","Freight out/Postage                               ")</f>
        <v xml:space="preserve">     Freight out/Postage                               </v>
      </c>
      <c r="C187" s="14"/>
      <c r="D187" s="1">
        <f>SUM(OSRRefD22_10x_0)</f>
        <v>-12904.009999999998</v>
      </c>
      <c r="E187" s="1"/>
      <c r="F187" s="5">
        <f t="shared" si="46"/>
        <v>-4.7739485150695322E-3</v>
      </c>
      <c r="G187" s="1"/>
      <c r="H187" s="1">
        <f>SUM(OSRRefH22_10x_0)</f>
        <v>-8586.6500000000015</v>
      </c>
      <c r="I187" s="1"/>
      <c r="J187" s="5">
        <f t="shared" si="47"/>
        <v>-2.8324056724944812E-3</v>
      </c>
      <c r="K187" s="1"/>
      <c r="L187" s="1">
        <f t="shared" si="48"/>
        <v>-4317.3599999999969</v>
      </c>
      <c r="M187" s="1"/>
      <c r="N187" s="5">
        <f t="shared" si="49"/>
        <v>0.50279911257591681</v>
      </c>
      <c r="O187" s="14"/>
      <c r="P187" s="1">
        <f>SUM(OSRRefP22_10x_0)</f>
        <v>-15135.839999999998</v>
      </c>
      <c r="Q187" s="1"/>
      <c r="R187" s="5">
        <f t="shared" si="50"/>
        <v>-4.9545391513501555E-3</v>
      </c>
      <c r="S187" s="1"/>
      <c r="T187" s="1">
        <f>SUM(OSRRefT22_10x_0)</f>
        <v>-8603</v>
      </c>
      <c r="U187" s="1"/>
      <c r="V187" s="5">
        <f t="shared" si="51"/>
        <v>-2.5204086376053418E-3</v>
      </c>
      <c r="W187" s="1"/>
      <c r="X187" s="1">
        <f t="shared" si="52"/>
        <v>-6532.8399999999983</v>
      </c>
      <c r="Y187" s="1"/>
      <c r="Z187" s="5">
        <f t="shared" si="53"/>
        <v>0.75936766244333354</v>
      </c>
    </row>
    <row r="188" spans="1:26" s="24" customFormat="1" hidden="1" outlineLevel="2" x14ac:dyDescent="0.25">
      <c r="A188" s="29"/>
      <c r="B188" s="11" t="str">
        <f>CONCATENATE("          ", "6305", " - ", "FREIGHT OUT")</f>
        <v xml:space="preserve">          6305 - FREIGHT OUT</v>
      </c>
      <c r="C188" s="11"/>
      <c r="D188" s="7">
        <v>2860.04</v>
      </c>
      <c r="E188" s="2"/>
      <c r="F188" s="6">
        <f t="shared" si="46"/>
        <v>1.0580961818101092E-3</v>
      </c>
      <c r="G188" s="2"/>
      <c r="H188" s="7">
        <v>3045.39</v>
      </c>
      <c r="I188" s="2"/>
      <c r="J188" s="6">
        <f t="shared" si="47"/>
        <v>1.0045570636928215E-3</v>
      </c>
      <c r="K188" s="2"/>
      <c r="L188" s="7">
        <f t="shared" si="48"/>
        <v>-185.34999999999991</v>
      </c>
      <c r="M188" s="2"/>
      <c r="N188" s="6">
        <f t="shared" si="49"/>
        <v>-6.0862483951152367E-2</v>
      </c>
      <c r="O188" s="11"/>
      <c r="P188" s="7">
        <v>4277.76</v>
      </c>
      <c r="Q188" s="2"/>
      <c r="R188" s="6">
        <f t="shared" si="50"/>
        <v>1.4002744082971044E-3</v>
      </c>
      <c r="S188" s="2"/>
      <c r="T188" s="7">
        <v>5555.94</v>
      </c>
      <c r="U188" s="2"/>
      <c r="V188" s="6">
        <f t="shared" si="51"/>
        <v>1.6277158161126376E-3</v>
      </c>
      <c r="W188" s="2"/>
      <c r="X188" s="7">
        <f t="shared" si="52"/>
        <v>-1278.1799999999994</v>
      </c>
      <c r="Y188" s="2"/>
      <c r="Z188" s="6">
        <f t="shared" si="53"/>
        <v>-0.23005648009157756</v>
      </c>
    </row>
    <row r="189" spans="1:26" s="24" customFormat="1" hidden="1" outlineLevel="2" x14ac:dyDescent="0.25">
      <c r="A189" s="29"/>
      <c r="B189" s="11" t="str">
        <f>CONCATENATE("          ", "6307", " - ", "POSTAGE")</f>
        <v xml:space="preserve">          6307 - POSTAGE</v>
      </c>
      <c r="C189" s="11"/>
      <c r="D189" s="7">
        <v>-15764.049999999997</v>
      </c>
      <c r="E189" s="2"/>
      <c r="F189" s="6">
        <f t="shared" si="46"/>
        <v>-5.8320446968796414E-3</v>
      </c>
      <c r="G189" s="2"/>
      <c r="H189" s="7">
        <v>-11632.04</v>
      </c>
      <c r="I189" s="2"/>
      <c r="J189" s="6">
        <f t="shared" si="47"/>
        <v>-3.8369627361873027E-3</v>
      </c>
      <c r="K189" s="2"/>
      <c r="L189" s="7">
        <f t="shared" si="48"/>
        <v>-4132.0099999999966</v>
      </c>
      <c r="M189" s="2"/>
      <c r="N189" s="6">
        <f t="shared" si="49"/>
        <v>0.35522659825791486</v>
      </c>
      <c r="O189" s="11"/>
      <c r="P189" s="7">
        <v>-19413.599999999999</v>
      </c>
      <c r="Q189" s="2"/>
      <c r="R189" s="6">
        <f t="shared" si="50"/>
        <v>-6.3548135596472599E-3</v>
      </c>
      <c r="S189" s="2"/>
      <c r="T189" s="7">
        <v>-14158.94</v>
      </c>
      <c r="U189" s="2"/>
      <c r="V189" s="6">
        <f t="shared" si="51"/>
        <v>-4.1481244537179794E-3</v>
      </c>
      <c r="W189" s="2"/>
      <c r="X189" s="7">
        <f t="shared" si="52"/>
        <v>-5254.659999999998</v>
      </c>
      <c r="Y189" s="2"/>
      <c r="Z189" s="6">
        <f t="shared" si="53"/>
        <v>0.37111958946079282</v>
      </c>
    </row>
    <row r="190" spans="1:26" s="27" customFormat="1" outlineLevel="1" collapsed="1" x14ac:dyDescent="0.25">
      <c r="A190" s="28"/>
      <c r="B190" s="14" t="str">
        <f>CONCATENATE("     ","General                                           ")</f>
        <v xml:space="preserve">     General                                           </v>
      </c>
      <c r="C190" s="14"/>
      <c r="D190" s="1">
        <f>SUM(OSRRefD22_11x_0)</f>
        <v>-15111.76</v>
      </c>
      <c r="E190" s="1"/>
      <c r="F190" s="5">
        <f t="shared" ref="F190:F203" si="54">IF(D$12=0,0,D190/D$12)</f>
        <v>-5.590724450158297E-3</v>
      </c>
      <c r="G190" s="1"/>
      <c r="H190" s="1">
        <f>SUM(OSRRefH22_11x_0)</f>
        <v>84.56</v>
      </c>
      <c r="I190" s="1"/>
      <c r="J190" s="5">
        <f t="shared" ref="J190:J203" si="55">IF(H$12=0,0,H190/H$12)</f>
        <v>2.7893092610754286E-5</v>
      </c>
      <c r="K190" s="1"/>
      <c r="L190" s="1">
        <f t="shared" ref="L190:L203" si="56">+D190-H190</f>
        <v>-15196.32</v>
      </c>
      <c r="M190" s="1"/>
      <c r="N190" s="5">
        <f t="shared" ref="N190:N203" si="57">IF(H190=0,0,L190/H190)</f>
        <v>-179.71050141911067</v>
      </c>
      <c r="O190" s="14"/>
      <c r="P190" s="1">
        <f>SUM(OSRRefP22_11x_0)</f>
        <v>-14335.58</v>
      </c>
      <c r="Q190" s="1"/>
      <c r="R190" s="5">
        <f t="shared" ref="R190:R203" si="58">IF(P$12=0,0,P190/P$12)</f>
        <v>-4.6925834553822104E-3</v>
      </c>
      <c r="S190" s="1"/>
      <c r="T190" s="1">
        <f>SUM(OSRRefT22_11x_0)</f>
        <v>-375.62</v>
      </c>
      <c r="U190" s="1"/>
      <c r="V190" s="5">
        <f t="shared" ref="V190:V203" si="59">IF(T$12=0,0,T190/T$12)</f>
        <v>-1.1004485556867586E-4</v>
      </c>
      <c r="W190" s="1"/>
      <c r="X190" s="1">
        <f t="shared" ref="X190:X203" si="60">+P190-T190</f>
        <v>-13959.96</v>
      </c>
      <c r="Y190" s="1"/>
      <c r="Z190" s="5">
        <f t="shared" ref="Z190:Z203" si="61">IF(T190=0,0,X190/T190)</f>
        <v>37.165113678717852</v>
      </c>
    </row>
    <row r="191" spans="1:26" s="24" customFormat="1" hidden="1" outlineLevel="2" x14ac:dyDescent="0.25">
      <c r="A191" s="29"/>
      <c r="B191" s="11" t="str">
        <f>CONCATENATE("          ", "6279", " - ", "GENERAL EXPENSE")</f>
        <v xml:space="preserve">          6279 - GENERAL EXPENSE</v>
      </c>
      <c r="C191" s="11"/>
      <c r="D191" s="7">
        <v>-15111.76</v>
      </c>
      <c r="E191" s="2"/>
      <c r="F191" s="6">
        <f t="shared" si="54"/>
        <v>-5.590724450158297E-3</v>
      </c>
      <c r="G191" s="2"/>
      <c r="H191" s="7">
        <v>84.56</v>
      </c>
      <c r="I191" s="2"/>
      <c r="J191" s="6">
        <f t="shared" si="55"/>
        <v>2.7893092610754286E-5</v>
      </c>
      <c r="K191" s="2"/>
      <c r="L191" s="7">
        <f t="shared" si="56"/>
        <v>-15196.32</v>
      </c>
      <c r="M191" s="2"/>
      <c r="N191" s="6">
        <f t="shared" si="57"/>
        <v>-179.71050141911067</v>
      </c>
      <c r="O191" s="11"/>
      <c r="P191" s="7">
        <v>-14335.58</v>
      </c>
      <c r="Q191" s="2"/>
      <c r="R191" s="6">
        <f t="shared" si="58"/>
        <v>-4.6925834553822104E-3</v>
      </c>
      <c r="S191" s="2"/>
      <c r="T191" s="7">
        <v>-375.62</v>
      </c>
      <c r="U191" s="2"/>
      <c r="V191" s="6">
        <f t="shared" si="59"/>
        <v>-1.1004485556867586E-4</v>
      </c>
      <c r="W191" s="2"/>
      <c r="X191" s="7">
        <f t="shared" si="60"/>
        <v>-13959.96</v>
      </c>
      <c r="Y191" s="2"/>
      <c r="Z191" s="6">
        <f t="shared" si="61"/>
        <v>37.165113678717852</v>
      </c>
    </row>
    <row r="192" spans="1:26" s="27" customFormat="1" outlineLevel="1" collapsed="1" x14ac:dyDescent="0.25">
      <c r="A192" s="28"/>
      <c r="B192" s="14" t="str">
        <f>CONCATENATE("     ","Insurance                                         ")</f>
        <v xml:space="preserve">     Insurance                                         </v>
      </c>
      <c r="C192" s="14"/>
      <c r="D192" s="1">
        <f>SUM(OSRRefD22_12x_0)</f>
        <v>4044.74</v>
      </c>
      <c r="E192" s="1"/>
      <c r="F192" s="5">
        <f t="shared" si="54"/>
        <v>1.4963860471932633E-3</v>
      </c>
      <c r="G192" s="1"/>
      <c r="H192" s="1">
        <f>SUM(OSRRefH22_12x_0)</f>
        <v>3809.97</v>
      </c>
      <c r="I192" s="1"/>
      <c r="J192" s="5">
        <f t="shared" si="55"/>
        <v>1.2567626070742136E-3</v>
      </c>
      <c r="K192" s="1"/>
      <c r="L192" s="1">
        <f t="shared" si="56"/>
        <v>234.76999999999998</v>
      </c>
      <c r="M192" s="1"/>
      <c r="N192" s="5">
        <f t="shared" si="57"/>
        <v>6.1619907768302638E-2</v>
      </c>
      <c r="O192" s="14"/>
      <c r="P192" s="1">
        <f>SUM(OSRRefP22_12x_0)</f>
        <v>8089.48</v>
      </c>
      <c r="Q192" s="1"/>
      <c r="R192" s="5">
        <f t="shared" si="58"/>
        <v>2.6479961055391743E-3</v>
      </c>
      <c r="S192" s="1"/>
      <c r="T192" s="1">
        <f>SUM(OSRRefT22_12x_0)</f>
        <v>7619.94</v>
      </c>
      <c r="U192" s="1"/>
      <c r="V192" s="5">
        <f t="shared" si="59"/>
        <v>2.2324029517650176E-3</v>
      </c>
      <c r="W192" s="1"/>
      <c r="X192" s="1">
        <f t="shared" si="60"/>
        <v>469.53999999999996</v>
      </c>
      <c r="Y192" s="1"/>
      <c r="Z192" s="5">
        <f t="shared" si="61"/>
        <v>6.1619907768302638E-2</v>
      </c>
    </row>
    <row r="193" spans="1:26" s="24" customFormat="1" hidden="1" outlineLevel="2" x14ac:dyDescent="0.25">
      <c r="A193" s="29"/>
      <c r="B193" s="11" t="str">
        <f>CONCATENATE("          ", "6314", " - ", "LIABILITY INSURANCE")</f>
        <v xml:space="preserve">          6314 - LIABILITY INSURANCE</v>
      </c>
      <c r="C193" s="11"/>
      <c r="D193" s="7">
        <v>4044.74</v>
      </c>
      <c r="E193" s="2"/>
      <c r="F193" s="6">
        <f t="shared" si="54"/>
        <v>1.4963860471932633E-3</v>
      </c>
      <c r="G193" s="2"/>
      <c r="H193" s="7">
        <v>3809.97</v>
      </c>
      <c r="I193" s="2"/>
      <c r="J193" s="6">
        <f t="shared" si="55"/>
        <v>1.2567626070742136E-3</v>
      </c>
      <c r="K193" s="2"/>
      <c r="L193" s="7">
        <f t="shared" si="56"/>
        <v>234.76999999999998</v>
      </c>
      <c r="M193" s="2"/>
      <c r="N193" s="6">
        <f t="shared" si="57"/>
        <v>6.1619907768302638E-2</v>
      </c>
      <c r="O193" s="11"/>
      <c r="P193" s="7">
        <v>8089.48</v>
      </c>
      <c r="Q193" s="2"/>
      <c r="R193" s="6">
        <f t="shared" si="58"/>
        <v>2.6479961055391743E-3</v>
      </c>
      <c r="S193" s="2"/>
      <c r="T193" s="7">
        <v>7619.94</v>
      </c>
      <c r="U193" s="2"/>
      <c r="V193" s="6">
        <f t="shared" si="59"/>
        <v>2.2324029517650176E-3</v>
      </c>
      <c r="W193" s="2"/>
      <c r="X193" s="7">
        <f t="shared" si="60"/>
        <v>469.53999999999996</v>
      </c>
      <c r="Y193" s="2"/>
      <c r="Z193" s="6">
        <f t="shared" si="61"/>
        <v>6.1619907768302638E-2</v>
      </c>
    </row>
    <row r="194" spans="1:26" s="27" customFormat="1" outlineLevel="1" collapsed="1" x14ac:dyDescent="0.25">
      <c r="A194" s="28"/>
      <c r="B194" s="14" t="str">
        <f>CONCATENATE("     ","Inventory Adjustment                              ")</f>
        <v xml:space="preserve">     Inventory Adjustment                              </v>
      </c>
      <c r="C194" s="14"/>
      <c r="D194" s="1">
        <f>SUM(OSRRefD22_13x_0)</f>
        <v>4250</v>
      </c>
      <c r="E194" s="1"/>
      <c r="F194" s="5">
        <f t="shared" si="54"/>
        <v>1.5723237341760828E-3</v>
      </c>
      <c r="G194" s="1"/>
      <c r="H194" s="1">
        <f>SUM(OSRRefH22_13x_0)</f>
        <v>8750</v>
      </c>
      <c r="I194" s="1"/>
      <c r="J194" s="5">
        <f t="shared" si="55"/>
        <v>2.8862885565763955E-3</v>
      </c>
      <c r="K194" s="1"/>
      <c r="L194" s="1">
        <f t="shared" si="56"/>
        <v>-4500</v>
      </c>
      <c r="M194" s="1"/>
      <c r="N194" s="5">
        <f t="shared" si="57"/>
        <v>-0.51428571428571423</v>
      </c>
      <c r="O194" s="14"/>
      <c r="P194" s="1">
        <f>SUM(OSRRefP22_13x_0)</f>
        <v>8400</v>
      </c>
      <c r="Q194" s="1"/>
      <c r="R194" s="5">
        <f t="shared" si="58"/>
        <v>2.7496411742817914E-3</v>
      </c>
      <c r="S194" s="1"/>
      <c r="T194" s="1">
        <f>SUM(OSRRefT22_13x_0)</f>
        <v>17500</v>
      </c>
      <c r="U194" s="1"/>
      <c r="V194" s="5">
        <f t="shared" si="59"/>
        <v>5.1269500358123304E-3</v>
      </c>
      <c r="W194" s="1"/>
      <c r="X194" s="1">
        <f t="shared" si="60"/>
        <v>-9100</v>
      </c>
      <c r="Y194" s="1"/>
      <c r="Z194" s="5">
        <f t="shared" si="61"/>
        <v>-0.52</v>
      </c>
    </row>
    <row r="195" spans="1:26" s="24" customFormat="1" hidden="1" outlineLevel="2" x14ac:dyDescent="0.25">
      <c r="A195" s="29"/>
      <c r="B195" s="11" t="str">
        <f>CONCATENATE("          ", "6408", " - ", "INVENTORY ADJUSTMENT")</f>
        <v xml:space="preserve">          6408 - INVENTORY ADJUSTMENT</v>
      </c>
      <c r="C195" s="11"/>
      <c r="D195" s="7">
        <v>4250</v>
      </c>
      <c r="E195" s="2"/>
      <c r="F195" s="6">
        <f t="shared" si="54"/>
        <v>1.5723237341760828E-3</v>
      </c>
      <c r="G195" s="2"/>
      <c r="H195" s="7">
        <v>8750</v>
      </c>
      <c r="I195" s="2"/>
      <c r="J195" s="6">
        <f t="shared" si="55"/>
        <v>2.8862885565763955E-3</v>
      </c>
      <c r="K195" s="2"/>
      <c r="L195" s="7">
        <f t="shared" si="56"/>
        <v>-4500</v>
      </c>
      <c r="M195" s="2"/>
      <c r="N195" s="6">
        <f t="shared" si="57"/>
        <v>-0.51428571428571423</v>
      </c>
      <c r="O195" s="11"/>
      <c r="P195" s="7">
        <v>8400</v>
      </c>
      <c r="Q195" s="2"/>
      <c r="R195" s="6">
        <f t="shared" si="58"/>
        <v>2.7496411742817914E-3</v>
      </c>
      <c r="S195" s="2"/>
      <c r="T195" s="7">
        <v>17500</v>
      </c>
      <c r="U195" s="2"/>
      <c r="V195" s="6">
        <f t="shared" si="59"/>
        <v>5.1269500358123304E-3</v>
      </c>
      <c r="W195" s="2"/>
      <c r="X195" s="7">
        <f t="shared" si="60"/>
        <v>-9100</v>
      </c>
      <c r="Y195" s="2"/>
      <c r="Z195" s="6">
        <f t="shared" si="61"/>
        <v>-0.52</v>
      </c>
    </row>
    <row r="196" spans="1:26" s="27" customFormat="1" outlineLevel="1" collapsed="1" x14ac:dyDescent="0.25">
      <c r="A196" s="28"/>
      <c r="B196" s="14" t="str">
        <f>CONCATENATE("     ","Professional Services                             ")</f>
        <v xml:space="preserve">     Professional Services                             </v>
      </c>
      <c r="C196" s="14"/>
      <c r="D196" s="1">
        <f>SUM(OSRRefD22_14x_0)</f>
        <v>0</v>
      </c>
      <c r="E196" s="1"/>
      <c r="F196" s="5">
        <f t="shared" si="54"/>
        <v>0</v>
      </c>
      <c r="G196" s="1"/>
      <c r="H196" s="1">
        <f>SUM(OSRRefH22_14x_0)</f>
        <v>0</v>
      </c>
      <c r="I196" s="1"/>
      <c r="J196" s="5">
        <f t="shared" si="55"/>
        <v>0</v>
      </c>
      <c r="K196" s="1"/>
      <c r="L196" s="1">
        <f t="shared" si="56"/>
        <v>0</v>
      </c>
      <c r="M196" s="1"/>
      <c r="N196" s="5">
        <f t="shared" si="57"/>
        <v>0</v>
      </c>
      <c r="O196" s="14"/>
      <c r="P196" s="1">
        <f>SUM(OSRRefP22_14x_0)</f>
        <v>6158.41</v>
      </c>
      <c r="Q196" s="1"/>
      <c r="R196" s="5">
        <f t="shared" si="58"/>
        <v>2.0158830600129438E-3</v>
      </c>
      <c r="S196" s="1"/>
      <c r="T196" s="1">
        <f>SUM(OSRRefT22_14x_0)</f>
        <v>8276.43</v>
      </c>
      <c r="U196" s="1"/>
      <c r="V196" s="5">
        <f t="shared" si="59"/>
        <v>2.424733890565614E-3</v>
      </c>
      <c r="W196" s="1"/>
      <c r="X196" s="1">
        <f t="shared" si="60"/>
        <v>-2118.0200000000004</v>
      </c>
      <c r="Y196" s="1"/>
      <c r="Z196" s="5">
        <f t="shared" si="61"/>
        <v>-0.25590985485287743</v>
      </c>
    </row>
    <row r="197" spans="1:26" s="24" customFormat="1" hidden="1" outlineLevel="2" x14ac:dyDescent="0.25">
      <c r="A197" s="29"/>
      <c r="B197" s="11" t="str">
        <f>CONCATENATE("          ", "6336", " - ", "PROFESSIONAL SERVICES")</f>
        <v xml:space="preserve">          6336 - PROFESSIONAL SERVICES</v>
      </c>
      <c r="C197" s="11"/>
      <c r="D197" s="7"/>
      <c r="E197" s="2"/>
      <c r="F197" s="6">
        <f t="shared" si="54"/>
        <v>0</v>
      </c>
      <c r="G197" s="2"/>
      <c r="H197" s="7"/>
      <c r="I197" s="2"/>
      <c r="J197" s="6">
        <f t="shared" si="55"/>
        <v>0</v>
      </c>
      <c r="K197" s="2"/>
      <c r="L197" s="7">
        <f t="shared" si="56"/>
        <v>0</v>
      </c>
      <c r="M197" s="2"/>
      <c r="N197" s="6">
        <f t="shared" si="57"/>
        <v>0</v>
      </c>
      <c r="O197" s="11"/>
      <c r="P197" s="7">
        <v>6158.41</v>
      </c>
      <c r="Q197" s="2"/>
      <c r="R197" s="6">
        <f t="shared" si="58"/>
        <v>2.0158830600129438E-3</v>
      </c>
      <c r="S197" s="2"/>
      <c r="T197" s="7">
        <v>8276.43</v>
      </c>
      <c r="U197" s="2"/>
      <c r="V197" s="6">
        <f t="shared" si="59"/>
        <v>2.424733890565614E-3</v>
      </c>
      <c r="W197" s="2"/>
      <c r="X197" s="7">
        <f t="shared" si="60"/>
        <v>-2118.0200000000004</v>
      </c>
      <c r="Y197" s="2"/>
      <c r="Z197" s="6">
        <f t="shared" si="61"/>
        <v>-0.25590985485287743</v>
      </c>
    </row>
    <row r="198" spans="1:26" s="27" customFormat="1" outlineLevel="1" collapsed="1" x14ac:dyDescent="0.25">
      <c r="A198" s="28"/>
      <c r="B198" s="14" t="str">
        <f>CONCATENATE("     ","Rent                                              ")</f>
        <v xml:space="preserve">     Rent                                              </v>
      </c>
      <c r="C198" s="14"/>
      <c r="D198" s="1">
        <f>SUM(OSRRefD22_15x_0)</f>
        <v>6100</v>
      </c>
      <c r="E198" s="1"/>
      <c r="F198" s="5">
        <f t="shared" si="54"/>
        <v>2.2567470066997895E-3</v>
      </c>
      <c r="G198" s="1"/>
      <c r="H198" s="1">
        <f>SUM(OSRRefH22_15x_0)</f>
        <v>6900</v>
      </c>
      <c r="I198" s="1"/>
      <c r="J198" s="5">
        <f t="shared" si="55"/>
        <v>2.2760446903288146E-3</v>
      </c>
      <c r="K198" s="1"/>
      <c r="L198" s="1">
        <f t="shared" si="56"/>
        <v>-800</v>
      </c>
      <c r="M198" s="1"/>
      <c r="N198" s="5">
        <f t="shared" si="57"/>
        <v>-0.11594202898550725</v>
      </c>
      <c r="O198" s="14"/>
      <c r="P198" s="1">
        <f>SUM(OSRRefP22_15x_0)</f>
        <v>12200</v>
      </c>
      <c r="Q198" s="1"/>
      <c r="R198" s="5">
        <f t="shared" si="58"/>
        <v>3.9935264674092683E-3</v>
      </c>
      <c r="S198" s="1"/>
      <c r="T198" s="1">
        <f>SUM(OSRRefT22_15x_0)</f>
        <v>13101.08</v>
      </c>
      <c r="U198" s="1"/>
      <c r="V198" s="5">
        <f t="shared" si="59"/>
        <v>3.8382047185817258E-3</v>
      </c>
      <c r="W198" s="1"/>
      <c r="X198" s="1">
        <f t="shared" si="60"/>
        <v>-901.07999999999993</v>
      </c>
      <c r="Y198" s="1"/>
      <c r="Z198" s="5">
        <f t="shared" si="61"/>
        <v>-6.8779062489504675E-2</v>
      </c>
    </row>
    <row r="199" spans="1:26" s="24" customFormat="1" hidden="1" outlineLevel="2" x14ac:dyDescent="0.25">
      <c r="A199" s="29"/>
      <c r="B199" s="11" t="str">
        <f>CONCATENATE("          ", "6273", " - ", "RENT")</f>
        <v xml:space="preserve">          6273 - RENT</v>
      </c>
      <c r="C199" s="11"/>
      <c r="D199" s="7">
        <v>6100</v>
      </c>
      <c r="E199" s="2"/>
      <c r="F199" s="6">
        <f t="shared" si="54"/>
        <v>2.2567470066997895E-3</v>
      </c>
      <c r="G199" s="2"/>
      <c r="H199" s="7">
        <v>6900</v>
      </c>
      <c r="I199" s="2"/>
      <c r="J199" s="6">
        <f t="shared" si="55"/>
        <v>2.2760446903288146E-3</v>
      </c>
      <c r="K199" s="2"/>
      <c r="L199" s="7">
        <f t="shared" si="56"/>
        <v>-800</v>
      </c>
      <c r="M199" s="2"/>
      <c r="N199" s="6">
        <f t="shared" si="57"/>
        <v>-0.11594202898550725</v>
      </c>
      <c r="O199" s="11"/>
      <c r="P199" s="7">
        <v>12200</v>
      </c>
      <c r="Q199" s="2"/>
      <c r="R199" s="6">
        <f t="shared" si="58"/>
        <v>3.9935264674092683E-3</v>
      </c>
      <c r="S199" s="2"/>
      <c r="T199" s="7">
        <v>13101.08</v>
      </c>
      <c r="U199" s="2"/>
      <c r="V199" s="6">
        <f t="shared" si="59"/>
        <v>3.8382047185817258E-3</v>
      </c>
      <c r="W199" s="2"/>
      <c r="X199" s="7">
        <f t="shared" si="60"/>
        <v>-901.07999999999993</v>
      </c>
      <c r="Y199" s="2"/>
      <c r="Z199" s="6">
        <f t="shared" si="61"/>
        <v>-6.8779062489504675E-2</v>
      </c>
    </row>
    <row r="200" spans="1:26" s="27" customFormat="1" outlineLevel="1" collapsed="1" x14ac:dyDescent="0.25">
      <c r="A200" s="28"/>
      <c r="B200" s="14" t="str">
        <f>CONCATENATE("     ","Repair and Maintenance                            ")</f>
        <v xml:space="preserve">     Repair and Maintenance                            </v>
      </c>
      <c r="C200" s="14"/>
      <c r="D200" s="1">
        <f>SUM(OSRRefD22_16x_0)</f>
        <v>14932.49</v>
      </c>
      <c r="E200" s="1"/>
      <c r="F200" s="5">
        <f t="shared" si="54"/>
        <v>5.5244019852581207E-3</v>
      </c>
      <c r="G200" s="1"/>
      <c r="H200" s="1">
        <f>SUM(OSRRefH22_16x_0)</f>
        <v>17879.88</v>
      </c>
      <c r="I200" s="1"/>
      <c r="J200" s="5">
        <f t="shared" si="55"/>
        <v>5.897884918509619E-3</v>
      </c>
      <c r="K200" s="1"/>
      <c r="L200" s="1">
        <f t="shared" si="56"/>
        <v>-2947.3900000000012</v>
      </c>
      <c r="M200" s="1"/>
      <c r="N200" s="5">
        <f t="shared" si="57"/>
        <v>-0.16484394749852913</v>
      </c>
      <c r="O200" s="14"/>
      <c r="P200" s="1">
        <f>SUM(OSRRefP22_16x_0)</f>
        <v>37677.800000000003</v>
      </c>
      <c r="Q200" s="1"/>
      <c r="R200" s="5">
        <f t="shared" si="58"/>
        <v>1.2333384551946963E-2</v>
      </c>
      <c r="S200" s="1"/>
      <c r="T200" s="1">
        <f>SUM(OSRRefT22_16x_0)</f>
        <v>75335.95</v>
      </c>
      <c r="U200" s="1"/>
      <c r="V200" s="5">
        <f t="shared" si="59"/>
        <v>2.2071065802883195E-2</v>
      </c>
      <c r="W200" s="1"/>
      <c r="X200" s="1">
        <f t="shared" si="60"/>
        <v>-37658.149999999994</v>
      </c>
      <c r="Y200" s="1"/>
      <c r="Z200" s="5">
        <f t="shared" si="61"/>
        <v>-0.49986958417594779</v>
      </c>
    </row>
    <row r="201" spans="1:26" s="24" customFormat="1" hidden="1" outlineLevel="2" x14ac:dyDescent="0.25">
      <c r="A201" s="29"/>
      <c r="B201" s="11" t="str">
        <f>CONCATENATE("          ", "6371", " - ", "COMPUTER SOFTWARE MAINTENANCE")</f>
        <v xml:space="preserve">          6371 - COMPUTER SOFTWARE MAINTENANCE</v>
      </c>
      <c r="C201" s="11"/>
      <c r="D201" s="7">
        <v>7887.25</v>
      </c>
      <c r="E201" s="2"/>
      <c r="F201" s="6">
        <f t="shared" si="54"/>
        <v>2.9179553817365433E-3</v>
      </c>
      <c r="G201" s="2"/>
      <c r="H201" s="7">
        <v>1832.8</v>
      </c>
      <c r="I201" s="2"/>
      <c r="J201" s="6">
        <f t="shared" si="55"/>
        <v>6.0457024759922489E-4</v>
      </c>
      <c r="K201" s="2"/>
      <c r="L201" s="7">
        <f t="shared" si="56"/>
        <v>6054.45</v>
      </c>
      <c r="M201" s="2"/>
      <c r="N201" s="6">
        <f t="shared" si="57"/>
        <v>3.3033882584024443</v>
      </c>
      <c r="O201" s="11"/>
      <c r="P201" s="7">
        <v>8488.25</v>
      </c>
      <c r="Q201" s="2"/>
      <c r="R201" s="6">
        <f t="shared" si="58"/>
        <v>2.7785287735235019E-3</v>
      </c>
      <c r="S201" s="2"/>
      <c r="T201" s="7">
        <v>44163.38</v>
      </c>
      <c r="U201" s="2"/>
      <c r="V201" s="6">
        <f t="shared" si="59"/>
        <v>1.2938482438433917E-2</v>
      </c>
      <c r="W201" s="2"/>
      <c r="X201" s="7">
        <f t="shared" si="60"/>
        <v>-35675.129999999997</v>
      </c>
      <c r="Y201" s="2"/>
      <c r="Z201" s="6">
        <f t="shared" si="61"/>
        <v>-0.80779890488454464</v>
      </c>
    </row>
    <row r="202" spans="1:26" s="24" customFormat="1" hidden="1" outlineLevel="2" x14ac:dyDescent="0.25">
      <c r="A202" s="29"/>
      <c r="B202" s="11" t="str">
        <f>CONCATENATE("          ", "6373", " - ", "MAINTENANCE CONTRACTS")</f>
        <v xml:space="preserve">          6373 - MAINTENANCE CONTRACTS</v>
      </c>
      <c r="C202" s="11"/>
      <c r="D202" s="7">
        <v>5896.58</v>
      </c>
      <c r="E202" s="2"/>
      <c r="F202" s="6">
        <f t="shared" si="54"/>
        <v>2.1814900434042367E-3</v>
      </c>
      <c r="G202" s="2"/>
      <c r="H202" s="7">
        <v>10968.79</v>
      </c>
      <c r="I202" s="2"/>
      <c r="J202" s="6">
        <f t="shared" si="55"/>
        <v>3.6181820635988117E-3</v>
      </c>
      <c r="K202" s="2"/>
      <c r="L202" s="7">
        <f t="shared" si="56"/>
        <v>-5072.2100000000009</v>
      </c>
      <c r="M202" s="2"/>
      <c r="N202" s="6">
        <f t="shared" si="57"/>
        <v>-0.46242201737839822</v>
      </c>
      <c r="O202" s="11"/>
      <c r="P202" s="7">
        <v>12375.44</v>
      </c>
      <c r="Q202" s="2"/>
      <c r="R202" s="6">
        <f t="shared" si="58"/>
        <v>4.0509546873635539E-3</v>
      </c>
      <c r="S202" s="2"/>
      <c r="T202" s="7">
        <v>21090.73</v>
      </c>
      <c r="U202" s="2"/>
      <c r="V202" s="6">
        <f t="shared" si="59"/>
        <v>6.1789210816461824E-3</v>
      </c>
      <c r="W202" s="2"/>
      <c r="X202" s="7">
        <f t="shared" si="60"/>
        <v>-8715.2899999999991</v>
      </c>
      <c r="Y202" s="2"/>
      <c r="Z202" s="6">
        <f t="shared" si="61"/>
        <v>-0.41322846577619643</v>
      </c>
    </row>
    <row r="203" spans="1:26" s="24" customFormat="1" hidden="1" outlineLevel="2" x14ac:dyDescent="0.25">
      <c r="A203" s="29"/>
      <c r="B203" s="11" t="str">
        <f>CONCATENATE("          ", "6375", " - ", "OUTSIDE REPAIRS &amp; MAINTENANCE")</f>
        <v xml:space="preserve">          6375 - OUTSIDE REPAIRS &amp; MAINTENANCE</v>
      </c>
      <c r="C203" s="11"/>
      <c r="D203" s="7">
        <v>1148.6600000000001</v>
      </c>
      <c r="E203" s="2"/>
      <c r="F203" s="6">
        <f t="shared" si="54"/>
        <v>4.2495656011734106E-4</v>
      </c>
      <c r="G203" s="2"/>
      <c r="H203" s="7">
        <v>5078.29</v>
      </c>
      <c r="I203" s="2"/>
      <c r="J203" s="6">
        <f t="shared" si="55"/>
        <v>1.6751326073115821E-3</v>
      </c>
      <c r="K203" s="2"/>
      <c r="L203" s="7">
        <f t="shared" si="56"/>
        <v>-3929.63</v>
      </c>
      <c r="M203" s="2"/>
      <c r="N203" s="6">
        <f t="shared" si="57"/>
        <v>-0.77380968790675608</v>
      </c>
      <c r="O203" s="11"/>
      <c r="P203" s="7">
        <v>16814.11</v>
      </c>
      <c r="Q203" s="2"/>
      <c r="R203" s="6">
        <f t="shared" si="58"/>
        <v>5.5039010910599064E-3</v>
      </c>
      <c r="S203" s="2"/>
      <c r="T203" s="7">
        <v>10081.84</v>
      </c>
      <c r="U203" s="2"/>
      <c r="V203" s="6">
        <f t="shared" si="59"/>
        <v>2.9536622828030962E-3</v>
      </c>
      <c r="W203" s="2"/>
      <c r="X203" s="7">
        <f t="shared" si="60"/>
        <v>6732.27</v>
      </c>
      <c r="Y203" s="2"/>
      <c r="Z203" s="6">
        <f t="shared" si="61"/>
        <v>0.66776203550145607</v>
      </c>
    </row>
    <row r="204" spans="1:26" s="27" customFormat="1" outlineLevel="1" collapsed="1" x14ac:dyDescent="0.25">
      <c r="A204" s="28"/>
      <c r="B204" s="14" t="str">
        <f>CONCATENATE("     ","Royalty &amp; Commissions                             ")</f>
        <v xml:space="preserve">     Royalty &amp; Commissions                             </v>
      </c>
      <c r="C204" s="14"/>
      <c r="D204" s="1">
        <f>SUM(OSRRefD22_17x_0)</f>
        <v>3785.57</v>
      </c>
      <c r="E204" s="1"/>
      <c r="F204" s="5">
        <f t="shared" ref="F204:F207" si="62">IF(D$12=0,0,D204/D$12)</f>
        <v>1.4005038960905774E-3</v>
      </c>
      <c r="G204" s="1"/>
      <c r="H204" s="1">
        <f>SUM(OSRRefH22_17x_0)</f>
        <v>3974.3799999999997</v>
      </c>
      <c r="I204" s="1"/>
      <c r="J204" s="5">
        <f t="shared" ref="J204:J207" si="63">IF(H$12=0,0,H204/H$12)</f>
        <v>1.3109951443984107E-3</v>
      </c>
      <c r="K204" s="1"/>
      <c r="L204" s="1">
        <f t="shared" ref="L204:L207" si="64">+D204-H204</f>
        <v>-188.80999999999949</v>
      </c>
      <c r="M204" s="1"/>
      <c r="N204" s="5">
        <f t="shared" ref="N204:N207" si="65">IF(H204=0,0,L204/H204)</f>
        <v>-4.7506780931868497E-2</v>
      </c>
      <c r="O204" s="14"/>
      <c r="P204" s="1">
        <f>SUM(OSRRefP22_17x_0)</f>
        <v>8871.619999999999</v>
      </c>
      <c r="Q204" s="1"/>
      <c r="R204" s="5">
        <f t="shared" ref="R204:R207" si="66">IF(P$12=0,0,P204/P$12)</f>
        <v>2.9040204326883125E-3</v>
      </c>
      <c r="S204" s="1"/>
      <c r="T204" s="1">
        <f>SUM(OSRRefT22_17x_0)</f>
        <v>11311.61</v>
      </c>
      <c r="U204" s="1"/>
      <c r="V204" s="5">
        <f t="shared" ref="V204:V207" si="67">IF(T$12=0,0,T204/T$12)</f>
        <v>3.3139462454054355E-3</v>
      </c>
      <c r="W204" s="1"/>
      <c r="X204" s="1">
        <f t="shared" ref="X204:X207" si="68">+P204-T204</f>
        <v>-2439.9900000000016</v>
      </c>
      <c r="Y204" s="1"/>
      <c r="Z204" s="5">
        <f t="shared" ref="Z204:Z207" si="69">IF(T204=0,0,X204/T204)</f>
        <v>-0.2157066942725219</v>
      </c>
    </row>
    <row r="205" spans="1:26" s="24" customFormat="1" hidden="1" outlineLevel="2" x14ac:dyDescent="0.25">
      <c r="A205" s="29"/>
      <c r="B205" s="11" t="str">
        <f>CONCATENATE("          ", "6253", " - ", "ROYALTY DUE ATHLETICS-LRG")</f>
        <v xml:space="preserve">          6253 - ROYALTY DUE ATHLETICS-LRG</v>
      </c>
      <c r="C205" s="11"/>
      <c r="D205" s="7"/>
      <c r="E205" s="2"/>
      <c r="F205" s="6">
        <f t="shared" si="62"/>
        <v>0</v>
      </c>
      <c r="G205" s="2"/>
      <c r="H205" s="7"/>
      <c r="I205" s="2"/>
      <c r="J205" s="6">
        <f t="shared" si="63"/>
        <v>0</v>
      </c>
      <c r="K205" s="2"/>
      <c r="L205" s="7">
        <f t="shared" si="64"/>
        <v>0</v>
      </c>
      <c r="M205" s="2"/>
      <c r="N205" s="6">
        <f t="shared" si="65"/>
        <v>0</v>
      </c>
      <c r="O205" s="11"/>
      <c r="P205" s="7">
        <v>4366.95</v>
      </c>
      <c r="Q205" s="2"/>
      <c r="R205" s="6">
        <f t="shared" si="66"/>
        <v>1.4294697054797463E-3</v>
      </c>
      <c r="S205" s="2"/>
      <c r="T205" s="7">
        <v>6645.39</v>
      </c>
      <c r="U205" s="2"/>
      <c r="V205" s="6">
        <f t="shared" si="67"/>
        <v>1.946890428484966E-3</v>
      </c>
      <c r="W205" s="2"/>
      <c r="X205" s="7">
        <f t="shared" si="68"/>
        <v>-2278.4400000000005</v>
      </c>
      <c r="Y205" s="2"/>
      <c r="Z205" s="6">
        <f t="shared" si="69"/>
        <v>-0.34286023845101649</v>
      </c>
    </row>
    <row r="206" spans="1:26" s="24" customFormat="1" hidden="1" outlineLevel="2" x14ac:dyDescent="0.25">
      <c r="A206" s="29"/>
      <c r="B206" s="11" t="str">
        <f>CONCATENATE("          ", "6254", " - ", "ROYALTY &amp; COMMISSIONS")</f>
        <v xml:space="preserve">          6254 - ROYALTY &amp; COMMISSIONS</v>
      </c>
      <c r="C206" s="11"/>
      <c r="D206" s="7">
        <v>136.4</v>
      </c>
      <c r="E206" s="2"/>
      <c r="F206" s="6">
        <f t="shared" si="62"/>
        <v>5.0462342903910045E-5</v>
      </c>
      <c r="G206" s="2"/>
      <c r="H206" s="7">
        <v>269.14</v>
      </c>
      <c r="I206" s="2"/>
      <c r="J206" s="6">
        <f t="shared" si="63"/>
        <v>8.8778937384796693E-5</v>
      </c>
      <c r="K206" s="2"/>
      <c r="L206" s="7">
        <f t="shared" si="64"/>
        <v>-132.73999999999998</v>
      </c>
      <c r="M206" s="2"/>
      <c r="N206" s="6">
        <f t="shared" si="65"/>
        <v>-0.49320056476183394</v>
      </c>
      <c r="O206" s="11"/>
      <c r="P206" s="7">
        <v>250.49</v>
      </c>
      <c r="Q206" s="2"/>
      <c r="R206" s="6">
        <f t="shared" si="66"/>
        <v>8.1994954493553086E-5</v>
      </c>
      <c r="S206" s="2"/>
      <c r="T206" s="7">
        <v>269.14</v>
      </c>
      <c r="U206" s="2"/>
      <c r="V206" s="6">
        <f t="shared" si="67"/>
        <v>7.8849561865058891E-5</v>
      </c>
      <c r="W206" s="2"/>
      <c r="X206" s="7">
        <f t="shared" si="68"/>
        <v>-18.649999999999977</v>
      </c>
      <c r="Y206" s="2"/>
      <c r="Z206" s="6">
        <f t="shared" si="69"/>
        <v>-6.9294790815189036E-2</v>
      </c>
    </row>
    <row r="207" spans="1:26" s="24" customFormat="1" hidden="1" outlineLevel="2" x14ac:dyDescent="0.25">
      <c r="A207" s="29"/>
      <c r="B207" s="11" t="str">
        <f>CONCATENATE("          ", "6259", " - ", "ROYALTY &amp; COMMISSIONS")</f>
        <v xml:space="preserve">          6259 - ROYALTY &amp; COMMISSIONS</v>
      </c>
      <c r="C207" s="11"/>
      <c r="D207" s="7">
        <v>3649.17</v>
      </c>
      <c r="E207" s="2"/>
      <c r="F207" s="6">
        <f t="shared" si="62"/>
        <v>1.3500415531866674E-3</v>
      </c>
      <c r="G207" s="2"/>
      <c r="H207" s="7">
        <v>3705.24</v>
      </c>
      <c r="I207" s="2"/>
      <c r="J207" s="6">
        <f t="shared" si="63"/>
        <v>1.2222162070136141E-3</v>
      </c>
      <c r="K207" s="2"/>
      <c r="L207" s="7">
        <f t="shared" si="64"/>
        <v>-56.069999999999709</v>
      </c>
      <c r="M207" s="2"/>
      <c r="N207" s="6">
        <f t="shared" si="65"/>
        <v>-1.5132622987984507E-2</v>
      </c>
      <c r="O207" s="11"/>
      <c r="P207" s="7">
        <v>4254.18</v>
      </c>
      <c r="Q207" s="2"/>
      <c r="R207" s="6">
        <f t="shared" si="66"/>
        <v>1.3925557727150135E-3</v>
      </c>
      <c r="S207" s="2"/>
      <c r="T207" s="7">
        <v>4397.08</v>
      </c>
      <c r="U207" s="2"/>
      <c r="V207" s="6">
        <f t="shared" si="67"/>
        <v>1.2882062550554102E-3</v>
      </c>
      <c r="W207" s="2"/>
      <c r="X207" s="7">
        <f t="shared" si="68"/>
        <v>-142.89999999999964</v>
      </c>
      <c r="Y207" s="2"/>
      <c r="Z207" s="6">
        <f t="shared" si="69"/>
        <v>-3.2498840139365132E-2</v>
      </c>
    </row>
    <row r="208" spans="1:26" s="27" customFormat="1" outlineLevel="1" collapsed="1" x14ac:dyDescent="0.25">
      <c r="A208" s="28"/>
      <c r="B208" s="14" t="str">
        <f>CONCATENATE("     ","Services                                          ")</f>
        <v xml:space="preserve">     Services                                          </v>
      </c>
      <c r="C208" s="14"/>
      <c r="D208" s="1">
        <f>SUM(OSRRefD22_18x_0)</f>
        <v>4676.59</v>
      </c>
      <c r="E208" s="1"/>
      <c r="F208" s="5">
        <f t="shared" ref="F208:F212" si="70">IF(D$12=0,0,D208/D$12)</f>
        <v>1.7301443416495358E-3</v>
      </c>
      <c r="G208" s="1"/>
      <c r="H208" s="1">
        <f>SUM(OSRRefH22_18x_0)</f>
        <v>4286.17</v>
      </c>
      <c r="I208" s="1"/>
      <c r="J208" s="5">
        <f t="shared" ref="J208:J212" si="71">IF(H$12=0,0,H208/H$12)</f>
        <v>1.4138426768618342E-3</v>
      </c>
      <c r="K208" s="1"/>
      <c r="L208" s="1">
        <f t="shared" ref="L208:L212" si="72">+D208-H208</f>
        <v>390.42000000000007</v>
      </c>
      <c r="M208" s="1"/>
      <c r="N208" s="5">
        <f t="shared" ref="N208:N212" si="73">IF(H208=0,0,L208/H208)</f>
        <v>9.108831427591535E-2</v>
      </c>
      <c r="O208" s="14"/>
      <c r="P208" s="1">
        <f>SUM(OSRRefP22_18x_0)</f>
        <v>9305.67</v>
      </c>
      <c r="Q208" s="1"/>
      <c r="R208" s="5">
        <f t="shared" ref="R208:R212" si="74">IF(P$12=0,0,P208/P$12)</f>
        <v>3.0461015936046236E-3</v>
      </c>
      <c r="S208" s="1"/>
      <c r="T208" s="1">
        <f>SUM(OSRRefT22_18x_0)</f>
        <v>8697.9499999999989</v>
      </c>
      <c r="U208" s="1"/>
      <c r="V208" s="5">
        <f t="shared" ref="V208:V212" si="75">IF(T$12=0,0,T208/T$12)</f>
        <v>2.5482260036567917E-3</v>
      </c>
      <c r="W208" s="1"/>
      <c r="X208" s="1">
        <f t="shared" ref="X208:X212" si="76">+P208-T208</f>
        <v>607.72000000000116</v>
      </c>
      <c r="Y208" s="1"/>
      <c r="Z208" s="5">
        <f t="shared" ref="Z208:Z212" si="77">IF(T208=0,0,X208/T208)</f>
        <v>6.9869337027690576E-2</v>
      </c>
    </row>
    <row r="209" spans="1:26" s="24" customFormat="1" hidden="1" outlineLevel="2" x14ac:dyDescent="0.25">
      <c r="A209" s="29"/>
      <c r="B209" s="11" t="str">
        <f>CONCATENATE("          ", "6282", " - ", "JANITORIAL/EXTERMINATOR EXPENS")</f>
        <v xml:space="preserve">          6282 - JANITORIAL/EXTERMINATOR EXPENS</v>
      </c>
      <c r="C209" s="11"/>
      <c r="D209" s="7">
        <v>266.5</v>
      </c>
      <c r="E209" s="2"/>
      <c r="F209" s="6">
        <f t="shared" si="70"/>
        <v>9.8593947095982609E-5</v>
      </c>
      <c r="G209" s="2"/>
      <c r="H209" s="7">
        <v>194.5</v>
      </c>
      <c r="I209" s="2"/>
      <c r="J209" s="6">
        <f t="shared" si="71"/>
        <v>6.4158071343326732E-5</v>
      </c>
      <c r="K209" s="2"/>
      <c r="L209" s="7">
        <f t="shared" si="72"/>
        <v>72</v>
      </c>
      <c r="M209" s="2"/>
      <c r="N209" s="6">
        <f t="shared" si="73"/>
        <v>0.37017994858611825</v>
      </c>
      <c r="O209" s="11"/>
      <c r="P209" s="7">
        <v>533</v>
      </c>
      <c r="Q209" s="2"/>
      <c r="R209" s="6">
        <f t="shared" si="74"/>
        <v>1.7447127927288034E-4</v>
      </c>
      <c r="S209" s="2"/>
      <c r="T209" s="7">
        <v>430.5</v>
      </c>
      <c r="U209" s="2"/>
      <c r="V209" s="6">
        <f t="shared" si="75"/>
        <v>1.2612297088098333E-4</v>
      </c>
      <c r="W209" s="2"/>
      <c r="X209" s="7">
        <f t="shared" si="76"/>
        <v>102.5</v>
      </c>
      <c r="Y209" s="2"/>
      <c r="Z209" s="6">
        <f t="shared" si="77"/>
        <v>0.23809523809523808</v>
      </c>
    </row>
    <row r="210" spans="1:26" s="24" customFormat="1" hidden="1" outlineLevel="2" x14ac:dyDescent="0.25">
      <c r="A210" s="29"/>
      <c r="B210" s="11" t="str">
        <f>CONCATENATE("          ", "6283", " - ", "PLANT SERVICE")</f>
        <v xml:space="preserve">          6283 - PLANT SERVICE</v>
      </c>
      <c r="C210" s="11"/>
      <c r="D210" s="7">
        <v>180.66</v>
      </c>
      <c r="E210" s="2"/>
      <c r="F210" s="6">
        <f t="shared" si="70"/>
        <v>6.683670725088261E-5</v>
      </c>
      <c r="G210" s="2"/>
      <c r="H210" s="7">
        <v>173</v>
      </c>
      <c r="I210" s="2"/>
      <c r="J210" s="6">
        <f t="shared" si="71"/>
        <v>5.7066048032881877E-5</v>
      </c>
      <c r="K210" s="2"/>
      <c r="L210" s="7">
        <f t="shared" si="72"/>
        <v>7.6599999999999966</v>
      </c>
      <c r="M210" s="2"/>
      <c r="N210" s="6">
        <f t="shared" si="73"/>
        <v>4.4277456647398822E-2</v>
      </c>
      <c r="O210" s="11"/>
      <c r="P210" s="7">
        <v>361.32</v>
      </c>
      <c r="Q210" s="2"/>
      <c r="R210" s="6">
        <f t="shared" si="74"/>
        <v>1.1827385108232106E-4</v>
      </c>
      <c r="S210" s="2"/>
      <c r="T210" s="7">
        <v>346</v>
      </c>
      <c r="U210" s="2"/>
      <c r="V210" s="6">
        <f t="shared" si="75"/>
        <v>1.0136712642234665E-4</v>
      </c>
      <c r="W210" s="2"/>
      <c r="X210" s="7">
        <f t="shared" si="76"/>
        <v>15.319999999999993</v>
      </c>
      <c r="Y210" s="2"/>
      <c r="Z210" s="6">
        <f t="shared" si="77"/>
        <v>4.4277456647398822E-2</v>
      </c>
    </row>
    <row r="211" spans="1:26" s="24" customFormat="1" hidden="1" outlineLevel="2" x14ac:dyDescent="0.25">
      <c r="A211" s="29"/>
      <c r="B211" s="11" t="str">
        <f>CONCATENATE("          ", "6284", " - ", "TRASH REMOVAL EXPENSE")</f>
        <v xml:space="preserve">          6284 - TRASH REMOVAL EXPENSE</v>
      </c>
      <c r="C211" s="11"/>
      <c r="D211" s="7">
        <v>134.82</v>
      </c>
      <c r="E211" s="2"/>
      <c r="F211" s="6">
        <f t="shared" si="70"/>
        <v>4.9877808433322229E-5</v>
      </c>
      <c r="G211" s="2"/>
      <c r="H211" s="7">
        <v>121.46</v>
      </c>
      <c r="I211" s="2"/>
      <c r="J211" s="6">
        <f t="shared" si="71"/>
        <v>4.0064983780773595E-5</v>
      </c>
      <c r="K211" s="2"/>
      <c r="L211" s="7">
        <f t="shared" si="72"/>
        <v>13.36</v>
      </c>
      <c r="M211" s="2"/>
      <c r="N211" s="6">
        <f t="shared" si="73"/>
        <v>0.10999506010209123</v>
      </c>
      <c r="O211" s="11"/>
      <c r="P211" s="7">
        <v>269.64</v>
      </c>
      <c r="Q211" s="2"/>
      <c r="R211" s="6">
        <f t="shared" si="74"/>
        <v>8.8263481694445499E-5</v>
      </c>
      <c r="S211" s="2"/>
      <c r="T211" s="7">
        <v>242.92</v>
      </c>
      <c r="U211" s="2"/>
      <c r="V211" s="6">
        <f t="shared" si="75"/>
        <v>7.1167925868544638E-5</v>
      </c>
      <c r="W211" s="2"/>
      <c r="X211" s="7">
        <f t="shared" si="76"/>
        <v>26.72</v>
      </c>
      <c r="Y211" s="2"/>
      <c r="Z211" s="6">
        <f t="shared" si="77"/>
        <v>0.10999506010209123</v>
      </c>
    </row>
    <row r="212" spans="1:26" s="24" customFormat="1" hidden="1" outlineLevel="2" x14ac:dyDescent="0.25">
      <c r="A212" s="29"/>
      <c r="B212" s="11" t="str">
        <f>CONCATENATE("          ", "6285", " - ", "JANITORIAL SERVICES")</f>
        <v xml:space="preserve">          6285 - JANITORIAL SERVICES</v>
      </c>
      <c r="C212" s="11"/>
      <c r="D212" s="7">
        <v>4094.61</v>
      </c>
      <c r="E212" s="2"/>
      <c r="F212" s="6">
        <f t="shared" si="70"/>
        <v>1.5148358788693484E-3</v>
      </c>
      <c r="G212" s="2"/>
      <c r="H212" s="7">
        <v>3797.21</v>
      </c>
      <c r="I212" s="2"/>
      <c r="J212" s="6">
        <f t="shared" si="71"/>
        <v>1.2525535737048521E-3</v>
      </c>
      <c r="K212" s="2"/>
      <c r="L212" s="7">
        <f t="shared" si="72"/>
        <v>297.40000000000009</v>
      </c>
      <c r="M212" s="2"/>
      <c r="N212" s="6">
        <f t="shared" si="73"/>
        <v>7.8320661749021012E-2</v>
      </c>
      <c r="O212" s="11"/>
      <c r="P212" s="7">
        <v>8141.71</v>
      </c>
      <c r="Q212" s="2"/>
      <c r="R212" s="6">
        <f t="shared" si="74"/>
        <v>2.6650929815549766E-3</v>
      </c>
      <c r="S212" s="2"/>
      <c r="T212" s="7">
        <v>7678.53</v>
      </c>
      <c r="U212" s="2"/>
      <c r="V212" s="6">
        <f t="shared" si="75"/>
        <v>2.2495679804849173E-3</v>
      </c>
      <c r="W212" s="2"/>
      <c r="X212" s="7">
        <f t="shared" si="76"/>
        <v>463.18000000000029</v>
      </c>
      <c r="Y212" s="2"/>
      <c r="Z212" s="6">
        <f t="shared" si="77"/>
        <v>6.0321441734290326E-2</v>
      </c>
    </row>
    <row r="213" spans="1:26" s="27" customFormat="1" outlineLevel="1" collapsed="1" x14ac:dyDescent="0.25">
      <c r="A213" s="28"/>
      <c r="B213" s="14" t="str">
        <f>CONCATENATE("     ","Subscriptions &amp; Dues                              ")</f>
        <v xml:space="preserve">     Subscriptions &amp; Dues                              </v>
      </c>
      <c r="C213" s="14"/>
      <c r="D213" s="1">
        <f>SUM(OSRRefD22_19x_0)</f>
        <v>529.98</v>
      </c>
      <c r="E213" s="1"/>
      <c r="F213" s="5">
        <f t="shared" ref="F213:F215" si="78">IF(D$12=0,0,D213/D$12)</f>
        <v>1.9607061944438599E-4</v>
      </c>
      <c r="G213" s="1"/>
      <c r="H213" s="1">
        <f>SUM(OSRRefH22_19x_0)</f>
        <v>685.58</v>
      </c>
      <c r="I213" s="1"/>
      <c r="J213" s="5">
        <f t="shared" ref="J213:J215" si="79">IF(H$12=0,0,H213/H$12)</f>
        <v>2.2614648098487374E-4</v>
      </c>
      <c r="K213" s="1"/>
      <c r="L213" s="1">
        <f t="shared" ref="L213:L215" si="80">+D213-H213</f>
        <v>-155.60000000000002</v>
      </c>
      <c r="M213" s="1"/>
      <c r="N213" s="5">
        <f t="shared" ref="N213:N215" si="81">IF(H213=0,0,L213/H213)</f>
        <v>-0.22696111321800522</v>
      </c>
      <c r="O213" s="14"/>
      <c r="P213" s="1">
        <f>SUM(OSRRefP22_19x_0)</f>
        <v>992.23</v>
      </c>
      <c r="Q213" s="1"/>
      <c r="R213" s="5">
        <f t="shared" ref="R213:R215" si="82">IF(P$12=0,0,P213/P$12)</f>
        <v>3.2479481694733595E-4</v>
      </c>
      <c r="S213" s="1"/>
      <c r="T213" s="1">
        <f>SUM(OSRRefT22_19x_0)</f>
        <v>1434.77</v>
      </c>
      <c r="U213" s="1"/>
      <c r="V213" s="5">
        <f t="shared" ref="V213:V215" si="83">IF(T$12=0,0,T213/T$12)</f>
        <v>4.2034252016471185E-4</v>
      </c>
      <c r="W213" s="1"/>
      <c r="X213" s="1">
        <f t="shared" ref="X213:X215" si="84">+P213-T213</f>
        <v>-442.53999999999996</v>
      </c>
      <c r="Y213" s="1"/>
      <c r="Z213" s="5">
        <f t="shared" ref="Z213:Z215" si="85">IF(T213=0,0,X213/T213)</f>
        <v>-0.30843968022749291</v>
      </c>
    </row>
    <row r="214" spans="1:26" s="24" customFormat="1" hidden="1" outlineLevel="2" x14ac:dyDescent="0.25">
      <c r="A214" s="29"/>
      <c r="B214" s="11" t="str">
        <f>CONCATENATE("          ", "6258", " - ", "MEMBERSHIP DUES")</f>
        <v xml:space="preserve">          6258 - MEMBERSHIP DUES</v>
      </c>
      <c r="C214" s="11"/>
      <c r="D214" s="7">
        <v>370</v>
      </c>
      <c r="E214" s="2"/>
      <c r="F214" s="6">
        <f t="shared" si="78"/>
        <v>1.3688465450474132E-4</v>
      </c>
      <c r="G214" s="2"/>
      <c r="H214" s="7">
        <v>272.10000000000002</v>
      </c>
      <c r="I214" s="2"/>
      <c r="J214" s="6">
        <f t="shared" si="79"/>
        <v>8.9755327570792835E-5</v>
      </c>
      <c r="K214" s="2"/>
      <c r="L214" s="7">
        <f t="shared" si="80"/>
        <v>97.899999999999977</v>
      </c>
      <c r="M214" s="2"/>
      <c r="N214" s="6">
        <f t="shared" si="81"/>
        <v>0.35979419331128248</v>
      </c>
      <c r="O214" s="11"/>
      <c r="P214" s="7">
        <v>658.85</v>
      </c>
      <c r="Q214" s="2"/>
      <c r="R214" s="6">
        <f t="shared" si="82"/>
        <v>2.156667961518522E-4</v>
      </c>
      <c r="S214" s="2"/>
      <c r="T214" s="7">
        <v>522.1</v>
      </c>
      <c r="U214" s="2"/>
      <c r="V214" s="6">
        <f t="shared" si="83"/>
        <v>1.5295889221129244E-4</v>
      </c>
      <c r="W214" s="2"/>
      <c r="X214" s="7">
        <f t="shared" si="84"/>
        <v>136.75</v>
      </c>
      <c r="Y214" s="2"/>
      <c r="Z214" s="6">
        <f t="shared" si="85"/>
        <v>0.2619230032560812</v>
      </c>
    </row>
    <row r="215" spans="1:26" s="24" customFormat="1" hidden="1" outlineLevel="2" x14ac:dyDescent="0.25">
      <c r="A215" s="29"/>
      <c r="B215" s="11" t="str">
        <f>CONCATENATE("          ", "6275", " - ", "SUBSCRIPTIONS")</f>
        <v xml:space="preserve">          6275 - SUBSCRIPTIONS</v>
      </c>
      <c r="C215" s="11"/>
      <c r="D215" s="7">
        <v>159.97999999999999</v>
      </c>
      <c r="E215" s="2"/>
      <c r="F215" s="6">
        <f t="shared" si="78"/>
        <v>5.9185964939644637E-5</v>
      </c>
      <c r="G215" s="2"/>
      <c r="H215" s="7">
        <v>413.48</v>
      </c>
      <c r="I215" s="2"/>
      <c r="J215" s="6">
        <f t="shared" si="79"/>
        <v>1.3639115341408092E-4</v>
      </c>
      <c r="K215" s="2"/>
      <c r="L215" s="7">
        <f t="shared" si="80"/>
        <v>-253.50000000000003</v>
      </c>
      <c r="M215" s="2"/>
      <c r="N215" s="6">
        <f t="shared" si="81"/>
        <v>-0.61308890393731263</v>
      </c>
      <c r="O215" s="11"/>
      <c r="P215" s="7">
        <v>333.38</v>
      </c>
      <c r="Q215" s="2"/>
      <c r="R215" s="6">
        <f t="shared" si="82"/>
        <v>1.0912802079548376E-4</v>
      </c>
      <c r="S215" s="2"/>
      <c r="T215" s="7">
        <v>912.67</v>
      </c>
      <c r="U215" s="2"/>
      <c r="V215" s="6">
        <f t="shared" si="83"/>
        <v>2.673836279534194E-4</v>
      </c>
      <c r="W215" s="2"/>
      <c r="X215" s="7">
        <f t="shared" si="84"/>
        <v>-579.29</v>
      </c>
      <c r="Y215" s="2"/>
      <c r="Z215" s="6">
        <f t="shared" si="85"/>
        <v>-0.63472010693898118</v>
      </c>
    </row>
    <row r="216" spans="1:26" s="27" customFormat="1" outlineLevel="1" collapsed="1" x14ac:dyDescent="0.25">
      <c r="A216" s="28"/>
      <c r="B216" s="14" t="str">
        <f>CONCATENATE("     ","Supplies                                          ")</f>
        <v xml:space="preserve">     Supplies                                          </v>
      </c>
      <c r="C216" s="14"/>
      <c r="D216" s="1">
        <f>SUM(OSRRefD22_20x_0)</f>
        <v>5503.29</v>
      </c>
      <c r="E216" s="1"/>
      <c r="F216" s="5">
        <f t="shared" ref="F216:F222" si="86">IF(D$12=0,0,D216/D$12)</f>
        <v>2.0359890548362104E-3</v>
      </c>
      <c r="G216" s="1"/>
      <c r="H216" s="1">
        <f>SUM(OSRRefH22_20x_0)</f>
        <v>7379.93</v>
      </c>
      <c r="I216" s="1"/>
      <c r="J216" s="5">
        <f t="shared" ref="J216:J222" si="87">IF(H$12=0,0,H216/H$12)</f>
        <v>2.4343551436954102E-3</v>
      </c>
      <c r="K216" s="1"/>
      <c r="L216" s="1">
        <f t="shared" ref="L216:L222" si="88">+D216-H216</f>
        <v>-1876.6400000000003</v>
      </c>
      <c r="M216" s="1"/>
      <c r="N216" s="5">
        <f t="shared" ref="N216:N222" si="89">IF(H216=0,0,L216/H216)</f>
        <v>-0.25428967483431419</v>
      </c>
      <c r="O216" s="14"/>
      <c r="P216" s="1">
        <f>SUM(OSRRefP22_20x_0)</f>
        <v>12448.82</v>
      </c>
      <c r="Q216" s="1"/>
      <c r="R216" s="5">
        <f t="shared" ref="R216:R222" si="90">IF(P$12=0,0,P216/P$12)</f>
        <v>4.0749747670503159E-3</v>
      </c>
      <c r="S216" s="1"/>
      <c r="T216" s="1">
        <f>SUM(OSRRefT22_20x_0)</f>
        <v>31534.6</v>
      </c>
      <c r="U216" s="1"/>
      <c r="V216" s="5">
        <f t="shared" ref="V216:V222" si="91">IF(T$12=0,0,T216/T$12)</f>
        <v>9.2386467771044291E-3</v>
      </c>
      <c r="W216" s="1"/>
      <c r="X216" s="1">
        <f t="shared" ref="X216:X222" si="92">+P216-T216</f>
        <v>-19085.78</v>
      </c>
      <c r="Y216" s="1"/>
      <c r="Z216" s="5">
        <f t="shared" ref="Z216:Z222" si="93">IF(T216=0,0,X216/T216)</f>
        <v>-0.60523298218464794</v>
      </c>
    </row>
    <row r="217" spans="1:26" s="24" customFormat="1" hidden="1" outlineLevel="2" x14ac:dyDescent="0.25">
      <c r="A217" s="29"/>
      <c r="B217" s="11" t="str">
        <f>CONCATENATE("          ", "6234", " - ", "EXPENDABLE SUPPLIES &amp; EQUIPMEN")</f>
        <v xml:space="preserve">          6234 - EXPENDABLE SUPPLIES &amp; EQUIPMEN</v>
      </c>
      <c r="C217" s="11"/>
      <c r="D217" s="7">
        <v>1014.02</v>
      </c>
      <c r="E217" s="2"/>
      <c r="F217" s="6">
        <f t="shared" si="86"/>
        <v>3.751453442186427E-4</v>
      </c>
      <c r="G217" s="2"/>
      <c r="H217" s="7">
        <v>856.68</v>
      </c>
      <c r="I217" s="2"/>
      <c r="J217" s="6">
        <f t="shared" si="87"/>
        <v>2.8258579207404185E-4</v>
      </c>
      <c r="K217" s="2"/>
      <c r="L217" s="7">
        <f t="shared" si="88"/>
        <v>157.34000000000003</v>
      </c>
      <c r="M217" s="2"/>
      <c r="N217" s="6">
        <f t="shared" si="89"/>
        <v>0.18366251108932161</v>
      </c>
      <c r="O217" s="11"/>
      <c r="P217" s="7">
        <v>1716.1</v>
      </c>
      <c r="Q217" s="2"/>
      <c r="R217" s="6">
        <f t="shared" si="90"/>
        <v>5.617451451410693E-4</v>
      </c>
      <c r="S217" s="2"/>
      <c r="T217" s="7">
        <v>1213.8900000000001</v>
      </c>
      <c r="U217" s="2"/>
      <c r="V217" s="6">
        <f t="shared" si="91"/>
        <v>3.55631621655556E-4</v>
      </c>
      <c r="W217" s="2"/>
      <c r="X217" s="7">
        <f t="shared" si="92"/>
        <v>502.20999999999981</v>
      </c>
      <c r="Y217" s="2"/>
      <c r="Z217" s="6">
        <f t="shared" si="93"/>
        <v>0.41371952977617393</v>
      </c>
    </row>
    <row r="218" spans="1:26" s="24" customFormat="1" hidden="1" outlineLevel="2" x14ac:dyDescent="0.25">
      <c r="A218" s="29"/>
      <c r="B218" s="11" t="str">
        <f>CONCATENATE("          ", "6237", " - ", "JANITORIAL SUPPLIES")</f>
        <v xml:space="preserve">          6237 - JANITORIAL SUPPLIES</v>
      </c>
      <c r="C218" s="11"/>
      <c r="D218" s="7">
        <v>326.57</v>
      </c>
      <c r="E218" s="2"/>
      <c r="F218" s="6">
        <f t="shared" si="86"/>
        <v>1.2081735573409021E-4</v>
      </c>
      <c r="G218" s="2"/>
      <c r="H218" s="7">
        <v>464.32</v>
      </c>
      <c r="I218" s="2"/>
      <c r="J218" s="6">
        <f t="shared" si="87"/>
        <v>1.5316131458166307E-4</v>
      </c>
      <c r="K218" s="2"/>
      <c r="L218" s="7">
        <f t="shared" si="88"/>
        <v>-137.75</v>
      </c>
      <c r="M218" s="2"/>
      <c r="N218" s="6">
        <f t="shared" si="89"/>
        <v>-0.29667039972432807</v>
      </c>
      <c r="O218" s="11"/>
      <c r="P218" s="7">
        <v>775.4</v>
      </c>
      <c r="Q218" s="2"/>
      <c r="R218" s="6">
        <f t="shared" si="90"/>
        <v>2.5381806744501203E-4</v>
      </c>
      <c r="S218" s="2"/>
      <c r="T218" s="7">
        <v>1187.02</v>
      </c>
      <c r="U218" s="2"/>
      <c r="V218" s="6">
        <f t="shared" si="91"/>
        <v>3.4775955608628298E-4</v>
      </c>
      <c r="W218" s="2"/>
      <c r="X218" s="7">
        <f t="shared" si="92"/>
        <v>-411.62</v>
      </c>
      <c r="Y218" s="2"/>
      <c r="Z218" s="6">
        <f t="shared" si="93"/>
        <v>-0.34676753550909001</v>
      </c>
    </row>
    <row r="219" spans="1:26" s="24" customFormat="1" hidden="1" outlineLevel="2" x14ac:dyDescent="0.25">
      <c r="A219" s="29"/>
      <c r="B219" s="11" t="str">
        <f>CONCATENATE("          ", "6241", " - ", "OFFICE EXPENSE")</f>
        <v xml:space="preserve">          6241 - OFFICE EXPENSE</v>
      </c>
      <c r="C219" s="11"/>
      <c r="D219" s="7">
        <v>4619.84</v>
      </c>
      <c r="E219" s="2"/>
      <c r="F219" s="6">
        <f t="shared" si="86"/>
        <v>1.7091491953167141E-3</v>
      </c>
      <c r="G219" s="2"/>
      <c r="H219" s="7">
        <v>3541.92</v>
      </c>
      <c r="I219" s="2"/>
      <c r="J219" s="6">
        <f t="shared" si="87"/>
        <v>1.168343218778179E-3</v>
      </c>
      <c r="K219" s="2"/>
      <c r="L219" s="7">
        <f t="shared" si="88"/>
        <v>1077.92</v>
      </c>
      <c r="M219" s="2"/>
      <c r="N219" s="6">
        <f t="shared" si="89"/>
        <v>0.30433211365587026</v>
      </c>
      <c r="O219" s="11"/>
      <c r="P219" s="7">
        <v>7017.51</v>
      </c>
      <c r="Q219" s="2"/>
      <c r="R219" s="6">
        <f t="shared" si="90"/>
        <v>2.2970993377302638E-3</v>
      </c>
      <c r="S219" s="2"/>
      <c r="T219" s="7">
        <v>6637.19</v>
      </c>
      <c r="U219" s="2"/>
      <c r="V219" s="6">
        <f t="shared" si="91"/>
        <v>1.9444880861824707E-3</v>
      </c>
      <c r="W219" s="2"/>
      <c r="X219" s="7">
        <f t="shared" si="92"/>
        <v>380.32000000000062</v>
      </c>
      <c r="Y219" s="2"/>
      <c r="Z219" s="6">
        <f t="shared" si="93"/>
        <v>5.7301357954194568E-2</v>
      </c>
    </row>
    <row r="220" spans="1:26" s="24" customFormat="1" hidden="1" outlineLevel="2" x14ac:dyDescent="0.25">
      <c r="A220" s="29"/>
      <c r="B220" s="11" t="str">
        <f>CONCATENATE("          ", "6243", " - ", "PAPER SUPPLIES")</f>
        <v xml:space="preserve">          6243 - PAPER SUPPLIES</v>
      </c>
      <c r="C220" s="11"/>
      <c r="D220" s="7">
        <v>1496.95</v>
      </c>
      <c r="E220" s="2"/>
      <c r="F220" s="6">
        <f t="shared" si="86"/>
        <v>5.5380941502938526E-4</v>
      </c>
      <c r="G220" s="2"/>
      <c r="H220" s="7">
        <v>-154.74</v>
      </c>
      <c r="I220" s="2"/>
      <c r="J220" s="6">
        <f t="shared" si="87"/>
        <v>-5.1042776142243598E-5</v>
      </c>
      <c r="K220" s="2"/>
      <c r="L220" s="7">
        <f t="shared" si="88"/>
        <v>1651.69</v>
      </c>
      <c r="M220" s="2"/>
      <c r="N220" s="6">
        <f t="shared" si="89"/>
        <v>-10.67396923872302</v>
      </c>
      <c r="O220" s="11"/>
      <c r="P220" s="7">
        <v>2658.29</v>
      </c>
      <c r="Q220" s="2"/>
      <c r="R220" s="6">
        <f t="shared" si="90"/>
        <v>8.7015995680732663E-4</v>
      </c>
      <c r="S220" s="2"/>
      <c r="T220" s="7">
        <v>2282.29</v>
      </c>
      <c r="U220" s="2"/>
      <c r="V220" s="6">
        <f t="shared" si="91"/>
        <v>6.6863924555623556E-4</v>
      </c>
      <c r="W220" s="2"/>
      <c r="X220" s="7">
        <f t="shared" si="92"/>
        <v>376</v>
      </c>
      <c r="Y220" s="2"/>
      <c r="Z220" s="6">
        <f t="shared" si="93"/>
        <v>0.16474681131670385</v>
      </c>
    </row>
    <row r="221" spans="1:26" s="24" customFormat="1" hidden="1" outlineLevel="2" x14ac:dyDescent="0.25">
      <c r="A221" s="29"/>
      <c r="B221" s="11" t="str">
        <f>CONCATENATE("          ", "6245", " - ", "PRINTING")</f>
        <v xml:space="preserve">          6245 - PRINTING</v>
      </c>
      <c r="C221" s="11"/>
      <c r="D221" s="7">
        <v>4985.1099999999997</v>
      </c>
      <c r="E221" s="2"/>
      <c r="F221" s="6">
        <f t="shared" si="86"/>
        <v>1.8442839459949486E-3</v>
      </c>
      <c r="G221" s="2"/>
      <c r="H221" s="7">
        <v>517.21</v>
      </c>
      <c r="I221" s="2"/>
      <c r="J221" s="6">
        <f t="shared" si="87"/>
        <v>1.7060769192535745E-4</v>
      </c>
      <c r="K221" s="2"/>
      <c r="L221" s="7">
        <f t="shared" si="88"/>
        <v>4467.8999999999996</v>
      </c>
      <c r="M221" s="2"/>
      <c r="N221" s="6">
        <f t="shared" si="89"/>
        <v>8.6384640668200525</v>
      </c>
      <c r="O221" s="11"/>
      <c r="P221" s="7">
        <v>4985.1099999999997</v>
      </c>
      <c r="Q221" s="2"/>
      <c r="R221" s="6">
        <f t="shared" si="90"/>
        <v>1.6318171088480834E-3</v>
      </c>
      <c r="S221" s="2"/>
      <c r="T221" s="7">
        <v>1775.45</v>
      </c>
      <c r="U221" s="2"/>
      <c r="V221" s="6">
        <f t="shared" si="91"/>
        <v>5.2015105377617151E-4</v>
      </c>
      <c r="W221" s="2"/>
      <c r="X221" s="7">
        <f t="shared" si="92"/>
        <v>3209.66</v>
      </c>
      <c r="Y221" s="2"/>
      <c r="Z221" s="6">
        <f t="shared" si="93"/>
        <v>1.8078008392238587</v>
      </c>
    </row>
    <row r="222" spans="1:26" s="24" customFormat="1" hidden="1" outlineLevel="2" x14ac:dyDescent="0.25">
      <c r="A222" s="29"/>
      <c r="B222" s="11" t="str">
        <f>CONCATENATE("          ", "6247", " - ", "STORE SUPPLIES")</f>
        <v xml:space="preserve">          6247 - STORE SUPPLIES</v>
      </c>
      <c r="C222" s="11"/>
      <c r="D222" s="7">
        <v>-6939.2</v>
      </c>
      <c r="E222" s="2"/>
      <c r="F222" s="6">
        <f t="shared" si="86"/>
        <v>-2.5672162014575704E-3</v>
      </c>
      <c r="G222" s="2"/>
      <c r="H222" s="7">
        <v>2154.54</v>
      </c>
      <c r="I222" s="2"/>
      <c r="J222" s="6">
        <f t="shared" si="87"/>
        <v>7.1069990247841228E-4</v>
      </c>
      <c r="K222" s="2"/>
      <c r="L222" s="7">
        <f t="shared" si="88"/>
        <v>-9093.74</v>
      </c>
      <c r="M222" s="2"/>
      <c r="N222" s="6">
        <f t="shared" si="89"/>
        <v>-4.2207338921533131</v>
      </c>
      <c r="O222" s="11"/>
      <c r="P222" s="7">
        <v>-4703.59</v>
      </c>
      <c r="Q222" s="2"/>
      <c r="R222" s="6">
        <f t="shared" si="90"/>
        <v>-1.5396648489214395E-3</v>
      </c>
      <c r="S222" s="2"/>
      <c r="T222" s="7">
        <v>18438.759999999998</v>
      </c>
      <c r="U222" s="2"/>
      <c r="V222" s="6">
        <f t="shared" si="91"/>
        <v>5.4019772138477118E-3</v>
      </c>
      <c r="W222" s="2"/>
      <c r="X222" s="7">
        <f t="shared" si="92"/>
        <v>-23142.35</v>
      </c>
      <c r="Y222" s="2"/>
      <c r="Z222" s="6">
        <f t="shared" si="93"/>
        <v>-1.2550925333373828</v>
      </c>
    </row>
    <row r="223" spans="1:26" s="27" customFormat="1" outlineLevel="1" collapsed="1" x14ac:dyDescent="0.25">
      <c r="A223" s="28"/>
      <c r="B223" s="14" t="str">
        <f>CONCATENATE("     ","Telephone/Data Lines                              ")</f>
        <v xml:space="preserve">     Telephone/Data Lines                              </v>
      </c>
      <c r="C223" s="14"/>
      <c r="D223" s="1">
        <f>SUM(OSRRefD22_21x_0)</f>
        <v>2628.1</v>
      </c>
      <c r="E223" s="1"/>
      <c r="F223" s="5">
        <f t="shared" ref="F223:F225" si="94">IF(D$12=0,0,D223/D$12)</f>
        <v>9.7228800136192075E-4</v>
      </c>
      <c r="G223" s="1"/>
      <c r="H223" s="1">
        <f>SUM(OSRRefH22_21x_0)</f>
        <v>3094.68</v>
      </c>
      <c r="I223" s="1"/>
      <c r="J223" s="5">
        <f t="shared" ref="J223:J225" si="95">IF(H$12=0,0,H223/H$12)</f>
        <v>1.0208159394589531E-3</v>
      </c>
      <c r="K223" s="1"/>
      <c r="L223" s="1">
        <f t="shared" ref="L223:L225" si="96">+D223-H223</f>
        <v>-466.57999999999993</v>
      </c>
      <c r="M223" s="1"/>
      <c r="N223" s="5">
        <f t="shared" ref="N223:N225" si="97">IF(H223=0,0,L223/H223)</f>
        <v>-0.15076841547429781</v>
      </c>
      <c r="O223" s="14"/>
      <c r="P223" s="1">
        <f>SUM(OSRRefP22_21x_0)</f>
        <v>4417.37</v>
      </c>
      <c r="Q223" s="1"/>
      <c r="R223" s="5">
        <f t="shared" ref="R223:R225" si="98">IF(P$12=0,0,P223/P$12)</f>
        <v>1.4459740992901378E-3</v>
      </c>
      <c r="S223" s="1"/>
      <c r="T223" s="1">
        <f>SUM(OSRRefT22_21x_0)</f>
        <v>5024.45</v>
      </c>
      <c r="U223" s="1"/>
      <c r="V223" s="5">
        <f t="shared" ref="V223:V225" si="99">IF(T$12=0,0,T223/T$12)</f>
        <v>1.4720059489964151E-3</v>
      </c>
      <c r="W223" s="1"/>
      <c r="X223" s="1">
        <f t="shared" ref="X223:X225" si="100">+P223-T223</f>
        <v>-607.07999999999993</v>
      </c>
      <c r="Y223" s="1"/>
      <c r="Z223" s="5">
        <f t="shared" ref="Z223:Z225" si="101">IF(T223=0,0,X223/T223)</f>
        <v>-0.12082516494342663</v>
      </c>
    </row>
    <row r="224" spans="1:26" s="24" customFormat="1" hidden="1" outlineLevel="2" x14ac:dyDescent="0.25">
      <c r="A224" s="29"/>
      <c r="B224" s="11" t="str">
        <f>CONCATENATE("          ", "6303", " - ", "DATA PHONE LINES")</f>
        <v xml:space="preserve">          6303 - DATA PHONE LINES</v>
      </c>
      <c r="C224" s="11"/>
      <c r="D224" s="7">
        <v>295</v>
      </c>
      <c r="E224" s="2"/>
      <c r="F224" s="6">
        <f t="shared" si="94"/>
        <v>1.0913776507810457E-4</v>
      </c>
      <c r="G224" s="2"/>
      <c r="H224" s="7">
        <v>590</v>
      </c>
      <c r="I224" s="2"/>
      <c r="J224" s="6">
        <f t="shared" si="95"/>
        <v>1.946183141005798E-4</v>
      </c>
      <c r="K224" s="2"/>
      <c r="L224" s="7">
        <f t="shared" si="96"/>
        <v>-295</v>
      </c>
      <c r="M224" s="2"/>
      <c r="N224" s="6">
        <f t="shared" si="97"/>
        <v>-0.5</v>
      </c>
      <c r="O224" s="11"/>
      <c r="P224" s="7">
        <v>590</v>
      </c>
      <c r="Q224" s="2"/>
      <c r="R224" s="6">
        <f t="shared" si="98"/>
        <v>1.931295586697925E-4</v>
      </c>
      <c r="S224" s="2"/>
      <c r="T224" s="7">
        <v>590</v>
      </c>
      <c r="U224" s="2"/>
      <c r="V224" s="6">
        <f t="shared" si="99"/>
        <v>1.7285145835024428E-4</v>
      </c>
      <c r="W224" s="2"/>
      <c r="X224" s="7">
        <f t="shared" si="100"/>
        <v>0</v>
      </c>
      <c r="Y224" s="2"/>
      <c r="Z224" s="6">
        <f t="shared" si="101"/>
        <v>0</v>
      </c>
    </row>
    <row r="225" spans="1:26" s="24" customFormat="1" hidden="1" outlineLevel="2" x14ac:dyDescent="0.25">
      <c r="A225" s="29"/>
      <c r="B225" s="11" t="str">
        <f>CONCATENATE("          ", "6309", " - ", "TELEPHONE")</f>
        <v xml:space="preserve">          6309 - TELEPHONE</v>
      </c>
      <c r="C225" s="11"/>
      <c r="D225" s="7">
        <v>2333.1</v>
      </c>
      <c r="E225" s="2"/>
      <c r="F225" s="6">
        <f t="shared" si="94"/>
        <v>8.6315023628381622E-4</v>
      </c>
      <c r="G225" s="2"/>
      <c r="H225" s="7">
        <v>2504.6799999999998</v>
      </c>
      <c r="I225" s="2"/>
      <c r="J225" s="6">
        <f t="shared" si="95"/>
        <v>8.2619762535837324E-4</v>
      </c>
      <c r="K225" s="2"/>
      <c r="L225" s="7">
        <f t="shared" si="96"/>
        <v>-171.57999999999993</v>
      </c>
      <c r="M225" s="2"/>
      <c r="N225" s="6">
        <f t="shared" si="97"/>
        <v>-6.8503760959483823E-2</v>
      </c>
      <c r="O225" s="11"/>
      <c r="P225" s="7">
        <v>3827.37</v>
      </c>
      <c r="Q225" s="2"/>
      <c r="R225" s="6">
        <f t="shared" si="98"/>
        <v>1.2528445406203453E-3</v>
      </c>
      <c r="S225" s="2"/>
      <c r="T225" s="7">
        <v>4434.45</v>
      </c>
      <c r="U225" s="2"/>
      <c r="V225" s="6">
        <f t="shared" si="99"/>
        <v>1.2991544906461707E-3</v>
      </c>
      <c r="W225" s="2"/>
      <c r="X225" s="7">
        <f t="shared" si="100"/>
        <v>-607.07999999999993</v>
      </c>
      <c r="Y225" s="2"/>
      <c r="Z225" s="6">
        <f t="shared" si="101"/>
        <v>-0.13690085579947905</v>
      </c>
    </row>
    <row r="226" spans="1:26" s="27" customFormat="1" outlineLevel="1" collapsed="1" x14ac:dyDescent="0.25">
      <c r="A226" s="28"/>
      <c r="B226" s="14" t="str">
        <f>CONCATENATE("     ","Training                                          ")</f>
        <v xml:space="preserve">     Training                                          </v>
      </c>
      <c r="C226" s="14"/>
      <c r="D226" s="1">
        <f>SUM(OSRRefD22_22x_0)</f>
        <v>6530.86</v>
      </c>
      <c r="E226" s="1"/>
      <c r="F226" s="5">
        <f t="shared" ref="F226:F231" si="102">IF(D$12=0,0,D226/D$12)</f>
        <v>2.4161473370779324E-3</v>
      </c>
      <c r="G226" s="1"/>
      <c r="H226" s="1">
        <f>SUM(OSRRefH22_22x_0)</f>
        <v>-1834.05</v>
      </c>
      <c r="I226" s="1"/>
      <c r="J226" s="5">
        <f t="shared" ref="J226:J231" si="103">IF(H$12=0,0,H226/H$12)</f>
        <v>-6.0498257453587862E-4</v>
      </c>
      <c r="K226" s="1"/>
      <c r="L226" s="1">
        <f t="shared" ref="L226:L231" si="104">+D226-H226</f>
        <v>8364.91</v>
      </c>
      <c r="M226" s="1"/>
      <c r="N226" s="5">
        <f t="shared" ref="N226:N231" si="105">IF(H226=0,0,L226/H226)</f>
        <v>-4.5608952863880488</v>
      </c>
      <c r="O226" s="14"/>
      <c r="P226" s="1">
        <f>SUM(OSRRefP22_22x_0)</f>
        <v>7322.53</v>
      </c>
      <c r="Q226" s="1"/>
      <c r="R226" s="5">
        <f t="shared" ref="R226:R231" si="106">IF(P$12=0,0,P226/P$12)</f>
        <v>2.3969440461801958E-3</v>
      </c>
      <c r="S226" s="1"/>
      <c r="T226" s="1">
        <f>SUM(OSRRefT22_22x_0)</f>
        <v>-1854.91</v>
      </c>
      <c r="U226" s="1"/>
      <c r="V226" s="5">
        <f t="shared" ref="V226:V231" si="107">IF(T$12=0,0,T226/T$12)</f>
        <v>-5.4343033662449425E-4</v>
      </c>
      <c r="W226" s="1"/>
      <c r="X226" s="1">
        <f t="shared" ref="X226:X231" si="108">+P226-T226</f>
        <v>9177.44</v>
      </c>
      <c r="Y226" s="1"/>
      <c r="Z226" s="5">
        <f t="shared" ref="Z226:Z231" si="109">IF(T226=0,0,X226/T226)</f>
        <v>-4.947647055652296</v>
      </c>
    </row>
    <row r="227" spans="1:26" s="24" customFormat="1" hidden="1" outlineLevel="2" x14ac:dyDescent="0.25">
      <c r="A227" s="29"/>
      <c r="B227" s="11" t="str">
        <f>CONCATENATE("          ", "6376", " - ", "TRAINING")</f>
        <v xml:space="preserve">          6376 - TRAINING</v>
      </c>
      <c r="C227" s="11"/>
      <c r="D227" s="7">
        <v>6530.86</v>
      </c>
      <c r="E227" s="2"/>
      <c r="F227" s="6">
        <f t="shared" si="102"/>
        <v>2.4161473370779324E-3</v>
      </c>
      <c r="G227" s="2"/>
      <c r="H227" s="7">
        <v>-1834.05</v>
      </c>
      <c r="I227" s="2"/>
      <c r="J227" s="6">
        <f t="shared" si="103"/>
        <v>-6.0498257453587862E-4</v>
      </c>
      <c r="K227" s="2"/>
      <c r="L227" s="7">
        <f t="shared" si="104"/>
        <v>8364.91</v>
      </c>
      <c r="M227" s="2"/>
      <c r="N227" s="6">
        <f t="shared" si="105"/>
        <v>-4.5608952863880488</v>
      </c>
      <c r="O227" s="11"/>
      <c r="P227" s="7">
        <v>7322.53</v>
      </c>
      <c r="Q227" s="2"/>
      <c r="R227" s="6">
        <f t="shared" si="106"/>
        <v>2.3969440461801958E-3</v>
      </c>
      <c r="S227" s="2"/>
      <c r="T227" s="7">
        <v>-1854.91</v>
      </c>
      <c r="U227" s="2"/>
      <c r="V227" s="6">
        <f t="shared" si="107"/>
        <v>-5.4343033662449425E-4</v>
      </c>
      <c r="W227" s="2"/>
      <c r="X227" s="7">
        <f t="shared" si="108"/>
        <v>9177.44</v>
      </c>
      <c r="Y227" s="2"/>
      <c r="Z227" s="6">
        <f t="shared" si="109"/>
        <v>-4.947647055652296</v>
      </c>
    </row>
    <row r="228" spans="1:26" s="27" customFormat="1" outlineLevel="1" collapsed="1" x14ac:dyDescent="0.25">
      <c r="A228" s="28"/>
      <c r="B228" s="14" t="str">
        <f>CONCATENATE("     ","Travel                                            ")</f>
        <v xml:space="preserve">     Travel                                            </v>
      </c>
      <c r="C228" s="14"/>
      <c r="D228" s="1">
        <f>SUM(OSRRefD22_23x_0)</f>
        <v>184.35</v>
      </c>
      <c r="E228" s="1"/>
      <c r="F228" s="5">
        <f t="shared" si="102"/>
        <v>6.820185421067315E-5</v>
      </c>
      <c r="G228" s="1"/>
      <c r="H228" s="1">
        <f>SUM(OSRRefH22_23x_0)</f>
        <v>359.96999999999997</v>
      </c>
      <c r="I228" s="1"/>
      <c r="J228" s="5">
        <f t="shared" si="103"/>
        <v>1.1874026190980628E-4</v>
      </c>
      <c r="K228" s="1"/>
      <c r="L228" s="1">
        <f t="shared" si="104"/>
        <v>-175.61999999999998</v>
      </c>
      <c r="M228" s="1"/>
      <c r="N228" s="5">
        <f t="shared" si="105"/>
        <v>-0.48787398949912492</v>
      </c>
      <c r="O228" s="14"/>
      <c r="P228" s="1">
        <f>SUM(OSRRefP22_23x_0)</f>
        <v>406.03</v>
      </c>
      <c r="Q228" s="1"/>
      <c r="R228" s="5">
        <f t="shared" si="106"/>
        <v>1.3290914357067091E-4</v>
      </c>
      <c r="S228" s="1"/>
      <c r="T228" s="1">
        <f>SUM(OSRRefT22_23x_0)</f>
        <v>604.22</v>
      </c>
      <c r="U228" s="1"/>
      <c r="V228" s="5">
        <f t="shared" si="107"/>
        <v>1.7701747146505866E-4</v>
      </c>
      <c r="W228" s="1"/>
      <c r="X228" s="1">
        <f t="shared" si="108"/>
        <v>-198.19000000000005</v>
      </c>
      <c r="Y228" s="1"/>
      <c r="Z228" s="5">
        <f t="shared" si="109"/>
        <v>-0.3280096653536792</v>
      </c>
    </row>
    <row r="229" spans="1:26" s="24" customFormat="1" hidden="1" outlineLevel="2" x14ac:dyDescent="0.25">
      <c r="A229" s="29"/>
      <c r="B229" s="11" t="str">
        <f>CONCATENATE("          ", "6292", " - ", "TRAVEL/CONFERENCE")</f>
        <v xml:space="preserve">          6292 - TRAVEL/CONFERENCE</v>
      </c>
      <c r="C229" s="11"/>
      <c r="D229" s="7">
        <v>100.16</v>
      </c>
      <c r="E229" s="2"/>
      <c r="F229" s="6">
        <f t="shared" si="102"/>
        <v>3.7055045932959168E-5</v>
      </c>
      <c r="G229" s="2"/>
      <c r="H229" s="7">
        <v>229.64</v>
      </c>
      <c r="I229" s="2"/>
      <c r="J229" s="6">
        <f t="shared" si="103"/>
        <v>7.5749406186537539E-5</v>
      </c>
      <c r="K229" s="2"/>
      <c r="L229" s="7">
        <f t="shared" si="104"/>
        <v>-129.47999999999999</v>
      </c>
      <c r="M229" s="2"/>
      <c r="N229" s="6">
        <f t="shared" si="105"/>
        <v>-0.5638390524298903</v>
      </c>
      <c r="O229" s="11"/>
      <c r="P229" s="7">
        <v>250.64</v>
      </c>
      <c r="Q229" s="2"/>
      <c r="R229" s="6">
        <f t="shared" si="106"/>
        <v>8.2044055228808115E-5</v>
      </c>
      <c r="S229" s="2"/>
      <c r="T229" s="7">
        <v>353.48</v>
      </c>
      <c r="U229" s="2"/>
      <c r="V229" s="6">
        <f t="shared" si="107"/>
        <v>1.0355853135193958E-4</v>
      </c>
      <c r="W229" s="2"/>
      <c r="X229" s="7">
        <f t="shared" si="108"/>
        <v>-102.84000000000003</v>
      </c>
      <c r="Y229" s="2"/>
      <c r="Z229" s="6">
        <f t="shared" si="109"/>
        <v>-0.29093583795405686</v>
      </c>
    </row>
    <row r="230" spans="1:26" s="24" customFormat="1" hidden="1" outlineLevel="2" x14ac:dyDescent="0.25">
      <c r="A230" s="29"/>
      <c r="B230" s="11" t="str">
        <f>CONCATENATE("          ", "6294", " - ", "TRAVEL OPERATIONAL")</f>
        <v xml:space="preserve">          6294 - TRAVEL OPERATIONAL</v>
      </c>
      <c r="C230" s="11"/>
      <c r="D230" s="7">
        <v>68.67</v>
      </c>
      <c r="E230" s="2"/>
      <c r="F230" s="6">
        <f t="shared" si="102"/>
        <v>2.5405051959028614E-5</v>
      </c>
      <c r="G230" s="2"/>
      <c r="H230" s="7">
        <v>102.9</v>
      </c>
      <c r="I230" s="2"/>
      <c r="J230" s="6">
        <f t="shared" si="103"/>
        <v>3.3942753425338416E-5</v>
      </c>
      <c r="K230" s="2"/>
      <c r="L230" s="7">
        <f t="shared" si="104"/>
        <v>-34.230000000000004</v>
      </c>
      <c r="M230" s="2"/>
      <c r="N230" s="6">
        <f t="shared" si="105"/>
        <v>-0.33265306122448984</v>
      </c>
      <c r="O230" s="11"/>
      <c r="P230" s="7">
        <v>68.67</v>
      </c>
      <c r="Q230" s="2"/>
      <c r="R230" s="6">
        <f t="shared" si="106"/>
        <v>2.2478316599753647E-5</v>
      </c>
      <c r="S230" s="2"/>
      <c r="T230" s="7">
        <v>199.96</v>
      </c>
      <c r="U230" s="2"/>
      <c r="V230" s="6">
        <f t="shared" si="107"/>
        <v>5.8581995952059065E-5</v>
      </c>
      <c r="W230" s="2"/>
      <c r="X230" s="7">
        <f t="shared" si="108"/>
        <v>-131.29000000000002</v>
      </c>
      <c r="Y230" s="2"/>
      <c r="Z230" s="6">
        <f t="shared" si="109"/>
        <v>-0.65658131626325278</v>
      </c>
    </row>
    <row r="231" spans="1:26" s="24" customFormat="1" hidden="1" outlineLevel="2" x14ac:dyDescent="0.25">
      <c r="A231" s="29"/>
      <c r="B231" s="11" t="str">
        <f>CONCATENATE("          ", "6298", " - ", "VEHICLE MILEAGE")</f>
        <v xml:space="preserve">          6298 - VEHICLE MILEAGE</v>
      </c>
      <c r="C231" s="11"/>
      <c r="D231" s="7">
        <v>15.52</v>
      </c>
      <c r="E231" s="2"/>
      <c r="F231" s="6">
        <f t="shared" si="102"/>
        <v>5.7417563186853657E-6</v>
      </c>
      <c r="G231" s="2"/>
      <c r="H231" s="7">
        <v>27.43</v>
      </c>
      <c r="I231" s="2"/>
      <c r="J231" s="6">
        <f t="shared" si="103"/>
        <v>9.0481022979303454E-6</v>
      </c>
      <c r="K231" s="2"/>
      <c r="L231" s="7">
        <f t="shared" si="104"/>
        <v>-11.91</v>
      </c>
      <c r="M231" s="2"/>
      <c r="N231" s="6">
        <f t="shared" si="105"/>
        <v>-0.43419613561793657</v>
      </c>
      <c r="O231" s="11"/>
      <c r="P231" s="7">
        <v>86.72</v>
      </c>
      <c r="Q231" s="2"/>
      <c r="R231" s="6">
        <f t="shared" si="106"/>
        <v>2.8386771742109161E-5</v>
      </c>
      <c r="S231" s="2"/>
      <c r="T231" s="7">
        <v>50.78</v>
      </c>
      <c r="U231" s="2"/>
      <c r="V231" s="6">
        <f t="shared" si="107"/>
        <v>1.4876944161060008E-5</v>
      </c>
      <c r="W231" s="2"/>
      <c r="X231" s="7">
        <f t="shared" si="108"/>
        <v>35.94</v>
      </c>
      <c r="Y231" s="2"/>
      <c r="Z231" s="6">
        <f t="shared" si="109"/>
        <v>0.70775896022055917</v>
      </c>
    </row>
    <row r="232" spans="1:26" s="27" customFormat="1" outlineLevel="1" collapsed="1" x14ac:dyDescent="0.25">
      <c r="A232" s="28"/>
      <c r="B232" s="14" t="str">
        <f>CONCATENATE("     ","Utilities                                         ")</f>
        <v xml:space="preserve">     Utilities                                         </v>
      </c>
      <c r="C232" s="14"/>
      <c r="D232" s="1">
        <f>SUM(OSRRefD22_24x_0)</f>
        <v>53.78</v>
      </c>
      <c r="E232" s="1"/>
      <c r="F232" s="5">
        <f t="shared" ref="F232:F233" si="110">IF(D$12=0,0,D232/D$12)</f>
        <v>1.9896369511526998E-5</v>
      </c>
      <c r="G232" s="1"/>
      <c r="H232" s="1">
        <f>SUM(OSRRefH22_24x_0)</f>
        <v>6026.11</v>
      </c>
      <c r="I232" s="1"/>
      <c r="J232" s="5">
        <f t="shared" ref="J232:J233" si="111">IF(H$12=0,0,H232/H$12)</f>
        <v>1.9877819809909236E-3</v>
      </c>
      <c r="K232" s="1"/>
      <c r="L232" s="1">
        <f t="shared" ref="L232:L233" si="112">+D232-H232</f>
        <v>-5972.33</v>
      </c>
      <c r="M232" s="1"/>
      <c r="N232" s="5">
        <f t="shared" ref="N232:N233" si="113">IF(H232=0,0,L232/H232)</f>
        <v>-0.99107550310233306</v>
      </c>
      <c r="O232" s="14"/>
      <c r="P232" s="1">
        <f>SUM(OSRRefP22_24x_0)</f>
        <v>5689.78</v>
      </c>
      <c r="Q232" s="1"/>
      <c r="R232" s="5">
        <f t="shared" ref="R232:R233" si="114">IF(P$12=0,0,P232/P$12)</f>
        <v>1.8624825429291727E-3</v>
      </c>
      <c r="S232" s="1"/>
      <c r="T232" s="1">
        <f>SUM(OSRRefT22_24x_0)</f>
        <v>12041.36</v>
      </c>
      <c r="U232" s="1"/>
      <c r="V232" s="5">
        <f t="shared" ref="V232:V233" si="115">IF(T$12=0,0,T232/T$12)</f>
        <v>3.5277400618988096E-3</v>
      </c>
      <c r="W232" s="1"/>
      <c r="X232" s="1">
        <f t="shared" ref="X232:X233" si="116">+P232-T232</f>
        <v>-6351.5800000000008</v>
      </c>
      <c r="Y232" s="1"/>
      <c r="Z232" s="5">
        <f t="shared" ref="Z232:Z233" si="117">IF(T232=0,0,X232/T232)</f>
        <v>-0.5274802846190132</v>
      </c>
    </row>
    <row r="233" spans="1:26" s="24" customFormat="1" hidden="1" outlineLevel="2" x14ac:dyDescent="0.25">
      <c r="A233" s="29"/>
      <c r="B233" s="11" t="str">
        <f>CONCATENATE("          ", "6274", " - ", "UTILITIES")</f>
        <v xml:space="preserve">          6274 - UTILITIES</v>
      </c>
      <c r="C233" s="11"/>
      <c r="D233" s="7">
        <v>53.78</v>
      </c>
      <c r="E233" s="2"/>
      <c r="F233" s="6">
        <f t="shared" si="110"/>
        <v>1.9896369511526998E-5</v>
      </c>
      <c r="G233" s="2"/>
      <c r="H233" s="7">
        <v>6026.11</v>
      </c>
      <c r="I233" s="2"/>
      <c r="J233" s="6">
        <f t="shared" si="111"/>
        <v>1.9877819809909236E-3</v>
      </c>
      <c r="K233" s="2"/>
      <c r="L233" s="7">
        <f t="shared" si="112"/>
        <v>-5972.33</v>
      </c>
      <c r="M233" s="2"/>
      <c r="N233" s="6">
        <f t="shared" si="113"/>
        <v>-0.99107550310233306</v>
      </c>
      <c r="O233" s="11"/>
      <c r="P233" s="7">
        <v>5689.78</v>
      </c>
      <c r="Q233" s="2"/>
      <c r="R233" s="6">
        <f t="shared" si="114"/>
        <v>1.8624825429291727E-3</v>
      </c>
      <c r="S233" s="2"/>
      <c r="T233" s="7">
        <v>12041.36</v>
      </c>
      <c r="U233" s="2"/>
      <c r="V233" s="6">
        <f t="shared" si="115"/>
        <v>3.5277400618988096E-3</v>
      </c>
      <c r="W233" s="2"/>
      <c r="X233" s="7">
        <f t="shared" si="116"/>
        <v>-6351.5800000000008</v>
      </c>
      <c r="Y233" s="2"/>
      <c r="Z233" s="6">
        <f t="shared" si="117"/>
        <v>-0.5274802846190132</v>
      </c>
    </row>
    <row r="234" spans="1:26" s="62" customFormat="1" x14ac:dyDescent="0.25">
      <c r="A234" s="37"/>
      <c r="B234" s="37"/>
      <c r="C234" s="37"/>
      <c r="D234" s="1"/>
      <c r="E234" s="1"/>
      <c r="F234" s="5"/>
      <c r="G234" s="1"/>
      <c r="H234" s="1"/>
      <c r="I234" s="1"/>
      <c r="J234" s="5"/>
      <c r="K234" s="1"/>
      <c r="L234" s="1"/>
      <c r="M234" s="1"/>
      <c r="N234" s="5"/>
      <c r="O234" s="37"/>
      <c r="P234" s="1"/>
      <c r="Q234" s="1"/>
      <c r="R234" s="5"/>
      <c r="S234" s="1"/>
      <c r="T234" s="1"/>
      <c r="U234" s="1"/>
      <c r="V234" s="5"/>
      <c r="W234" s="1"/>
      <c r="X234" s="1"/>
      <c r="Y234" s="1"/>
      <c r="Z234" s="5"/>
    </row>
    <row r="235" spans="1:26" s="23" customFormat="1" collapsed="1" x14ac:dyDescent="0.25">
      <c r="A235" s="10"/>
      <c r="B235" s="25" t="s">
        <v>0</v>
      </c>
      <c r="C235" s="10"/>
      <c r="D235" s="4">
        <f>SUM(OSRRefD25x_0)</f>
        <v>50335.740000000005</v>
      </c>
      <c r="E235" s="4"/>
      <c r="F235" s="12">
        <f t="shared" ref="F235:F242" si="118">IF(D$12=0,0,D235/D$12)</f>
        <v>1.862213615983916E-2</v>
      </c>
      <c r="G235" s="4"/>
      <c r="H235" s="4">
        <f>SUM(OSRRefH25x_0)</f>
        <v>72199.86</v>
      </c>
      <c r="I235" s="4"/>
      <c r="J235" s="12">
        <f t="shared" ref="J235:J242" si="119">IF(H$12=0,0,H235/H$12)</f>
        <v>2.3815957680504894E-2</v>
      </c>
      <c r="K235" s="4"/>
      <c r="L235" s="4">
        <f t="shared" ref="L235:L242" si="120">+D235-H235</f>
        <v>-21864.119999999995</v>
      </c>
      <c r="M235" s="4"/>
      <c r="N235" s="12">
        <f t="shared" ref="N235:N242" si="121">IF(H235=0,0,L235/H235)</f>
        <v>-0.30282773401499663</v>
      </c>
      <c r="O235" s="10"/>
      <c r="P235" s="4">
        <f>SUM(OSRRefP25x_0)</f>
        <v>121202.85</v>
      </c>
      <c r="Q235" s="4"/>
      <c r="R235" s="12">
        <f t="shared" ref="R235:R242" si="122">IF(P$12=0,0,P235/P$12)</f>
        <v>3.9674327000035696E-2</v>
      </c>
      <c r="S235" s="4"/>
      <c r="T235" s="4">
        <f>SUM(OSRRefT25x_0)</f>
        <v>152162.42000000001</v>
      </c>
      <c r="U235" s="4"/>
      <c r="V235" s="12">
        <f t="shared" ref="V235:V242" si="123">IF(T$12=0,0,T235/T$12)</f>
        <v>4.4578807123902338E-2</v>
      </c>
      <c r="W235" s="4"/>
      <c r="X235" s="4">
        <f t="shared" ref="X235:X242" si="124">+P235-T235</f>
        <v>-30959.570000000007</v>
      </c>
      <c r="Y235" s="4"/>
      <c r="Z235" s="12">
        <f t="shared" ref="Z235:Z242" si="125">IF(T235=0,0,X235/T235)</f>
        <v>-0.20346396961877974</v>
      </c>
    </row>
    <row r="236" spans="1:26" s="24" customFormat="1" hidden="1" outlineLevel="1" x14ac:dyDescent="0.25">
      <c r="A236" s="50"/>
      <c r="B236" s="11" t="str">
        <f>CONCATENATE("          ", "4098", " - ", "TAXABLE SALES-GRAD RENTALS")</f>
        <v xml:space="preserve">          4098 - TAXABLE SALES-GRAD RENTALS</v>
      </c>
      <c r="C236" s="11"/>
      <c r="D236" s="2">
        <f>--1552.15</f>
        <v>1552.15</v>
      </c>
      <c r="E236" s="2"/>
      <c r="F236" s="21">
        <f t="shared" si="118"/>
        <v>5.7423112564738987E-4</v>
      </c>
      <c r="G236" s="2"/>
      <c r="H236" s="2">
        <f>0</f>
        <v>0</v>
      </c>
      <c r="I236" s="2"/>
      <c r="J236" s="21">
        <f t="shared" si="119"/>
        <v>0</v>
      </c>
      <c r="K236" s="2"/>
      <c r="L236" s="2">
        <f t="shared" si="120"/>
        <v>1552.15</v>
      </c>
      <c r="M236" s="2"/>
      <c r="N236" s="21">
        <f t="shared" si="121"/>
        <v>0</v>
      </c>
      <c r="O236" s="11"/>
      <c r="P236" s="2">
        <f>--1626.85</f>
        <v>1626.85</v>
      </c>
      <c r="Q236" s="2"/>
      <c r="R236" s="21">
        <f t="shared" si="122"/>
        <v>5.3253020766432521E-4</v>
      </c>
      <c r="S236" s="2"/>
      <c r="T236" s="2">
        <f>0</f>
        <v>0</v>
      </c>
      <c r="U236" s="2"/>
      <c r="V236" s="21">
        <f t="shared" si="123"/>
        <v>0</v>
      </c>
      <c r="W236" s="2"/>
      <c r="X236" s="2">
        <f t="shared" si="124"/>
        <v>1626.85</v>
      </c>
      <c r="Y236" s="2"/>
      <c r="Z236" s="21">
        <f t="shared" si="125"/>
        <v>0</v>
      </c>
    </row>
    <row r="237" spans="1:26" s="24" customFormat="1" hidden="1" outlineLevel="1" x14ac:dyDescent="0.25">
      <c r="A237" s="50"/>
      <c r="B237" s="11" t="str">
        <f>CONCATENATE("          ", "4197", " - ", "NON-TAXABLE SALES-RETURNED CHE")</f>
        <v xml:space="preserve">          4197 - NON-TAXABLE SALES-RETURNED CHE</v>
      </c>
      <c r="C237" s="11"/>
      <c r="D237" s="2">
        <f>--30</f>
        <v>30</v>
      </c>
      <c r="E237" s="2"/>
      <c r="F237" s="21">
        <f t="shared" si="118"/>
        <v>1.1098755770654702E-5</v>
      </c>
      <c r="G237" s="2"/>
      <c r="H237" s="2">
        <f>--120</f>
        <v>120</v>
      </c>
      <c r="I237" s="2"/>
      <c r="J237" s="21">
        <f t="shared" si="119"/>
        <v>3.9583385918761998E-5</v>
      </c>
      <c r="K237" s="2"/>
      <c r="L237" s="2">
        <f t="shared" si="120"/>
        <v>-90</v>
      </c>
      <c r="M237" s="2"/>
      <c r="N237" s="21">
        <f t="shared" si="121"/>
        <v>-0.75</v>
      </c>
      <c r="O237" s="11"/>
      <c r="P237" s="2">
        <f>--30</f>
        <v>30</v>
      </c>
      <c r="Q237" s="2"/>
      <c r="R237" s="21">
        <f t="shared" si="122"/>
        <v>9.8201470510063975E-6</v>
      </c>
      <c r="S237" s="2"/>
      <c r="T237" s="2">
        <f>--120</f>
        <v>120</v>
      </c>
      <c r="U237" s="2"/>
      <c r="V237" s="21">
        <f t="shared" si="123"/>
        <v>3.5156228816998837E-5</v>
      </c>
      <c r="W237" s="2"/>
      <c r="X237" s="2">
        <f t="shared" si="124"/>
        <v>-90</v>
      </c>
      <c r="Y237" s="2"/>
      <c r="Z237" s="21">
        <f t="shared" si="125"/>
        <v>-0.75</v>
      </c>
    </row>
    <row r="238" spans="1:26" s="24" customFormat="1" hidden="1" outlineLevel="1" x14ac:dyDescent="0.25">
      <c r="A238" s="50"/>
      <c r="B238" s="11" t="str">
        <f>CONCATENATE("          ", "4198", " - ", "NON-TAXABLE SALES-GRAD RENTALS")</f>
        <v xml:space="preserve">          4198 - NON-TAXABLE SALES-GRAD RENTALS</v>
      </c>
      <c r="C238" s="11"/>
      <c r="D238" s="2">
        <f>--210</f>
        <v>210</v>
      </c>
      <c r="E238" s="2"/>
      <c r="F238" s="21">
        <f t="shared" si="118"/>
        <v>7.7691290394582918E-5</v>
      </c>
      <c r="G238" s="2"/>
      <c r="H238" s="2">
        <f>--60</f>
        <v>60</v>
      </c>
      <c r="I238" s="2"/>
      <c r="J238" s="21">
        <f t="shared" si="119"/>
        <v>1.9791692959380999E-5</v>
      </c>
      <c r="K238" s="2"/>
      <c r="L238" s="2">
        <f t="shared" si="120"/>
        <v>150</v>
      </c>
      <c r="M238" s="2"/>
      <c r="N238" s="21">
        <f t="shared" si="121"/>
        <v>2.5</v>
      </c>
      <c r="O238" s="11"/>
      <c r="P238" s="2">
        <f>--465</f>
        <v>465</v>
      </c>
      <c r="Q238" s="2"/>
      <c r="R238" s="21">
        <f t="shared" si="122"/>
        <v>1.5221227929059918E-4</v>
      </c>
      <c r="S238" s="2"/>
      <c r="T238" s="2">
        <f>--405</f>
        <v>405</v>
      </c>
      <c r="U238" s="2"/>
      <c r="V238" s="21">
        <f t="shared" si="123"/>
        <v>1.1865227225737107E-4</v>
      </c>
      <c r="W238" s="2"/>
      <c r="X238" s="2">
        <f t="shared" si="124"/>
        <v>60</v>
      </c>
      <c r="Y238" s="2"/>
      <c r="Z238" s="21">
        <f t="shared" si="125"/>
        <v>0.14814814814814814</v>
      </c>
    </row>
    <row r="239" spans="1:26" s="24" customFormat="1" hidden="1" outlineLevel="1" x14ac:dyDescent="0.25">
      <c r="A239" s="50"/>
      <c r="B239" s="11" t="str">
        <f>CONCATENATE("          ", "9150", " - ", "MISC. INCOME")</f>
        <v xml:space="preserve">          9150 - MISC. INCOME</v>
      </c>
      <c r="C239" s="11"/>
      <c r="D239" s="2">
        <f>--27536.18</f>
        <v>27536.18</v>
      </c>
      <c r="E239" s="2"/>
      <c r="F239" s="21">
        <f t="shared" si="118"/>
        <v>1.0187244555892887E-2</v>
      </c>
      <c r="G239" s="2"/>
      <c r="H239" s="2">
        <f>--71691.89</f>
        <v>71691.89</v>
      </c>
      <c r="I239" s="2"/>
      <c r="J239" s="21">
        <f t="shared" si="119"/>
        <v>2.3648397909295283E-2</v>
      </c>
      <c r="K239" s="2"/>
      <c r="L239" s="2">
        <f t="shared" si="120"/>
        <v>-44155.71</v>
      </c>
      <c r="M239" s="2"/>
      <c r="N239" s="21">
        <f t="shared" si="121"/>
        <v>-0.61590941457952919</v>
      </c>
      <c r="O239" s="11"/>
      <c r="P239" s="2">
        <f>--98168.08</f>
        <v>98168.08</v>
      </c>
      <c r="Q239" s="2"/>
      <c r="R239" s="21">
        <f t="shared" si="122"/>
        <v>3.2134166043832006E-2</v>
      </c>
      <c r="S239" s="2"/>
      <c r="T239" s="2">
        <f>--150277.75</f>
        <v>150277.75</v>
      </c>
      <c r="U239" s="2"/>
      <c r="V239" s="21">
        <f t="shared" si="123"/>
        <v>4.4026658042531225E-2</v>
      </c>
      <c r="W239" s="2"/>
      <c r="X239" s="2">
        <f t="shared" si="124"/>
        <v>-52109.67</v>
      </c>
      <c r="Y239" s="2"/>
      <c r="Z239" s="21">
        <f t="shared" si="125"/>
        <v>-0.34675572398442217</v>
      </c>
    </row>
    <row r="240" spans="1:26" s="24" customFormat="1" hidden="1" outlineLevel="1" x14ac:dyDescent="0.25">
      <c r="A240" s="50"/>
      <c r="B240" s="11" t="str">
        <f>CONCATENATE("          ", "9151", " - ", "MISC. INCOME")</f>
        <v xml:space="preserve">          9151 - MISC. INCOME</v>
      </c>
      <c r="C240" s="11"/>
      <c r="D240" s="2">
        <f>-170.02</f>
        <v>-170.02</v>
      </c>
      <c r="E240" s="2"/>
      <c r="F240" s="21">
        <f t="shared" si="118"/>
        <v>-6.2900348537557089E-5</v>
      </c>
      <c r="G240" s="2"/>
      <c r="H240" s="2">
        <f>--135.53</f>
        <v>135.53</v>
      </c>
      <c r="I240" s="2"/>
      <c r="J240" s="21">
        <f t="shared" si="119"/>
        <v>4.4706135779748442E-5</v>
      </c>
      <c r="K240" s="2"/>
      <c r="L240" s="2">
        <f t="shared" si="120"/>
        <v>-305.55</v>
      </c>
      <c r="M240" s="2"/>
      <c r="N240" s="21">
        <f t="shared" si="121"/>
        <v>-2.2544824024201287</v>
      </c>
      <c r="O240" s="11"/>
      <c r="P240" s="2">
        <f>-264.51</f>
        <v>-264.51</v>
      </c>
      <c r="Q240" s="2"/>
      <c r="R240" s="21">
        <f t="shared" si="122"/>
        <v>-8.6584236548723409E-5</v>
      </c>
      <c r="S240" s="2"/>
      <c r="T240" s="2">
        <f>--394.89</f>
        <v>394.89</v>
      </c>
      <c r="U240" s="2"/>
      <c r="V240" s="21">
        <f t="shared" si="123"/>
        <v>1.1569035997953892E-4</v>
      </c>
      <c r="W240" s="2"/>
      <c r="X240" s="2">
        <f t="shared" si="124"/>
        <v>-659.4</v>
      </c>
      <c r="Y240" s="2"/>
      <c r="Z240" s="21">
        <f t="shared" si="125"/>
        <v>-1.6698321051432043</v>
      </c>
    </row>
    <row r="241" spans="1:26" s="24" customFormat="1" hidden="1" outlineLevel="1" x14ac:dyDescent="0.25">
      <c r="A241" s="50"/>
      <c r="B241" s="11" t="str">
        <f>CONCATENATE("          ", "9152", " - ", "MISC. INCOME")</f>
        <v xml:space="preserve">          9152 - MISC. INCOME</v>
      </c>
      <c r="C241" s="11"/>
      <c r="D241" s="2">
        <f>--7.43</f>
        <v>7.43</v>
      </c>
      <c r="E241" s="2"/>
      <c r="F241" s="21">
        <f t="shared" si="118"/>
        <v>2.7487918458654811E-6</v>
      </c>
      <c r="G241" s="2"/>
      <c r="H241" s="2">
        <f>--192.44</f>
        <v>192.44</v>
      </c>
      <c r="I241" s="2"/>
      <c r="J241" s="21">
        <f t="shared" si="119"/>
        <v>6.3478556551721312E-5</v>
      </c>
      <c r="K241" s="2"/>
      <c r="L241" s="2">
        <f t="shared" si="120"/>
        <v>-185.01</v>
      </c>
      <c r="M241" s="2"/>
      <c r="N241" s="21">
        <f t="shared" si="121"/>
        <v>-0.96139056329245476</v>
      </c>
      <c r="O241" s="11"/>
      <c r="P241" s="2">
        <f>--7.43</f>
        <v>7.43</v>
      </c>
      <c r="Q241" s="2"/>
      <c r="R241" s="21">
        <f t="shared" si="122"/>
        <v>2.4321230862992513E-6</v>
      </c>
      <c r="S241" s="2"/>
      <c r="T241" s="2">
        <f>--964.78</f>
        <v>964.78</v>
      </c>
      <c r="U241" s="2"/>
      <c r="V241" s="21">
        <f t="shared" si="123"/>
        <v>2.8265022031720113E-4</v>
      </c>
      <c r="W241" s="2"/>
      <c r="X241" s="2">
        <f t="shared" si="124"/>
        <v>-957.35</v>
      </c>
      <c r="Y241" s="2"/>
      <c r="Z241" s="21">
        <f t="shared" si="125"/>
        <v>-0.9922987624121562</v>
      </c>
    </row>
    <row r="242" spans="1:26" s="24" customFormat="1" hidden="1" outlineLevel="1" x14ac:dyDescent="0.25">
      <c r="A242" s="50"/>
      <c r="B242" s="11" t="str">
        <f>CONCATENATE("          ", "9160", " - ", "MISC. INCOME")</f>
        <v xml:space="preserve">          9160 - MISC. INCOME</v>
      </c>
      <c r="C242" s="11"/>
      <c r="D242" s="2">
        <f>--21170</f>
        <v>21170</v>
      </c>
      <c r="E242" s="2"/>
      <c r="F242" s="21">
        <f t="shared" si="118"/>
        <v>7.8320219888253356E-3</v>
      </c>
      <c r="G242" s="2"/>
      <c r="H242" s="2">
        <f>0</f>
        <v>0</v>
      </c>
      <c r="I242" s="2"/>
      <c r="J242" s="21">
        <f t="shared" si="119"/>
        <v>0</v>
      </c>
      <c r="K242" s="2"/>
      <c r="L242" s="2">
        <f t="shared" si="120"/>
        <v>21170</v>
      </c>
      <c r="M242" s="2"/>
      <c r="N242" s="21">
        <f t="shared" si="121"/>
        <v>0</v>
      </c>
      <c r="O242" s="11"/>
      <c r="P242" s="2">
        <f>--21170</f>
        <v>21170</v>
      </c>
      <c r="Q242" s="2"/>
      <c r="R242" s="21">
        <f t="shared" si="122"/>
        <v>6.9297504356601817E-3</v>
      </c>
      <c r="S242" s="2"/>
      <c r="T242" s="2">
        <f>0</f>
        <v>0</v>
      </c>
      <c r="U242" s="2"/>
      <c r="V242" s="21">
        <f t="shared" si="123"/>
        <v>0</v>
      </c>
      <c r="W242" s="2"/>
      <c r="X242" s="2">
        <f t="shared" si="124"/>
        <v>21170</v>
      </c>
      <c r="Y242" s="2"/>
      <c r="Z242" s="21">
        <f t="shared" si="125"/>
        <v>0</v>
      </c>
    </row>
    <row r="243" spans="1:26" x14ac:dyDescent="0.25">
      <c r="A243" s="9"/>
      <c r="B243" s="10"/>
      <c r="C243" s="10"/>
      <c r="D243" s="3"/>
      <c r="E243" s="3"/>
      <c r="F243" s="8"/>
      <c r="G243" s="3"/>
      <c r="H243" s="3"/>
      <c r="I243" s="3"/>
      <c r="J243" s="8"/>
      <c r="K243" s="3"/>
      <c r="L243" s="3"/>
      <c r="M243" s="3"/>
      <c r="N243" s="8"/>
      <c r="O243" s="10"/>
      <c r="P243" s="3"/>
      <c r="Q243" s="3"/>
      <c r="R243" s="8"/>
      <c r="S243" s="3"/>
      <c r="T243" s="3"/>
      <c r="U243" s="3"/>
      <c r="V243" s="8"/>
      <c r="W243" s="3"/>
      <c r="X243" s="3"/>
      <c r="Y243" s="3"/>
      <c r="Z243" s="8"/>
    </row>
    <row r="244" spans="1:26" s="23" customFormat="1" x14ac:dyDescent="0.25">
      <c r="A244" s="10"/>
      <c r="B244" s="26" t="s">
        <v>3</v>
      </c>
      <c r="C244" s="26"/>
      <c r="D244" s="20">
        <f>+D148-D150+D235</f>
        <v>572719.15000000037</v>
      </c>
      <c r="E244" s="13"/>
      <c r="F244" s="19">
        <f>IF(D$12=0,0,D244/D$12)</f>
        <v>0.21188233236756535</v>
      </c>
      <c r="G244" s="13"/>
      <c r="H244" s="20">
        <f>+H148-H150+H235</f>
        <v>642083.97999999917</v>
      </c>
      <c r="I244" s="13"/>
      <c r="J244" s="19">
        <f>IF(H$12=0,0,H244/H$12)</f>
        <v>0.21179881643828855</v>
      </c>
      <c r="K244" s="15"/>
      <c r="L244" s="20">
        <f>+D244-H244</f>
        <v>-69364.829999998794</v>
      </c>
      <c r="M244" s="15"/>
      <c r="N244" s="19">
        <f>IF(H244=0,0,L244/H244)</f>
        <v>-0.10803077503973683</v>
      </c>
      <c r="O244" s="25"/>
      <c r="P244" s="20">
        <f>+P148-P150+P235</f>
        <v>445836.92000000051</v>
      </c>
      <c r="Q244" s="13"/>
      <c r="R244" s="19">
        <f>IF(P$12=0,0,P244/P$12)</f>
        <v>0.14593947050559267</v>
      </c>
      <c r="S244" s="13"/>
      <c r="T244" s="20">
        <f>+T148-T150+T235</f>
        <v>478561.37000000128</v>
      </c>
      <c r="U244" s="13"/>
      <c r="V244" s="19">
        <f>IF(T$12=0,0,T244/T$12)</f>
        <v>0.14020344188913739</v>
      </c>
      <c r="W244" s="15"/>
      <c r="X244" s="20">
        <f>+P244-T244</f>
        <v>-32724.450000000768</v>
      </c>
      <c r="Y244" s="15"/>
      <c r="Z244" s="19">
        <f>IF(T244=0,0,X244/T244)</f>
        <v>-6.8380884984512391E-2</v>
      </c>
    </row>
    <row r="245" spans="1:26" x14ac:dyDescent="0.25">
      <c r="A245" s="9"/>
      <c r="B245" s="10"/>
      <c r="C245" s="9"/>
      <c r="D245" s="3"/>
      <c r="E245" s="3"/>
      <c r="F245" s="8"/>
      <c r="G245" s="3"/>
      <c r="H245" s="3"/>
      <c r="I245" s="3"/>
      <c r="J245" s="8"/>
      <c r="K245" s="3"/>
      <c r="L245" s="3"/>
      <c r="M245" s="3"/>
      <c r="N245" s="8"/>
      <c r="P245" s="3"/>
      <c r="Q245" s="3"/>
      <c r="R245" s="8"/>
      <c r="S245" s="3"/>
      <c r="T245" s="3"/>
      <c r="U245" s="3"/>
      <c r="V245" s="8"/>
      <c r="W245" s="3"/>
      <c r="X245" s="3"/>
      <c r="Y245" s="3"/>
      <c r="Z245" s="8"/>
    </row>
    <row r="246" spans="1:26" s="23" customFormat="1" x14ac:dyDescent="0.25">
      <c r="A246" s="51"/>
      <c r="B246" s="10" t="s">
        <v>13</v>
      </c>
      <c r="C246" s="10"/>
      <c r="D246" s="4">
        <v>307717.44</v>
      </c>
      <c r="E246" s="4"/>
      <c r="F246" s="12">
        <f>IF(D$12=0,0,D246/D$12)</f>
        <v>0.11384269043103641</v>
      </c>
      <c r="G246" s="4"/>
      <c r="H246" s="4">
        <v>270109.76</v>
      </c>
      <c r="I246" s="4"/>
      <c r="J246" s="12">
        <f>IF(H$12=0,0,H246/H$12)</f>
        <v>8.9098823920868181E-2</v>
      </c>
      <c r="K246" s="4"/>
      <c r="L246" s="4">
        <f>+D246-H246</f>
        <v>37607.679999999993</v>
      </c>
      <c r="M246" s="4"/>
      <c r="N246" s="12">
        <f>IF(H246=0,0,L246/H246)</f>
        <v>0.1392311036817033</v>
      </c>
      <c r="O246" s="10"/>
      <c r="P246" s="4">
        <v>380895.81</v>
      </c>
      <c r="Q246" s="4"/>
      <c r="R246" s="12">
        <f>IF(P$12=0,0,P246/P$12)</f>
        <v>0.12468176217707311</v>
      </c>
      <c r="S246" s="4"/>
      <c r="T246" s="4">
        <v>348485.43</v>
      </c>
      <c r="U246" s="4"/>
      <c r="V246" s="12">
        <f>IF(T$12=0,0,T246/T$12)</f>
        <v>0.10209527930391858</v>
      </c>
      <c r="W246" s="4"/>
      <c r="X246" s="4">
        <f>+P246-T246</f>
        <v>32410.380000000005</v>
      </c>
      <c r="Y246" s="4"/>
      <c r="Z246" s="12">
        <f>IF(T246=0,0,X246/T246)</f>
        <v>9.3003543935825397E-2</v>
      </c>
    </row>
    <row r="247" spans="1:26" x14ac:dyDescent="0.25">
      <c r="A247" s="9"/>
      <c r="B247" s="10"/>
      <c r="C247" s="10"/>
      <c r="D247" s="3"/>
      <c r="E247" s="3"/>
      <c r="F247" s="8"/>
      <c r="G247" s="3"/>
      <c r="H247" s="3"/>
      <c r="I247" s="3"/>
      <c r="J247" s="8"/>
      <c r="K247" s="3"/>
      <c r="L247" s="3"/>
      <c r="M247" s="3"/>
      <c r="N247" s="8"/>
      <c r="O247" s="10"/>
      <c r="P247" s="3"/>
      <c r="Q247" s="3"/>
      <c r="R247" s="8"/>
      <c r="S247" s="3"/>
      <c r="T247" s="3"/>
      <c r="U247" s="3"/>
      <c r="V247" s="8"/>
      <c r="W247" s="3"/>
      <c r="X247" s="3"/>
      <c r="Y247" s="3"/>
      <c r="Z247" s="8"/>
    </row>
    <row r="248" spans="1:26" s="23" customFormat="1" ht="15.75" thickBot="1" x14ac:dyDescent="0.3">
      <c r="A248" s="10"/>
      <c r="B248" s="26" t="s">
        <v>4</v>
      </c>
      <c r="C248" s="26"/>
      <c r="D248" s="31">
        <f>+D244-D246</f>
        <v>265001.71000000037</v>
      </c>
      <c r="E248" s="13"/>
      <c r="F248" s="36">
        <f>IF(D$12=0,0,D248/D$12)</f>
        <v>9.8039641936528935E-2</v>
      </c>
      <c r="G248" s="13"/>
      <c r="H248" s="31">
        <f>+H244-H246</f>
        <v>371974.21999999916</v>
      </c>
      <c r="I248" s="13"/>
      <c r="J248" s="36">
        <f>IF(H$12=0,0,H248/H$12)</f>
        <v>0.12269999251742036</v>
      </c>
      <c r="K248" s="15"/>
      <c r="L248" s="31">
        <f>D248-H248</f>
        <v>-106972.50999999879</v>
      </c>
      <c r="M248" s="15"/>
      <c r="N248" s="36">
        <f>IF(H248=0,0,L248/H248)</f>
        <v>-0.2875804403864306</v>
      </c>
      <c r="O248" s="25"/>
      <c r="P248" s="31">
        <f>+P244-P246</f>
        <v>64941.11000000051</v>
      </c>
      <c r="Q248" s="13"/>
      <c r="R248" s="36">
        <f>IF(P$12=0,0,P248/P$12)</f>
        <v>2.1257708328519569E-2</v>
      </c>
      <c r="S248" s="13"/>
      <c r="T248" s="31">
        <f>+T244-T246</f>
        <v>130075.94000000128</v>
      </c>
      <c r="U248" s="13"/>
      <c r="V248" s="36">
        <f>IF(T$12=0,0,T248/T$12)</f>
        <v>3.8108162585218805E-2</v>
      </c>
      <c r="W248" s="15"/>
      <c r="X248" s="31">
        <f>P248-T248</f>
        <v>-65134.830000000773</v>
      </c>
      <c r="Y248" s="15"/>
      <c r="Z248" s="36">
        <f>IF(T248=0,0,X248/T248)</f>
        <v>-0.50074464193762602</v>
      </c>
    </row>
    <row r="249" spans="1:26" ht="15.75" thickTop="1" x14ac:dyDescent="0.25">
      <c r="A249" s="9"/>
      <c r="B249" s="9"/>
      <c r="C249" s="9"/>
      <c r="D249" s="3"/>
      <c r="E249" s="3"/>
      <c r="F249" s="8"/>
      <c r="G249" s="3"/>
      <c r="H249" s="3"/>
      <c r="I249" s="3"/>
      <c r="J249" s="8"/>
      <c r="K249" s="3"/>
      <c r="L249" s="3"/>
      <c r="M249" s="3"/>
      <c r="N249" s="8"/>
      <c r="P249" s="3"/>
      <c r="Q249" s="3"/>
      <c r="R249" s="8"/>
      <c r="S249" s="3"/>
      <c r="T249" s="3"/>
      <c r="U249" s="3"/>
      <c r="V249" s="8"/>
      <c r="W249" s="3"/>
      <c r="X249" s="3"/>
      <c r="Y249" s="3"/>
      <c r="Z249" s="8"/>
    </row>
    <row r="250" spans="1:26" x14ac:dyDescent="0.25">
      <c r="A250" s="9"/>
      <c r="B250" s="9"/>
      <c r="C250" s="9"/>
      <c r="D250" s="3"/>
      <c r="E250" s="3"/>
      <c r="F250" s="8"/>
      <c r="G250" s="3"/>
      <c r="H250" s="3"/>
      <c r="I250" s="3"/>
      <c r="J250" s="8"/>
      <c r="K250" s="3"/>
      <c r="L250" s="3"/>
      <c r="M250" s="3"/>
      <c r="N250" s="8"/>
      <c r="P250" s="3"/>
      <c r="Q250" s="3"/>
      <c r="R250" s="8"/>
      <c r="S250" s="3"/>
      <c r="T250" s="3"/>
      <c r="U250" s="3"/>
      <c r="V250" s="8"/>
      <c r="W250" s="3"/>
      <c r="X250" s="3"/>
      <c r="Y250" s="3"/>
      <c r="Z250" s="8"/>
    </row>
    <row r="251" spans="1:26" s="23" customFormat="1" ht="15.75" thickBot="1" x14ac:dyDescent="0.3">
      <c r="A251" s="10"/>
      <c r="B251" s="26" t="s">
        <v>5</v>
      </c>
      <c r="C251" s="26"/>
      <c r="D251" s="32">
        <f>SUM(D248:D250)</f>
        <v>265001.71000000037</v>
      </c>
      <c r="E251" s="13"/>
      <c r="F251" s="30">
        <f>IF(D$12=0,0,D251/D$12)</f>
        <v>9.8039641936528935E-2</v>
      </c>
      <c r="G251" s="13"/>
      <c r="H251" s="32">
        <f>SUM(H248:H250)</f>
        <v>371974.21999999916</v>
      </c>
      <c r="I251" s="13"/>
      <c r="J251" s="30">
        <f>IF(H$12=0,0,H251/H$12)</f>
        <v>0.12269999251742036</v>
      </c>
      <c r="K251" s="15"/>
      <c r="L251" s="32">
        <f>+D251-H251</f>
        <v>-106972.50999999879</v>
      </c>
      <c r="M251" s="15"/>
      <c r="N251" s="30">
        <f>IF(H251=0,0,L251/H251)</f>
        <v>-0.2875804403864306</v>
      </c>
      <c r="O251" s="25"/>
      <c r="P251" s="32">
        <f>SUM(P248:P250)</f>
        <v>64941.11000000051</v>
      </c>
      <c r="Q251" s="13"/>
      <c r="R251" s="30">
        <f>IF(P$12=0,0,P251/P$12)</f>
        <v>2.1257708328519569E-2</v>
      </c>
      <c r="S251" s="13"/>
      <c r="T251" s="32">
        <f>SUM(T248:T250)</f>
        <v>130075.94000000128</v>
      </c>
      <c r="U251" s="13"/>
      <c r="V251" s="30">
        <f>IF(T$12=0,0,T251/T$12)</f>
        <v>3.8108162585218805E-2</v>
      </c>
      <c r="W251" s="15"/>
      <c r="X251" s="32">
        <f>+P251-T251</f>
        <v>-65134.830000000773</v>
      </c>
      <c r="Y251" s="15"/>
      <c r="Z251" s="30">
        <f>IF(T251=0,0,X251/T251)</f>
        <v>-0.50074464193762602</v>
      </c>
    </row>
    <row r="252" spans="1:26" ht="15.75" thickTop="1" x14ac:dyDescent="0.25">
      <c r="A252" s="9"/>
      <c r="C252" s="9"/>
      <c r="D252" s="17"/>
      <c r="E252" s="17"/>
      <c r="G252" s="17"/>
      <c r="H252" s="17"/>
      <c r="I252" s="17"/>
      <c r="J252" s="43"/>
      <c r="K252" s="17"/>
      <c r="L252" s="17"/>
      <c r="M252" s="17"/>
      <c r="P252" s="17"/>
      <c r="Q252" s="17"/>
      <c r="R252" s="43"/>
      <c r="S252" s="17"/>
      <c r="T252" s="17"/>
      <c r="U252" s="17"/>
      <c r="V252" s="43"/>
      <c r="W252" s="17"/>
      <c r="X252" s="17"/>
    </row>
    <row r="253" spans="1:26" x14ac:dyDescent="0.25">
      <c r="A253" s="9"/>
      <c r="B253" s="57">
        <v>43732.709124803238</v>
      </c>
      <c r="D253" s="17"/>
      <c r="E253" s="17"/>
      <c r="G253" s="17"/>
      <c r="H253" s="17"/>
      <c r="I253" s="17"/>
      <c r="J253" s="43"/>
      <c r="K253" s="17"/>
      <c r="L253" s="17"/>
      <c r="M253" s="17"/>
      <c r="P253" s="17"/>
      <c r="Q253" s="17"/>
      <c r="R253" s="43"/>
      <c r="S253" s="17"/>
      <c r="T253" s="17"/>
      <c r="U253" s="17"/>
      <c r="V253" s="43"/>
      <c r="W253" s="17"/>
      <c r="X253" s="17"/>
    </row>
    <row r="254" spans="1:26" x14ac:dyDescent="0.25">
      <c r="A254" s="9"/>
      <c r="B254" s="60" t="s">
        <v>313</v>
      </c>
      <c r="D254" s="17"/>
      <c r="E254" s="17"/>
      <c r="G254" s="17"/>
      <c r="H254" s="17"/>
      <c r="I254" s="17"/>
      <c r="J254" s="43"/>
      <c r="K254" s="17"/>
      <c r="L254" s="17"/>
      <c r="M254" s="17"/>
      <c r="P254" s="17"/>
      <c r="Q254" s="17"/>
      <c r="R254" s="43"/>
      <c r="S254" s="17"/>
      <c r="T254" s="17"/>
      <c r="U254" s="17"/>
      <c r="V254" s="43"/>
      <c r="W254" s="17"/>
      <c r="X254" s="17"/>
    </row>
    <row r="255" spans="1:26" x14ac:dyDescent="0.25">
      <c r="A255" s="9"/>
      <c r="B255" s="56"/>
      <c r="D255" s="17"/>
      <c r="E255" s="17"/>
      <c r="G255" s="17"/>
      <c r="H255" s="17"/>
      <c r="I255" s="17"/>
      <c r="J255" s="43"/>
      <c r="K255" s="17"/>
      <c r="L255" s="17"/>
      <c r="M255" s="17"/>
      <c r="P255" s="17"/>
      <c r="Q255" s="17"/>
      <c r="R255" s="43"/>
      <c r="S255" s="17"/>
      <c r="T255" s="17"/>
      <c r="U255" s="17"/>
      <c r="V255" s="43"/>
      <c r="W255" s="17"/>
      <c r="X255" s="17"/>
    </row>
    <row r="256" spans="1:26" x14ac:dyDescent="0.25">
      <c r="D256" s="17"/>
      <c r="E256" s="17"/>
      <c r="G256" s="17"/>
      <c r="H256" s="17"/>
      <c r="I256" s="17"/>
      <c r="J256" s="43"/>
      <c r="K256" s="17"/>
      <c r="L256" s="17"/>
      <c r="M256" s="17"/>
      <c r="P256" s="17"/>
      <c r="Q256" s="17"/>
      <c r="R256" s="43"/>
      <c r="S256" s="17"/>
      <c r="T256" s="17"/>
      <c r="U256" s="17"/>
      <c r="V256" s="43"/>
      <c r="W256" s="17"/>
      <c r="X256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8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3204520.7900000005</v>
      </c>
      <c r="E12" s="4"/>
      <c r="F12" s="12"/>
      <c r="G12" s="4"/>
      <c r="H12" s="4">
        <f>SUM(OSRRefH13x_0)</f>
        <v>3348365.26</v>
      </c>
      <c r="I12" s="4"/>
      <c r="J12" s="12"/>
      <c r="K12" s="4"/>
      <c r="L12" s="4">
        <f t="shared" ref="L12:L113" si="0">+D12-H12</f>
        <v>-143844.46999999927</v>
      </c>
      <c r="M12" s="4"/>
      <c r="N12" s="12">
        <f t="shared" ref="N12:N113" si="1">IF(H12=0,0,L12/H12)</f>
        <v>-4.2959611282073595E-2</v>
      </c>
      <c r="O12" s="10"/>
      <c r="P12" s="4">
        <f>SUM(OSRRefP13x_0)</f>
        <v>3926796.540000001</v>
      </c>
      <c r="Q12" s="4"/>
      <c r="R12" s="12"/>
      <c r="S12" s="4"/>
      <c r="T12" s="4">
        <f>SUM(OSRRefT13x_0)</f>
        <v>4156326.6900000004</v>
      </c>
      <c r="U12" s="4"/>
      <c r="V12" s="12"/>
      <c r="W12" s="4"/>
      <c r="X12" s="4">
        <f t="shared" ref="X12:X113" si="2">+P12-T12</f>
        <v>-229530.14999999944</v>
      </c>
      <c r="Y12" s="4"/>
      <c r="Z12" s="12">
        <f t="shared" ref="Z12:Z113" si="3">IF(T12=0,0,X12/T12)</f>
        <v>-5.5224280264648644E-2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--1090909.72</f>
        <v>1090909.72</v>
      </c>
      <c r="E13" s="2"/>
      <c r="F13" s="21"/>
      <c r="G13" s="2"/>
      <c r="H13" s="2">
        <f>--1329973.05</f>
        <v>1329973.05</v>
      </c>
      <c r="I13" s="2"/>
      <c r="J13" s="21"/>
      <c r="K13" s="2"/>
      <c r="L13" s="2">
        <f t="shared" si="0"/>
        <v>-239063.33000000007</v>
      </c>
      <c r="M13" s="2"/>
      <c r="N13" s="21">
        <f t="shared" si="1"/>
        <v>-0.17975050697455866</v>
      </c>
      <c r="O13" s="11"/>
      <c r="P13" s="2">
        <f>--1127221.97</f>
        <v>1127221.97</v>
      </c>
      <c r="Q13" s="2"/>
      <c r="R13" s="21"/>
      <c r="S13" s="2"/>
      <c r="T13" s="2">
        <f>--1403237.68</f>
        <v>1403237.68</v>
      </c>
      <c r="U13" s="2"/>
      <c r="V13" s="21"/>
      <c r="W13" s="2"/>
      <c r="X13" s="2">
        <f t="shared" si="2"/>
        <v>-276015.70999999996</v>
      </c>
      <c r="Y13" s="2"/>
      <c r="Z13" s="21">
        <f t="shared" si="3"/>
        <v>-0.1966991864129532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--533666.11</f>
        <v>533666.11</v>
      </c>
      <c r="E14" s="2"/>
      <c r="F14" s="21"/>
      <c r="G14" s="2"/>
      <c r="H14" s="2">
        <f>--590742.61</f>
        <v>590742.61</v>
      </c>
      <c r="I14" s="2"/>
      <c r="J14" s="21"/>
      <c r="K14" s="2"/>
      <c r="L14" s="2">
        <f t="shared" si="0"/>
        <v>-57076.5</v>
      </c>
      <c r="M14" s="2"/>
      <c r="N14" s="21">
        <f t="shared" si="1"/>
        <v>-9.661822092027525E-2</v>
      </c>
      <c r="O14" s="11"/>
      <c r="P14" s="2">
        <f>--555460.92</f>
        <v>555460.92000000004</v>
      </c>
      <c r="Q14" s="2"/>
      <c r="R14" s="21"/>
      <c r="S14" s="2"/>
      <c r="T14" s="2">
        <f>--617324.19</f>
        <v>617324.18999999994</v>
      </c>
      <c r="U14" s="2"/>
      <c r="V14" s="21"/>
      <c r="W14" s="2"/>
      <c r="X14" s="2">
        <f t="shared" si="2"/>
        <v>-61863.269999999902</v>
      </c>
      <c r="Y14" s="2"/>
      <c r="Z14" s="21">
        <f t="shared" si="3"/>
        <v>-0.10021196480248069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--12302.07</f>
        <v>12302.07</v>
      </c>
      <c r="E15" s="2"/>
      <c r="F15" s="21"/>
      <c r="G15" s="2"/>
      <c r="H15" s="2">
        <f>--5041.8</f>
        <v>5041.8</v>
      </c>
      <c r="I15" s="2"/>
      <c r="J15" s="21"/>
      <c r="K15" s="2"/>
      <c r="L15" s="2">
        <f t="shared" si="0"/>
        <v>7260.2699999999995</v>
      </c>
      <c r="M15" s="2"/>
      <c r="N15" s="21">
        <f t="shared" si="1"/>
        <v>1.4400154706652384</v>
      </c>
      <c r="O15" s="11"/>
      <c r="P15" s="2">
        <f>--12736.05</f>
        <v>12736.05</v>
      </c>
      <c r="Q15" s="2"/>
      <c r="R15" s="21"/>
      <c r="S15" s="2"/>
      <c r="T15" s="2">
        <f>--5525.8</f>
        <v>5525.8</v>
      </c>
      <c r="U15" s="2"/>
      <c r="V15" s="21"/>
      <c r="W15" s="2"/>
      <c r="X15" s="2">
        <f t="shared" si="2"/>
        <v>7210.2499999999991</v>
      </c>
      <c r="Y15" s="2"/>
      <c r="Z15" s="21">
        <f t="shared" si="3"/>
        <v>1.3048336892395669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--22276.72</f>
        <v>22276.720000000001</v>
      </c>
      <c r="E16" s="2"/>
      <c r="F16" s="21"/>
      <c r="G16" s="2"/>
      <c r="H16" s="2">
        <f>--37220.14</f>
        <v>37220.14</v>
      </c>
      <c r="I16" s="2"/>
      <c r="J16" s="21"/>
      <c r="K16" s="2"/>
      <c r="L16" s="2">
        <f t="shared" si="0"/>
        <v>-14943.419999999998</v>
      </c>
      <c r="M16" s="2"/>
      <c r="N16" s="21">
        <f t="shared" si="1"/>
        <v>-0.40148747425452991</v>
      </c>
      <c r="O16" s="11"/>
      <c r="P16" s="2">
        <f>--22410.07</f>
        <v>22410.07</v>
      </c>
      <c r="Q16" s="2"/>
      <c r="R16" s="21"/>
      <c r="S16" s="2"/>
      <c r="T16" s="2">
        <f>--37363.14</f>
        <v>37363.14</v>
      </c>
      <c r="U16" s="2"/>
      <c r="V16" s="21"/>
      <c r="W16" s="2"/>
      <c r="X16" s="2">
        <f t="shared" si="2"/>
        <v>-14953.07</v>
      </c>
      <c r="Y16" s="2"/>
      <c r="Z16" s="21">
        <f t="shared" si="3"/>
        <v>-0.40020913659826235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--70.86</f>
        <v>70.86</v>
      </c>
      <c r="E17" s="2"/>
      <c r="F17" s="21"/>
      <c r="G17" s="2"/>
      <c r="H17" s="2">
        <f>--1031.71</f>
        <v>1031.71</v>
      </c>
      <c r="I17" s="2"/>
      <c r="J17" s="21"/>
      <c r="K17" s="2"/>
      <c r="L17" s="2">
        <f t="shared" si="0"/>
        <v>-960.85</v>
      </c>
      <c r="M17" s="2"/>
      <c r="N17" s="21">
        <f t="shared" si="1"/>
        <v>-0.93131790910236401</v>
      </c>
      <c r="O17" s="11"/>
      <c r="P17" s="2">
        <f>--110.81</f>
        <v>110.81</v>
      </c>
      <c r="Q17" s="2"/>
      <c r="R17" s="21"/>
      <c r="S17" s="2"/>
      <c r="T17" s="2">
        <f>--1085.67</f>
        <v>1085.67</v>
      </c>
      <c r="U17" s="2"/>
      <c r="V17" s="21"/>
      <c r="W17" s="2"/>
      <c r="X17" s="2">
        <f t="shared" si="2"/>
        <v>-974.86000000000013</v>
      </c>
      <c r="Y17" s="2"/>
      <c r="Z17" s="21">
        <f t="shared" si="3"/>
        <v>-0.89793399467609869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--175</f>
        <v>175</v>
      </c>
      <c r="E18" s="2"/>
      <c r="F18" s="21"/>
      <c r="G18" s="2"/>
      <c r="H18" s="2">
        <f>--147.02</f>
        <v>147.02000000000001</v>
      </c>
      <c r="I18" s="2"/>
      <c r="J18" s="21"/>
      <c r="K18" s="2"/>
      <c r="L18" s="2">
        <f t="shared" si="0"/>
        <v>27.97999999999999</v>
      </c>
      <c r="M18" s="2"/>
      <c r="N18" s="21">
        <f t="shared" si="1"/>
        <v>0.19031424296014141</v>
      </c>
      <c r="O18" s="11"/>
      <c r="P18" s="2">
        <f>--425.65</f>
        <v>425.65</v>
      </c>
      <c r="Q18" s="2"/>
      <c r="R18" s="21"/>
      <c r="S18" s="2"/>
      <c r="T18" s="2">
        <f>--347.51</f>
        <v>347.51</v>
      </c>
      <c r="U18" s="2"/>
      <c r="V18" s="21"/>
      <c r="W18" s="2"/>
      <c r="X18" s="2">
        <f t="shared" si="2"/>
        <v>78.139999999999986</v>
      </c>
      <c r="Y18" s="2"/>
      <c r="Z18" s="21">
        <f t="shared" si="3"/>
        <v>0.22485683865212508</v>
      </c>
    </row>
    <row r="19" spans="1:26" s="24" customFormat="1" hidden="1" outlineLevel="1" x14ac:dyDescent="0.25">
      <c r="A19" s="50"/>
      <c r="B19" s="11" t="str">
        <f>CONCATENATE("          ", "4017", " - ", "TAXABLE SALES-DORM/HOUSEWARES")</f>
        <v xml:space="preserve">          4017 - TAXABLE SALES-DORM/HOUSEWARES</v>
      </c>
      <c r="C19" s="11"/>
      <c r="D19" s="2">
        <f>--152.83</f>
        <v>152.83000000000001</v>
      </c>
      <c r="E19" s="2"/>
      <c r="F19" s="21"/>
      <c r="G19" s="2"/>
      <c r="H19" s="2">
        <f>--335.74</f>
        <v>335.74</v>
      </c>
      <c r="I19" s="2"/>
      <c r="J19" s="21"/>
      <c r="K19" s="2"/>
      <c r="L19" s="2">
        <f t="shared" si="0"/>
        <v>-182.91</v>
      </c>
      <c r="M19" s="2"/>
      <c r="N19" s="21">
        <f t="shared" si="1"/>
        <v>-0.54479656877345561</v>
      </c>
      <c r="O19" s="11"/>
      <c r="P19" s="2">
        <f>--157.3</f>
        <v>157.30000000000001</v>
      </c>
      <c r="Q19" s="2"/>
      <c r="R19" s="21"/>
      <c r="S19" s="2"/>
      <c r="T19" s="2">
        <f>--600.35</f>
        <v>600.35</v>
      </c>
      <c r="U19" s="2"/>
      <c r="V19" s="21"/>
      <c r="W19" s="2"/>
      <c r="X19" s="2">
        <f t="shared" si="2"/>
        <v>-443.05</v>
      </c>
      <c r="Y19" s="2"/>
      <c r="Z19" s="21">
        <f t="shared" si="3"/>
        <v>-0.73798617473140671</v>
      </c>
    </row>
    <row r="20" spans="1:26" s="24" customFormat="1" hidden="1" outlineLevel="1" x14ac:dyDescent="0.25">
      <c r="A20" s="50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--1184.84</f>
        <v>1184.8399999999999</v>
      </c>
      <c r="E20" s="2"/>
      <c r="F20" s="21"/>
      <c r="G20" s="2"/>
      <c r="H20" s="2">
        <f>--1550.73</f>
        <v>1550.73</v>
      </c>
      <c r="I20" s="2"/>
      <c r="J20" s="21"/>
      <c r="K20" s="2"/>
      <c r="L20" s="2">
        <f t="shared" si="0"/>
        <v>-365.8900000000001</v>
      </c>
      <c r="M20" s="2"/>
      <c r="N20" s="21">
        <f t="shared" si="1"/>
        <v>-0.23594694111805414</v>
      </c>
      <c r="O20" s="11"/>
      <c r="P20" s="2">
        <f>--1364.13</f>
        <v>1364.13</v>
      </c>
      <c r="Q20" s="2"/>
      <c r="R20" s="21"/>
      <c r="S20" s="2"/>
      <c r="T20" s="2">
        <f>--2030.07</f>
        <v>2030.07</v>
      </c>
      <c r="U20" s="2"/>
      <c r="V20" s="21"/>
      <c r="W20" s="2"/>
      <c r="X20" s="2">
        <f t="shared" si="2"/>
        <v>-665.93999999999983</v>
      </c>
      <c r="Y20" s="2"/>
      <c r="Z20" s="21">
        <f t="shared" si="3"/>
        <v>-0.32803794943031511</v>
      </c>
    </row>
    <row r="21" spans="1:26" s="24" customFormat="1" hidden="1" outlineLevel="1" x14ac:dyDescent="0.25">
      <c r="A21" s="50"/>
      <c r="B21" s="11" t="str">
        <f>CONCATENATE("          ", "4019", " - ", "TAXABLE SALES-BOOK RELATED")</f>
        <v xml:space="preserve">          4019 - TAXABLE SALES-BOOK RELATED</v>
      </c>
      <c r="C21" s="11"/>
      <c r="D21" s="2">
        <f>--14.95</f>
        <v>14.95</v>
      </c>
      <c r="E21" s="2"/>
      <c r="F21" s="21"/>
      <c r="G21" s="2"/>
      <c r="H21" s="2">
        <f>0</f>
        <v>0</v>
      </c>
      <c r="I21" s="2"/>
      <c r="J21" s="21"/>
      <c r="K21" s="2"/>
      <c r="L21" s="2">
        <f t="shared" si="0"/>
        <v>14.95</v>
      </c>
      <c r="M21" s="2"/>
      <c r="N21" s="21">
        <f t="shared" si="1"/>
        <v>0</v>
      </c>
      <c r="O21" s="11"/>
      <c r="P21" s="2">
        <f>--14.95</f>
        <v>14.95</v>
      </c>
      <c r="Q21" s="2"/>
      <c r="R21" s="21"/>
      <c r="S21" s="2"/>
      <c r="T21" s="2">
        <f>--39.9</f>
        <v>39.9</v>
      </c>
      <c r="U21" s="2"/>
      <c r="V21" s="21"/>
      <c r="W21" s="2"/>
      <c r="X21" s="2">
        <f t="shared" si="2"/>
        <v>-24.95</v>
      </c>
      <c r="Y21" s="2"/>
      <c r="Z21" s="21">
        <f t="shared" si="3"/>
        <v>-0.62531328320802004</v>
      </c>
    </row>
    <row r="22" spans="1:26" s="24" customFormat="1" hidden="1" outlineLevel="1" x14ac:dyDescent="0.25">
      <c r="A22" s="50"/>
      <c r="B22" s="11" t="str">
        <f>CONCATENATE("          ", "4025", " - ", "TAXABLE SALES-TEST FORMS")</f>
        <v xml:space="preserve">          4025 - TAXABLE SALES-TEST FORMS</v>
      </c>
      <c r="C22" s="11"/>
      <c r="D22" s="2">
        <f>--4066.24</f>
        <v>4066.24</v>
      </c>
      <c r="E22" s="2"/>
      <c r="F22" s="21"/>
      <c r="G22" s="2"/>
      <c r="H22" s="2">
        <f>--4267.77</f>
        <v>4267.7700000000004</v>
      </c>
      <c r="I22" s="2"/>
      <c r="J22" s="21"/>
      <c r="K22" s="2"/>
      <c r="L22" s="2">
        <f t="shared" si="0"/>
        <v>-201.53000000000065</v>
      </c>
      <c r="M22" s="2"/>
      <c r="N22" s="21">
        <f t="shared" si="1"/>
        <v>-4.7221382595594566E-2</v>
      </c>
      <c r="O22" s="11"/>
      <c r="P22" s="2">
        <f>--4458.53</f>
        <v>4458.53</v>
      </c>
      <c r="Q22" s="2"/>
      <c r="R22" s="21"/>
      <c r="S22" s="2"/>
      <c r="T22" s="2">
        <f>--4887.65</f>
        <v>4887.6499999999996</v>
      </c>
      <c r="U22" s="2"/>
      <c r="V22" s="21"/>
      <c r="W22" s="2"/>
      <c r="X22" s="2">
        <f t="shared" si="2"/>
        <v>-429.11999999999989</v>
      </c>
      <c r="Y22" s="2"/>
      <c r="Z22" s="21">
        <f t="shared" si="3"/>
        <v>-8.7796793960287653E-2</v>
      </c>
    </row>
    <row r="23" spans="1:26" s="24" customFormat="1" hidden="1" outlineLevel="1" x14ac:dyDescent="0.25">
      <c r="A23" s="50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--10841.03</f>
        <v>10841.03</v>
      </c>
      <c r="E23" s="2"/>
      <c r="F23" s="21"/>
      <c r="G23" s="2"/>
      <c r="H23" s="2">
        <f>--10528.34</f>
        <v>10528.34</v>
      </c>
      <c r="I23" s="2"/>
      <c r="J23" s="21"/>
      <c r="K23" s="2"/>
      <c r="L23" s="2">
        <f t="shared" si="0"/>
        <v>312.69000000000051</v>
      </c>
      <c r="M23" s="2"/>
      <c r="N23" s="21">
        <f t="shared" si="1"/>
        <v>2.9699838721013998E-2</v>
      </c>
      <c r="O23" s="11"/>
      <c r="P23" s="2">
        <f>--12776.54</f>
        <v>12776.54</v>
      </c>
      <c r="Q23" s="2"/>
      <c r="R23" s="21"/>
      <c r="S23" s="2"/>
      <c r="T23" s="2">
        <f>--12602.86</f>
        <v>12602.86</v>
      </c>
      <c r="U23" s="2"/>
      <c r="V23" s="21"/>
      <c r="W23" s="2"/>
      <c r="X23" s="2">
        <f t="shared" si="2"/>
        <v>173.68000000000029</v>
      </c>
      <c r="Y23" s="2"/>
      <c r="Z23" s="21">
        <f t="shared" si="3"/>
        <v>1.3780998916119062E-2</v>
      </c>
    </row>
    <row r="24" spans="1:26" s="24" customFormat="1" hidden="1" outlineLevel="1" x14ac:dyDescent="0.25">
      <c r="A24" s="50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--65949.25</f>
        <v>65949.25</v>
      </c>
      <c r="E24" s="2"/>
      <c r="F24" s="21"/>
      <c r="G24" s="2"/>
      <c r="H24" s="2">
        <f>--61380.88</f>
        <v>61380.88</v>
      </c>
      <c r="I24" s="2"/>
      <c r="J24" s="21"/>
      <c r="K24" s="2"/>
      <c r="L24" s="2">
        <f t="shared" si="0"/>
        <v>4568.3700000000026</v>
      </c>
      <c r="M24" s="2"/>
      <c r="N24" s="21">
        <f t="shared" si="1"/>
        <v>7.442659668613423E-2</v>
      </c>
      <c r="O24" s="11"/>
      <c r="P24" s="2">
        <f>--79099.25</f>
        <v>79099.25</v>
      </c>
      <c r="Q24" s="2"/>
      <c r="R24" s="21"/>
      <c r="S24" s="2"/>
      <c r="T24" s="2">
        <f>--73303.38</f>
        <v>73303.38</v>
      </c>
      <c r="U24" s="2"/>
      <c r="V24" s="21"/>
      <c r="W24" s="2"/>
      <c r="X24" s="2">
        <f t="shared" si="2"/>
        <v>5795.8699999999953</v>
      </c>
      <c r="Y24" s="2"/>
      <c r="Z24" s="21">
        <f t="shared" si="3"/>
        <v>7.90668861381289E-2</v>
      </c>
    </row>
    <row r="25" spans="1:26" s="24" customFormat="1" hidden="1" outlineLevel="1" x14ac:dyDescent="0.25">
      <c r="A25" s="50"/>
      <c r="B25" s="11" t="str">
        <f>CONCATENATE("          ", "4028", " - ", "TAXABLE SALES-ART/TECH")</f>
        <v xml:space="preserve">          4028 - TAXABLE SALES-ART/TECH</v>
      </c>
      <c r="C25" s="11"/>
      <c r="D25" s="2">
        <f>--46631.39</f>
        <v>46631.39</v>
      </c>
      <c r="E25" s="2"/>
      <c r="F25" s="21"/>
      <c r="G25" s="2"/>
      <c r="H25" s="2">
        <f>--45686.16</f>
        <v>45686.16</v>
      </c>
      <c r="I25" s="2"/>
      <c r="J25" s="21"/>
      <c r="K25" s="2"/>
      <c r="L25" s="2">
        <f t="shared" si="0"/>
        <v>945.22999999999593</v>
      </c>
      <c r="M25" s="2"/>
      <c r="N25" s="21">
        <f t="shared" si="1"/>
        <v>2.0689635548270982E-2</v>
      </c>
      <c r="O25" s="11"/>
      <c r="P25" s="2">
        <f>--48915.55</f>
        <v>48915.55</v>
      </c>
      <c r="Q25" s="2"/>
      <c r="R25" s="21"/>
      <c r="S25" s="2"/>
      <c r="T25" s="2">
        <f>--47699.65</f>
        <v>47699.65</v>
      </c>
      <c r="U25" s="2"/>
      <c r="V25" s="21"/>
      <c r="W25" s="2"/>
      <c r="X25" s="2">
        <f t="shared" si="2"/>
        <v>1215.9000000000015</v>
      </c>
      <c r="Y25" s="2"/>
      <c r="Z25" s="21">
        <f t="shared" si="3"/>
        <v>2.5490753076804578E-2</v>
      </c>
    </row>
    <row r="26" spans="1:26" s="24" customFormat="1" hidden="1" outlineLevel="1" x14ac:dyDescent="0.25">
      <c r="A26" s="50"/>
      <c r="B26" s="11" t="str">
        <f>CONCATENATE("          ", "4031", " - ", "TAXABLE SALES-FOOD")</f>
        <v xml:space="preserve">          4031 - TAXABLE SALES-FOOD</v>
      </c>
      <c r="C26" s="11"/>
      <c r="D26" s="2">
        <f>--30.82</f>
        <v>30.82</v>
      </c>
      <c r="E26" s="2"/>
      <c r="F26" s="21"/>
      <c r="G26" s="2"/>
      <c r="H26" s="2">
        <f>--43.71</f>
        <v>43.71</v>
      </c>
      <c r="I26" s="2"/>
      <c r="J26" s="21"/>
      <c r="K26" s="2"/>
      <c r="L26" s="2">
        <f t="shared" si="0"/>
        <v>-12.89</v>
      </c>
      <c r="M26" s="2"/>
      <c r="N26" s="21">
        <f t="shared" si="1"/>
        <v>-0.29489819263326472</v>
      </c>
      <c r="O26" s="11"/>
      <c r="P26" s="2">
        <f>--32.34</f>
        <v>32.340000000000003</v>
      </c>
      <c r="Q26" s="2"/>
      <c r="R26" s="21"/>
      <c r="S26" s="2"/>
      <c r="T26" s="2">
        <f>--44.94</f>
        <v>44.94</v>
      </c>
      <c r="U26" s="2"/>
      <c r="V26" s="21"/>
      <c r="W26" s="2"/>
      <c r="X26" s="2">
        <f t="shared" si="2"/>
        <v>-12.599999999999994</v>
      </c>
      <c r="Y26" s="2"/>
      <c r="Z26" s="21">
        <f t="shared" si="3"/>
        <v>-0.2803738317757008</v>
      </c>
    </row>
    <row r="27" spans="1:26" s="24" customFormat="1" hidden="1" outlineLevel="1" x14ac:dyDescent="0.25">
      <c r="A27" s="50"/>
      <c r="B27" s="11" t="str">
        <f>CONCATENATE("          ", "4032", " - ", "TAXABLE SALES-JUICE")</f>
        <v xml:space="preserve">          4032 - TAXABLE SALES-JUICE</v>
      </c>
      <c r="C27" s="11"/>
      <c r="D27" s="2">
        <f>--2.34</f>
        <v>2.34</v>
      </c>
      <c r="E27" s="2"/>
      <c r="F27" s="21"/>
      <c r="G27" s="2"/>
      <c r="H27" s="2">
        <f>--2.15</f>
        <v>2.15</v>
      </c>
      <c r="I27" s="2"/>
      <c r="J27" s="21"/>
      <c r="K27" s="2"/>
      <c r="L27" s="2">
        <f t="shared" si="0"/>
        <v>0.18999999999999995</v>
      </c>
      <c r="M27" s="2"/>
      <c r="N27" s="21">
        <f t="shared" si="1"/>
        <v>8.8372093023255799E-2</v>
      </c>
      <c r="O27" s="11"/>
      <c r="P27" s="2">
        <f>--3.81</f>
        <v>3.81</v>
      </c>
      <c r="Q27" s="2"/>
      <c r="R27" s="21"/>
      <c r="S27" s="2"/>
      <c r="T27" s="2">
        <f>--2.37</f>
        <v>2.37</v>
      </c>
      <c r="U27" s="2"/>
      <c r="V27" s="21"/>
      <c r="W27" s="2"/>
      <c r="X27" s="2">
        <f t="shared" si="2"/>
        <v>1.44</v>
      </c>
      <c r="Y27" s="2"/>
      <c r="Z27" s="21">
        <f t="shared" si="3"/>
        <v>0.60759493670886067</v>
      </c>
    </row>
    <row r="28" spans="1:26" s="24" customFormat="1" hidden="1" outlineLevel="1" x14ac:dyDescent="0.25">
      <c r="A28" s="50"/>
      <c r="B28" s="11" t="str">
        <f>CONCATENATE("          ", "4033", " - ", "TAXABLE SALES-CANDY")</f>
        <v xml:space="preserve">          4033 - TAXABLE SALES-CANDY</v>
      </c>
      <c r="C28" s="11"/>
      <c r="D28" s="2">
        <f>--9.83</f>
        <v>9.83</v>
      </c>
      <c r="E28" s="2"/>
      <c r="F28" s="21"/>
      <c r="G28" s="2"/>
      <c r="H28" s="2">
        <f>--2.36</f>
        <v>2.36</v>
      </c>
      <c r="I28" s="2"/>
      <c r="J28" s="21"/>
      <c r="K28" s="2"/>
      <c r="L28" s="2">
        <f t="shared" si="0"/>
        <v>7.4700000000000006</v>
      </c>
      <c r="M28" s="2"/>
      <c r="N28" s="21">
        <f t="shared" si="1"/>
        <v>3.1652542372881358</v>
      </c>
      <c r="O28" s="11"/>
      <c r="P28" s="2">
        <f>--13</f>
        <v>13</v>
      </c>
      <c r="Q28" s="2"/>
      <c r="R28" s="21"/>
      <c r="S28" s="2"/>
      <c r="T28" s="2">
        <f>--3.04</f>
        <v>3.04</v>
      </c>
      <c r="U28" s="2"/>
      <c r="V28" s="21"/>
      <c r="W28" s="2"/>
      <c r="X28" s="2">
        <f t="shared" si="2"/>
        <v>9.9600000000000009</v>
      </c>
      <c r="Y28" s="2"/>
      <c r="Z28" s="21">
        <f t="shared" si="3"/>
        <v>3.2763157894736845</v>
      </c>
    </row>
    <row r="29" spans="1:26" s="24" customFormat="1" hidden="1" outlineLevel="1" x14ac:dyDescent="0.25">
      <c r="A29" s="50"/>
      <c r="B29" s="11" t="str">
        <f>CONCATENATE("          ", "4034", " - ", "TAXABLE SALES-SODA")</f>
        <v xml:space="preserve">          4034 - TAXABLE SALES-SODA</v>
      </c>
      <c r="C29" s="11"/>
      <c r="D29" s="2">
        <f>--280.8</f>
        <v>280.8</v>
      </c>
      <c r="E29" s="2"/>
      <c r="F29" s="21"/>
      <c r="G29" s="2"/>
      <c r="H29" s="2">
        <f>--357.17</f>
        <v>357.17</v>
      </c>
      <c r="I29" s="2"/>
      <c r="J29" s="21"/>
      <c r="K29" s="2"/>
      <c r="L29" s="2">
        <f t="shared" si="0"/>
        <v>-76.37</v>
      </c>
      <c r="M29" s="2"/>
      <c r="N29" s="21">
        <f t="shared" si="1"/>
        <v>-0.21381974969902287</v>
      </c>
      <c r="O29" s="11"/>
      <c r="P29" s="2">
        <f>--315.54</f>
        <v>315.54000000000002</v>
      </c>
      <c r="Q29" s="2"/>
      <c r="R29" s="21"/>
      <c r="S29" s="2"/>
      <c r="T29" s="2">
        <f>--398.93</f>
        <v>398.93</v>
      </c>
      <c r="U29" s="2"/>
      <c r="V29" s="21"/>
      <c r="W29" s="2"/>
      <c r="X29" s="2">
        <f t="shared" si="2"/>
        <v>-83.389999999999986</v>
      </c>
      <c r="Y29" s="2"/>
      <c r="Z29" s="21">
        <f t="shared" si="3"/>
        <v>-0.20903416639510689</v>
      </c>
    </row>
    <row r="30" spans="1:26" s="24" customFormat="1" hidden="1" outlineLevel="1" x14ac:dyDescent="0.25">
      <c r="A30" s="50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--92.48</f>
        <v>92.48</v>
      </c>
      <c r="E30" s="2"/>
      <c r="F30" s="21"/>
      <c r="G30" s="2"/>
      <c r="H30" s="2">
        <f>--97.58</f>
        <v>97.58</v>
      </c>
      <c r="I30" s="2"/>
      <c r="J30" s="21"/>
      <c r="K30" s="2"/>
      <c r="L30" s="2">
        <f t="shared" si="0"/>
        <v>-5.0999999999999943</v>
      </c>
      <c r="M30" s="2"/>
      <c r="N30" s="21">
        <f t="shared" si="1"/>
        <v>-5.2264808362369283E-2</v>
      </c>
      <c r="O30" s="11"/>
      <c r="P30" s="2">
        <f>--98.45</f>
        <v>98.45</v>
      </c>
      <c r="Q30" s="2"/>
      <c r="R30" s="21"/>
      <c r="S30" s="2"/>
      <c r="T30" s="2">
        <f>--145.63</f>
        <v>145.63</v>
      </c>
      <c r="U30" s="2"/>
      <c r="V30" s="21"/>
      <c r="W30" s="2"/>
      <c r="X30" s="2">
        <f t="shared" si="2"/>
        <v>-47.179999999999993</v>
      </c>
      <c r="Y30" s="2"/>
      <c r="Z30" s="21">
        <f t="shared" si="3"/>
        <v>-0.32397170912586687</v>
      </c>
    </row>
    <row r="31" spans="1:26" s="24" customFormat="1" hidden="1" outlineLevel="1" x14ac:dyDescent="0.25">
      <c r="A31" s="50"/>
      <c r="B31" s="11" t="str">
        <f>CONCATENATE("          ", "4037", " - ", "TAXABLE SALES-WATER")</f>
        <v xml:space="preserve">          4037 - TAXABLE SALES-WATER</v>
      </c>
      <c r="C31" s="11"/>
      <c r="D31" s="2">
        <f>--36.88</f>
        <v>36.880000000000003</v>
      </c>
      <c r="E31" s="2"/>
      <c r="F31" s="21"/>
      <c r="G31" s="2"/>
      <c r="H31" s="2">
        <f>--27.96</f>
        <v>27.96</v>
      </c>
      <c r="I31" s="2"/>
      <c r="J31" s="21"/>
      <c r="K31" s="2"/>
      <c r="L31" s="2">
        <f t="shared" si="0"/>
        <v>8.9200000000000017</v>
      </c>
      <c r="M31" s="2"/>
      <c r="N31" s="21">
        <f t="shared" si="1"/>
        <v>0.31902718168812594</v>
      </c>
      <c r="O31" s="11"/>
      <c r="P31" s="2">
        <f>--42.17</f>
        <v>42.17</v>
      </c>
      <c r="Q31" s="2"/>
      <c r="R31" s="21"/>
      <c r="S31" s="2"/>
      <c r="T31" s="2">
        <f>--33.27</f>
        <v>33.270000000000003</v>
      </c>
      <c r="U31" s="2"/>
      <c r="V31" s="21"/>
      <c r="W31" s="2"/>
      <c r="X31" s="2">
        <f t="shared" si="2"/>
        <v>8.8999999999999986</v>
      </c>
      <c r="Y31" s="2"/>
      <c r="Z31" s="21">
        <f t="shared" si="3"/>
        <v>0.26750826570483915</v>
      </c>
    </row>
    <row r="32" spans="1:26" s="24" customFormat="1" hidden="1" outlineLevel="1" x14ac:dyDescent="0.25">
      <c r="A32" s="50"/>
      <c r="B32" s="11" t="str">
        <f>CONCATENATE("          ", "4040", " - ", "TAXABLE SALES-LOGO CLOTHING")</f>
        <v xml:space="preserve">          4040 - TAXABLE SALES-LOGO CLOTHING</v>
      </c>
      <c r="C32" s="11"/>
      <c r="D32" s="2">
        <f>--219441.66</f>
        <v>219441.66</v>
      </c>
      <c r="E32" s="2"/>
      <c r="F32" s="21"/>
      <c r="G32" s="2"/>
      <c r="H32" s="2">
        <f>--183864.69</f>
        <v>183864.69</v>
      </c>
      <c r="I32" s="2"/>
      <c r="J32" s="21"/>
      <c r="K32" s="2"/>
      <c r="L32" s="2">
        <f t="shared" si="0"/>
        <v>35576.97</v>
      </c>
      <c r="M32" s="2"/>
      <c r="N32" s="21">
        <f t="shared" si="1"/>
        <v>0.19349539055051843</v>
      </c>
      <c r="O32" s="11"/>
      <c r="P32" s="2">
        <f>--389753.68</f>
        <v>389753.68</v>
      </c>
      <c r="Q32" s="2"/>
      <c r="R32" s="21"/>
      <c r="S32" s="2"/>
      <c r="T32" s="2">
        <f>--329836.35</f>
        <v>329836.34999999998</v>
      </c>
      <c r="U32" s="2"/>
      <c r="V32" s="21"/>
      <c r="W32" s="2"/>
      <c r="X32" s="2">
        <f t="shared" si="2"/>
        <v>59917.330000000016</v>
      </c>
      <c r="Y32" s="2"/>
      <c r="Z32" s="21">
        <f t="shared" si="3"/>
        <v>0.18165775239751478</v>
      </c>
    </row>
    <row r="33" spans="1:26" s="24" customFormat="1" hidden="1" outlineLevel="1" x14ac:dyDescent="0.25">
      <c r="A33" s="50"/>
      <c r="B33" s="11" t="str">
        <f>CONCATENATE("          ", "4041", " - ", "TAXABLE SALES-LOGO GIFTS")</f>
        <v xml:space="preserve">          4041 - TAXABLE SALES-LOGO GIFTS</v>
      </c>
      <c r="C33" s="11"/>
      <c r="D33" s="2">
        <f>--120650.82</f>
        <v>120650.82</v>
      </c>
      <c r="E33" s="2"/>
      <c r="F33" s="21"/>
      <c r="G33" s="2"/>
      <c r="H33" s="2">
        <f>--114605.27</f>
        <v>114605.27</v>
      </c>
      <c r="I33" s="2"/>
      <c r="J33" s="21"/>
      <c r="K33" s="2"/>
      <c r="L33" s="2">
        <f t="shared" si="0"/>
        <v>6045.5500000000029</v>
      </c>
      <c r="M33" s="2"/>
      <c r="N33" s="21">
        <f t="shared" si="1"/>
        <v>5.2751064588914653E-2</v>
      </c>
      <c r="O33" s="11"/>
      <c r="P33" s="2">
        <f>--151692.41</f>
        <v>151692.41</v>
      </c>
      <c r="Q33" s="2"/>
      <c r="R33" s="21"/>
      <c r="S33" s="2"/>
      <c r="T33" s="2">
        <f>--149783.35</f>
        <v>149783.35</v>
      </c>
      <c r="U33" s="2"/>
      <c r="V33" s="21"/>
      <c r="W33" s="2"/>
      <c r="X33" s="2">
        <f t="shared" si="2"/>
        <v>1909.0599999999977</v>
      </c>
      <c r="Y33" s="2"/>
      <c r="Z33" s="21">
        <f t="shared" si="3"/>
        <v>1.2745475381609488E-2</v>
      </c>
    </row>
    <row r="34" spans="1:26" s="24" customFormat="1" hidden="1" outlineLevel="1" x14ac:dyDescent="0.25">
      <c r="A34" s="50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--44445.92</f>
        <v>44445.919999999998</v>
      </c>
      <c r="E34" s="2"/>
      <c r="F34" s="21"/>
      <c r="G34" s="2"/>
      <c r="H34" s="2">
        <f>--29885.59</f>
        <v>29885.59</v>
      </c>
      <c r="I34" s="2"/>
      <c r="J34" s="21"/>
      <c r="K34" s="2"/>
      <c r="L34" s="2">
        <f t="shared" si="0"/>
        <v>14560.329999999998</v>
      </c>
      <c r="M34" s="2"/>
      <c r="N34" s="21">
        <f t="shared" si="1"/>
        <v>0.48720236073639495</v>
      </c>
      <c r="O34" s="11"/>
      <c r="P34" s="2">
        <f>--60038.97</f>
        <v>60038.97</v>
      </c>
      <c r="Q34" s="2"/>
      <c r="R34" s="21"/>
      <c r="S34" s="2"/>
      <c r="T34" s="2">
        <f>--43065.99</f>
        <v>43065.99</v>
      </c>
      <c r="U34" s="2"/>
      <c r="V34" s="21"/>
      <c r="W34" s="2"/>
      <c r="X34" s="2">
        <f t="shared" si="2"/>
        <v>16972.980000000003</v>
      </c>
      <c r="Y34" s="2"/>
      <c r="Z34" s="21">
        <f t="shared" si="3"/>
        <v>0.39411563509860109</v>
      </c>
    </row>
    <row r="35" spans="1:26" s="24" customFormat="1" hidden="1" outlineLevel="1" x14ac:dyDescent="0.25">
      <c r="A35" s="50"/>
      <c r="B35" s="11" t="str">
        <f>CONCATENATE("          ", "4043", " - ", "TAXABLE SALES-CARDS")</f>
        <v xml:space="preserve">          4043 - TAXABLE SALES-CARDS</v>
      </c>
      <c r="C35" s="11"/>
      <c r="D35" s="2">
        <f>--129.05</f>
        <v>129.05000000000001</v>
      </c>
      <c r="E35" s="2"/>
      <c r="F35" s="21"/>
      <c r="G35" s="2"/>
      <c r="H35" s="2">
        <f>--203.26</f>
        <v>203.26</v>
      </c>
      <c r="I35" s="2"/>
      <c r="J35" s="21"/>
      <c r="K35" s="2"/>
      <c r="L35" s="2">
        <f t="shared" si="0"/>
        <v>-74.20999999999998</v>
      </c>
      <c r="M35" s="2"/>
      <c r="N35" s="21">
        <f t="shared" si="1"/>
        <v>-0.36509888812358549</v>
      </c>
      <c r="O35" s="11"/>
      <c r="P35" s="2">
        <f>--185.45</f>
        <v>185.45</v>
      </c>
      <c r="Q35" s="2"/>
      <c r="R35" s="21"/>
      <c r="S35" s="2"/>
      <c r="T35" s="2">
        <f>--413.48</f>
        <v>413.48</v>
      </c>
      <c r="U35" s="2"/>
      <c r="V35" s="21"/>
      <c r="W35" s="2"/>
      <c r="X35" s="2">
        <f t="shared" si="2"/>
        <v>-228.03000000000003</v>
      </c>
      <c r="Y35" s="2"/>
      <c r="Z35" s="21">
        <f t="shared" si="3"/>
        <v>-0.55148979394408437</v>
      </c>
    </row>
    <row r="36" spans="1:26" s="24" customFormat="1" hidden="1" outlineLevel="1" x14ac:dyDescent="0.25">
      <c r="A36" s="50"/>
      <c r="B36" s="11" t="str">
        <f>CONCATENATE("          ", "4044", " - ", "TAXABLE SALES-ACCESSORIES")</f>
        <v xml:space="preserve">          4044 - TAXABLE SALES-ACCESSORIES</v>
      </c>
      <c r="C36" s="11"/>
      <c r="D36" s="2">
        <f>--19434.42</f>
        <v>19434.419999999998</v>
      </c>
      <c r="E36" s="2"/>
      <c r="F36" s="21"/>
      <c r="G36" s="2"/>
      <c r="H36" s="2">
        <f>--19647.94</f>
        <v>19647.939999999999</v>
      </c>
      <c r="I36" s="2"/>
      <c r="J36" s="21"/>
      <c r="K36" s="2"/>
      <c r="L36" s="2">
        <f t="shared" si="0"/>
        <v>-213.52000000000044</v>
      </c>
      <c r="M36" s="2"/>
      <c r="N36" s="21">
        <f t="shared" si="1"/>
        <v>-1.0867297029612288E-2</v>
      </c>
      <c r="O36" s="11"/>
      <c r="P36" s="2">
        <f>--21777.07</f>
        <v>21777.07</v>
      </c>
      <c r="Q36" s="2"/>
      <c r="R36" s="21"/>
      <c r="S36" s="2"/>
      <c r="T36" s="2">
        <f>--23405.78</f>
        <v>23405.78</v>
      </c>
      <c r="U36" s="2"/>
      <c r="V36" s="21"/>
      <c r="W36" s="2"/>
      <c r="X36" s="2">
        <f t="shared" si="2"/>
        <v>-1628.7099999999991</v>
      </c>
      <c r="Y36" s="2"/>
      <c r="Z36" s="21">
        <f t="shared" si="3"/>
        <v>-6.9585803164859239E-2</v>
      </c>
    </row>
    <row r="37" spans="1:26" s="24" customFormat="1" hidden="1" outlineLevel="1" x14ac:dyDescent="0.25">
      <c r="A37" s="50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--6103.32</f>
        <v>6103.32</v>
      </c>
      <c r="E37" s="2"/>
      <c r="F37" s="21"/>
      <c r="G37" s="2"/>
      <c r="H37" s="2">
        <f>--17649.91</f>
        <v>17649.91</v>
      </c>
      <c r="I37" s="2"/>
      <c r="J37" s="21"/>
      <c r="K37" s="2"/>
      <c r="L37" s="2">
        <f t="shared" si="0"/>
        <v>-11546.59</v>
      </c>
      <c r="M37" s="2"/>
      <c r="N37" s="21">
        <f t="shared" si="1"/>
        <v>-0.65420106958052482</v>
      </c>
      <c r="O37" s="11"/>
      <c r="P37" s="2">
        <f>--25524.04</f>
        <v>25524.04</v>
      </c>
      <c r="Q37" s="2"/>
      <c r="R37" s="21"/>
      <c r="S37" s="2"/>
      <c r="T37" s="2">
        <f>--42959.48</f>
        <v>42959.48</v>
      </c>
      <c r="U37" s="2"/>
      <c r="V37" s="21"/>
      <c r="W37" s="2"/>
      <c r="X37" s="2">
        <f t="shared" si="2"/>
        <v>-17435.440000000002</v>
      </c>
      <c r="Y37" s="2"/>
      <c r="Z37" s="21">
        <f t="shared" si="3"/>
        <v>-0.40585779902363811</v>
      </c>
    </row>
    <row r="38" spans="1:26" s="24" customFormat="1" hidden="1" outlineLevel="1" x14ac:dyDescent="0.25">
      <c r="A38" s="50"/>
      <c r="B38" s="11" t="str">
        <f>CONCATENATE("          ", "4047", " - ", "TAXABLE SALES-MISC")</f>
        <v xml:space="preserve">          4047 - TAXABLE SALES-MISC</v>
      </c>
      <c r="C38" s="11"/>
      <c r="D38" s="2">
        <f>--442.38</f>
        <v>442.38</v>
      </c>
      <c r="E38" s="2"/>
      <c r="F38" s="21"/>
      <c r="G38" s="2"/>
      <c r="H38" s="2">
        <f>--299.3</f>
        <v>299.3</v>
      </c>
      <c r="I38" s="2"/>
      <c r="J38" s="21"/>
      <c r="K38" s="2"/>
      <c r="L38" s="2">
        <f t="shared" si="0"/>
        <v>143.07999999999998</v>
      </c>
      <c r="M38" s="2"/>
      <c r="N38" s="21">
        <f t="shared" si="1"/>
        <v>0.4780487804878048</v>
      </c>
      <c r="O38" s="11"/>
      <c r="P38" s="2">
        <f>--482.38</f>
        <v>482.38</v>
      </c>
      <c r="Q38" s="2"/>
      <c r="R38" s="21"/>
      <c r="S38" s="2"/>
      <c r="T38" s="2">
        <f>--349.29</f>
        <v>349.29</v>
      </c>
      <c r="U38" s="2"/>
      <c r="V38" s="21"/>
      <c r="W38" s="2"/>
      <c r="X38" s="2">
        <f t="shared" si="2"/>
        <v>133.08999999999997</v>
      </c>
      <c r="Y38" s="2"/>
      <c r="Z38" s="21">
        <f t="shared" si="3"/>
        <v>0.38103008961035234</v>
      </c>
    </row>
    <row r="39" spans="1:26" s="24" customFormat="1" hidden="1" outlineLevel="1" x14ac:dyDescent="0.25">
      <c r="A39" s="50"/>
      <c r="B39" s="11" t="str">
        <f>CONCATENATE("          ", "4081", " - ", "TAXABLE SALES-ELECTRONICS")</f>
        <v xml:space="preserve">          4081 - TAXABLE SALES-ELECTRONICS</v>
      </c>
      <c r="C39" s="11"/>
      <c r="D39" s="2">
        <f>--88736.22</f>
        <v>88736.22</v>
      </c>
      <c r="E39" s="2"/>
      <c r="F39" s="21"/>
      <c r="G39" s="2"/>
      <c r="H39" s="2">
        <f>--62015.77</f>
        <v>62015.77</v>
      </c>
      <c r="I39" s="2"/>
      <c r="J39" s="21"/>
      <c r="K39" s="2"/>
      <c r="L39" s="2">
        <f t="shared" si="0"/>
        <v>26720.450000000004</v>
      </c>
      <c r="M39" s="2"/>
      <c r="N39" s="21">
        <f t="shared" si="1"/>
        <v>0.430865407298821</v>
      </c>
      <c r="O39" s="11"/>
      <c r="P39" s="2">
        <f>--109688.79</f>
        <v>109688.79</v>
      </c>
      <c r="Q39" s="2"/>
      <c r="R39" s="21"/>
      <c r="S39" s="2"/>
      <c r="T39" s="2">
        <f>--79072.65</f>
        <v>79072.649999999994</v>
      </c>
      <c r="U39" s="2"/>
      <c r="V39" s="21"/>
      <c r="W39" s="2"/>
      <c r="X39" s="2">
        <f t="shared" si="2"/>
        <v>30616.14</v>
      </c>
      <c r="Y39" s="2"/>
      <c r="Z39" s="21">
        <f t="shared" si="3"/>
        <v>0.3871900081760255</v>
      </c>
    </row>
    <row r="40" spans="1:26" s="24" customFormat="1" hidden="1" outlineLevel="1" x14ac:dyDescent="0.25">
      <c r="A40" s="50"/>
      <c r="B40" s="11" t="str">
        <f>CONCATENATE("          ", "4082", " - ", "TAXABLE SALES-COMPUTER HARDWAR")</f>
        <v xml:space="preserve">          4082 - TAXABLE SALES-COMPUTER HARDWAR</v>
      </c>
      <c r="C40" s="11"/>
      <c r="D40" s="2">
        <f>--414784.04</f>
        <v>414784.04</v>
      </c>
      <c r="E40" s="2"/>
      <c r="F40" s="21"/>
      <c r="G40" s="2"/>
      <c r="H40" s="2">
        <f>--221975.98</f>
        <v>221975.98</v>
      </c>
      <c r="I40" s="2"/>
      <c r="J40" s="21"/>
      <c r="K40" s="2"/>
      <c r="L40" s="2">
        <f t="shared" si="0"/>
        <v>192808.05999999997</v>
      </c>
      <c r="M40" s="2"/>
      <c r="N40" s="21">
        <f t="shared" si="1"/>
        <v>0.86859875559508715</v>
      </c>
      <c r="O40" s="11"/>
      <c r="P40" s="2">
        <f>--813572.78</f>
        <v>813572.78</v>
      </c>
      <c r="Q40" s="2"/>
      <c r="R40" s="21"/>
      <c r="S40" s="2"/>
      <c r="T40" s="2">
        <f>--593224.81</f>
        <v>593224.81000000006</v>
      </c>
      <c r="U40" s="2"/>
      <c r="V40" s="21"/>
      <c r="W40" s="2"/>
      <c r="X40" s="2">
        <f t="shared" si="2"/>
        <v>220347.96999999997</v>
      </c>
      <c r="Y40" s="2"/>
      <c r="Z40" s="21">
        <f t="shared" si="3"/>
        <v>0.37144092135998147</v>
      </c>
    </row>
    <row r="41" spans="1:26" s="24" customFormat="1" hidden="1" outlineLevel="1" x14ac:dyDescent="0.25">
      <c r="A41" s="50"/>
      <c r="B41" s="11" t="str">
        <f>CONCATENATE("          ", "4083", " - ", "TAXABLE SALES-COMPUTER EQUIPME")</f>
        <v xml:space="preserve">          4083 - TAXABLE SALES-COMPUTER EQUIPME</v>
      </c>
      <c r="C41" s="11"/>
      <c r="D41" s="2">
        <f>--15701.67</f>
        <v>15701.67</v>
      </c>
      <c r="E41" s="2"/>
      <c r="F41" s="21"/>
      <c r="G41" s="2"/>
      <c r="H41" s="2">
        <f>--17135.66</f>
        <v>17135.66</v>
      </c>
      <c r="I41" s="2"/>
      <c r="J41" s="21"/>
      <c r="K41" s="2"/>
      <c r="L41" s="2">
        <f t="shared" si="0"/>
        <v>-1433.9899999999998</v>
      </c>
      <c r="M41" s="2"/>
      <c r="N41" s="21">
        <f t="shared" si="1"/>
        <v>-8.3684550230338356E-2</v>
      </c>
      <c r="O41" s="11"/>
      <c r="P41" s="2">
        <f>--23607.77</f>
        <v>23607.77</v>
      </c>
      <c r="Q41" s="2"/>
      <c r="R41" s="21"/>
      <c r="S41" s="2"/>
      <c r="T41" s="2">
        <f>--24573.14</f>
        <v>24573.14</v>
      </c>
      <c r="U41" s="2"/>
      <c r="V41" s="21"/>
      <c r="W41" s="2"/>
      <c r="X41" s="2">
        <f t="shared" si="2"/>
        <v>-965.36999999999898</v>
      </c>
      <c r="Y41" s="2"/>
      <c r="Z41" s="21">
        <f t="shared" si="3"/>
        <v>-3.92855776673229E-2</v>
      </c>
    </row>
    <row r="42" spans="1:26" s="24" customFormat="1" hidden="1" outlineLevel="1" x14ac:dyDescent="0.25">
      <c r="A42" s="50"/>
      <c r="B42" s="11" t="str">
        <f>CONCATENATE("          ", "4084", " - ", "TAXABLE SALES-SOFTWARE LICENSE")</f>
        <v xml:space="preserve">          4084 - TAXABLE SALES-SOFTWARE LICENSE</v>
      </c>
      <c r="C42" s="11"/>
      <c r="D42" s="2">
        <f t="shared" ref="D42:D43" si="4">0</f>
        <v>0</v>
      </c>
      <c r="E42" s="2"/>
      <c r="F42" s="21"/>
      <c r="G42" s="2"/>
      <c r="H42" s="2">
        <f>0</f>
        <v>0</v>
      </c>
      <c r="I42" s="2"/>
      <c r="J42" s="21"/>
      <c r="K42" s="2"/>
      <c r="L42" s="2">
        <f t="shared" si="0"/>
        <v>0</v>
      </c>
      <c r="M42" s="2"/>
      <c r="N42" s="21">
        <f t="shared" si="1"/>
        <v>0</v>
      </c>
      <c r="O42" s="11"/>
      <c r="P42" s="2">
        <f>--129</f>
        <v>129</v>
      </c>
      <c r="Q42" s="2"/>
      <c r="R42" s="21"/>
      <c r="S42" s="2"/>
      <c r="T42" s="2">
        <f>--278.99</f>
        <v>278.99</v>
      </c>
      <c r="U42" s="2"/>
      <c r="V42" s="21"/>
      <c r="W42" s="2"/>
      <c r="X42" s="2">
        <f t="shared" si="2"/>
        <v>-149.99</v>
      </c>
      <c r="Y42" s="2"/>
      <c r="Z42" s="21">
        <f t="shared" si="3"/>
        <v>-0.53761783576472277</v>
      </c>
    </row>
    <row r="43" spans="1:26" s="24" customFormat="1" hidden="1" outlineLevel="1" x14ac:dyDescent="0.25">
      <c r="A43" s="50"/>
      <c r="B43" s="11" t="str">
        <f>CONCATENATE("          ", "4085", " - ", "TAXABLE SALES-SOFTWARE")</f>
        <v xml:space="preserve">          4085 - TAXABLE SALES-SOFTWARE</v>
      </c>
      <c r="C43" s="11"/>
      <c r="D43" s="2">
        <f t="shared" si="4"/>
        <v>0</v>
      </c>
      <c r="E43" s="2"/>
      <c r="F43" s="21"/>
      <c r="G43" s="2"/>
      <c r="H43" s="2">
        <f>--4160.95</f>
        <v>4160.95</v>
      </c>
      <c r="I43" s="2"/>
      <c r="J43" s="21"/>
      <c r="K43" s="2"/>
      <c r="L43" s="2">
        <f t="shared" si="0"/>
        <v>-4160.95</v>
      </c>
      <c r="M43" s="2"/>
      <c r="N43" s="21">
        <f t="shared" si="1"/>
        <v>-1</v>
      </c>
      <c r="O43" s="11"/>
      <c r="P43" s="2">
        <f>--493.95</f>
        <v>493.95</v>
      </c>
      <c r="Q43" s="2"/>
      <c r="R43" s="21"/>
      <c r="S43" s="2"/>
      <c r="T43" s="2">
        <f>--4976.95</f>
        <v>4976.95</v>
      </c>
      <c r="U43" s="2"/>
      <c r="V43" s="21"/>
      <c r="W43" s="2"/>
      <c r="X43" s="2">
        <f t="shared" si="2"/>
        <v>-4483</v>
      </c>
      <c r="Y43" s="2"/>
      <c r="Z43" s="21">
        <f t="shared" si="3"/>
        <v>-0.90075246888154392</v>
      </c>
    </row>
    <row r="44" spans="1:26" s="24" customFormat="1" hidden="1" outlineLevel="1" x14ac:dyDescent="0.25">
      <c r="A44" s="50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--7672.23</f>
        <v>7672.23</v>
      </c>
      <c r="E44" s="2"/>
      <c r="F44" s="21"/>
      <c r="G44" s="2"/>
      <c r="H44" s="2">
        <f>--9461.9</f>
        <v>9461.9</v>
      </c>
      <c r="I44" s="2"/>
      <c r="J44" s="21"/>
      <c r="K44" s="2"/>
      <c r="L44" s="2">
        <f t="shared" si="0"/>
        <v>-1789.67</v>
      </c>
      <c r="M44" s="2"/>
      <c r="N44" s="21">
        <f t="shared" si="1"/>
        <v>-0.18914488633361165</v>
      </c>
      <c r="O44" s="11"/>
      <c r="P44" s="2">
        <f>--9667.55</f>
        <v>9667.5499999999993</v>
      </c>
      <c r="Q44" s="2"/>
      <c r="R44" s="21"/>
      <c r="S44" s="2"/>
      <c r="T44" s="2">
        <f>--13957.31</f>
        <v>13957.31</v>
      </c>
      <c r="U44" s="2"/>
      <c r="V44" s="21"/>
      <c r="W44" s="2"/>
      <c r="X44" s="2">
        <f t="shared" si="2"/>
        <v>-4289.76</v>
      </c>
      <c r="Y44" s="2"/>
      <c r="Z44" s="21">
        <f t="shared" si="3"/>
        <v>-0.30734862233481958</v>
      </c>
    </row>
    <row r="45" spans="1:26" s="24" customFormat="1" hidden="1" outlineLevel="1" x14ac:dyDescent="0.25">
      <c r="A45" s="50"/>
      <c r="B45" s="11" t="str">
        <f>CONCATENATE("          ", "4088", " - ", "TAXABLE SALES-MUSIC")</f>
        <v xml:space="preserve">          4088 - TAXABLE SALES-MUSIC</v>
      </c>
      <c r="C45" s="11"/>
      <c r="D45" s="2">
        <f>--259.98</f>
        <v>259.98</v>
      </c>
      <c r="E45" s="2"/>
      <c r="F45" s="21"/>
      <c r="G45" s="2"/>
      <c r="H45" s="2">
        <f>--357.94</f>
        <v>357.94</v>
      </c>
      <c r="I45" s="2"/>
      <c r="J45" s="21"/>
      <c r="K45" s="2"/>
      <c r="L45" s="2">
        <f t="shared" si="0"/>
        <v>-97.95999999999998</v>
      </c>
      <c r="M45" s="2"/>
      <c r="N45" s="21">
        <f t="shared" si="1"/>
        <v>-0.27367715259540698</v>
      </c>
      <c r="O45" s="11"/>
      <c r="P45" s="2">
        <f>--518.97</f>
        <v>518.97</v>
      </c>
      <c r="Q45" s="2"/>
      <c r="R45" s="21"/>
      <c r="S45" s="2"/>
      <c r="T45" s="2">
        <f>--688.93</f>
        <v>688.93</v>
      </c>
      <c r="U45" s="2"/>
      <c r="V45" s="21"/>
      <c r="W45" s="2"/>
      <c r="X45" s="2">
        <f t="shared" si="2"/>
        <v>-169.95999999999992</v>
      </c>
      <c r="Y45" s="2"/>
      <c r="Z45" s="21">
        <f t="shared" si="3"/>
        <v>-0.24670140652896511</v>
      </c>
    </row>
    <row r="46" spans="1:26" s="24" customFormat="1" hidden="1" outlineLevel="1" x14ac:dyDescent="0.25">
      <c r="A46" s="50"/>
      <c r="B46" s="11" t="str">
        <f>CONCATENATE("          ", "4092", " - ", "TAXABLE SALES-GRAD MERCH")</f>
        <v xml:space="preserve">          4092 - TAXABLE SALES-GRAD MERCH</v>
      </c>
      <c r="C46" s="11"/>
      <c r="D46" s="2">
        <f>--1694.1</f>
        <v>1694.1</v>
      </c>
      <c r="E46" s="2"/>
      <c r="F46" s="21"/>
      <c r="G46" s="2"/>
      <c r="H46" s="2">
        <f>--677.9</f>
        <v>677.9</v>
      </c>
      <c r="I46" s="2"/>
      <c r="J46" s="21"/>
      <c r="K46" s="2"/>
      <c r="L46" s="2">
        <f t="shared" si="0"/>
        <v>1016.1999999999999</v>
      </c>
      <c r="M46" s="2"/>
      <c r="N46" s="21">
        <f t="shared" si="1"/>
        <v>1.4990411565127599</v>
      </c>
      <c r="O46" s="11"/>
      <c r="P46" s="2">
        <f>--3822.73</f>
        <v>3822.73</v>
      </c>
      <c r="Q46" s="2"/>
      <c r="R46" s="21"/>
      <c r="S46" s="2"/>
      <c r="T46" s="2">
        <f>--4016.4</f>
        <v>4016.4</v>
      </c>
      <c r="U46" s="2"/>
      <c r="V46" s="21"/>
      <c r="W46" s="2"/>
      <c r="X46" s="2">
        <f t="shared" si="2"/>
        <v>-193.67000000000007</v>
      </c>
      <c r="Y46" s="2"/>
      <c r="Z46" s="21">
        <f t="shared" si="3"/>
        <v>-4.8219798824818264E-2</v>
      </c>
    </row>
    <row r="47" spans="1:26" s="24" customFormat="1" hidden="1" outlineLevel="1" x14ac:dyDescent="0.25">
      <c r="A47" s="50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--127.49</f>
        <v>127.49</v>
      </c>
      <c r="E47" s="2"/>
      <c r="F47" s="21"/>
      <c r="G47" s="2"/>
      <c r="H47" s="2">
        <f>--326.7</f>
        <v>326.7</v>
      </c>
      <c r="I47" s="2"/>
      <c r="J47" s="21"/>
      <c r="K47" s="2"/>
      <c r="L47" s="2">
        <f t="shared" si="0"/>
        <v>-199.20999999999998</v>
      </c>
      <c r="M47" s="2"/>
      <c r="N47" s="21">
        <f t="shared" si="1"/>
        <v>-0.60976430976430973</v>
      </c>
      <c r="O47" s="11"/>
      <c r="P47" s="2">
        <f>--174.02</f>
        <v>174.02</v>
      </c>
      <c r="Q47" s="2"/>
      <c r="R47" s="21"/>
      <c r="S47" s="2"/>
      <c r="T47" s="2">
        <f>--513.81</f>
        <v>513.80999999999995</v>
      </c>
      <c r="U47" s="2"/>
      <c r="V47" s="21"/>
      <c r="W47" s="2"/>
      <c r="X47" s="2">
        <f t="shared" si="2"/>
        <v>-339.78999999999996</v>
      </c>
      <c r="Y47" s="2"/>
      <c r="Z47" s="21">
        <f t="shared" si="3"/>
        <v>-0.66131449368443584</v>
      </c>
    </row>
    <row r="48" spans="1:26" s="24" customFormat="1" hidden="1" outlineLevel="1" x14ac:dyDescent="0.25">
      <c r="A48" s="50"/>
      <c r="B48" s="11" t="str">
        <f>CONCATENATE("          ", "4100", " - ", "NON-TAXABLE SALES")</f>
        <v xml:space="preserve">          4100 - NON-TAXABLE SALES</v>
      </c>
      <c r="C48" s="11"/>
      <c r="D48" s="2">
        <f>--261252.23</f>
        <v>261252.23</v>
      </c>
      <c r="E48" s="2"/>
      <c r="F48" s="21"/>
      <c r="G48" s="2"/>
      <c r="H48" s="2">
        <f>--300198.31</f>
        <v>300198.31</v>
      </c>
      <c r="I48" s="2"/>
      <c r="J48" s="21"/>
      <c r="K48" s="2"/>
      <c r="L48" s="2">
        <f t="shared" si="0"/>
        <v>-38946.079999999987</v>
      </c>
      <c r="M48" s="2"/>
      <c r="N48" s="21">
        <f t="shared" si="1"/>
        <v>-0.12973450783250576</v>
      </c>
      <c r="O48" s="11"/>
      <c r="P48" s="2">
        <f>--265514.43</f>
        <v>265514.43</v>
      </c>
      <c r="Q48" s="2"/>
      <c r="R48" s="21"/>
      <c r="S48" s="2"/>
      <c r="T48" s="2">
        <f>--311059.16</f>
        <v>311059.15999999997</v>
      </c>
      <c r="U48" s="2"/>
      <c r="V48" s="21"/>
      <c r="W48" s="2"/>
      <c r="X48" s="2">
        <f t="shared" si="2"/>
        <v>-45544.729999999981</v>
      </c>
      <c r="Y48" s="2"/>
      <c r="Z48" s="21">
        <f t="shared" si="3"/>
        <v>-0.14641822475184457</v>
      </c>
    </row>
    <row r="49" spans="1:26" s="24" customFormat="1" hidden="1" outlineLevel="1" x14ac:dyDescent="0.25">
      <c r="A49" s="50"/>
      <c r="B49" s="11" t="str">
        <f>CONCATENATE("          ", "4101", " - ", "NON-TAXABLE SALES-NEW TEXT")</f>
        <v xml:space="preserve">          4101 - NON-TAXABLE SALES-NEW TEXT</v>
      </c>
      <c r="C49" s="11"/>
      <c r="D49" s="2">
        <f>--48156.44</f>
        <v>48156.44</v>
      </c>
      <c r="E49" s="2"/>
      <c r="F49" s="21"/>
      <c r="G49" s="2"/>
      <c r="H49" s="2">
        <f>--72613.98</f>
        <v>72613.98</v>
      </c>
      <c r="I49" s="2"/>
      <c r="J49" s="21"/>
      <c r="K49" s="2"/>
      <c r="L49" s="2">
        <f t="shared" si="0"/>
        <v>-24457.539999999994</v>
      </c>
      <c r="M49" s="2"/>
      <c r="N49" s="21">
        <f t="shared" si="1"/>
        <v>-0.33681585832370015</v>
      </c>
      <c r="O49" s="11"/>
      <c r="P49" s="2">
        <f>--55893.02</f>
        <v>55893.02</v>
      </c>
      <c r="Q49" s="2"/>
      <c r="R49" s="21"/>
      <c r="S49" s="2"/>
      <c r="T49" s="2">
        <f>--89447.21</f>
        <v>89447.21</v>
      </c>
      <c r="U49" s="2"/>
      <c r="V49" s="21"/>
      <c r="W49" s="2"/>
      <c r="X49" s="2">
        <f t="shared" si="2"/>
        <v>-33554.19000000001</v>
      </c>
      <c r="Y49" s="2"/>
      <c r="Z49" s="21">
        <f t="shared" si="3"/>
        <v>-0.3751284137314066</v>
      </c>
    </row>
    <row r="50" spans="1:26" s="24" customFormat="1" hidden="1" outlineLevel="1" x14ac:dyDescent="0.25">
      <c r="A50" s="50"/>
      <c r="B50" s="11" t="str">
        <f>CONCATENATE("          ", "4102", " - ", "NON-TAXABLE SALES-USED TEXT")</f>
        <v xml:space="preserve">          4102 - NON-TAXABLE SALES-USED TEXT</v>
      </c>
      <c r="C50" s="11"/>
      <c r="D50" s="2">
        <f>--27115.09</f>
        <v>27115.09</v>
      </c>
      <c r="E50" s="2"/>
      <c r="F50" s="21"/>
      <c r="G50" s="2"/>
      <c r="H50" s="2">
        <f>--38685.49</f>
        <v>38685.49</v>
      </c>
      <c r="I50" s="2"/>
      <c r="J50" s="21"/>
      <c r="K50" s="2"/>
      <c r="L50" s="2">
        <f t="shared" si="0"/>
        <v>-11570.399999999998</v>
      </c>
      <c r="M50" s="2"/>
      <c r="N50" s="21">
        <f t="shared" si="1"/>
        <v>-0.29908888319625776</v>
      </c>
      <c r="O50" s="11"/>
      <c r="P50" s="2">
        <f>--32474.33</f>
        <v>32474.33</v>
      </c>
      <c r="Q50" s="2"/>
      <c r="R50" s="21"/>
      <c r="S50" s="2"/>
      <c r="T50" s="2">
        <f>--41302.43</f>
        <v>41302.43</v>
      </c>
      <c r="U50" s="2"/>
      <c r="V50" s="21"/>
      <c r="W50" s="2"/>
      <c r="X50" s="2">
        <f t="shared" si="2"/>
        <v>-8828.0999999999985</v>
      </c>
      <c r="Y50" s="2"/>
      <c r="Z50" s="21">
        <f t="shared" si="3"/>
        <v>-0.21374287178744686</v>
      </c>
    </row>
    <row r="51" spans="1:26" s="24" customFormat="1" hidden="1" outlineLevel="1" x14ac:dyDescent="0.25">
      <c r="A51" s="50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--474.97</f>
        <v>474.97</v>
      </c>
      <c r="E51" s="2"/>
      <c r="F51" s="21"/>
      <c r="G51" s="2"/>
      <c r="H51" s="2">
        <f>--169.95</f>
        <v>169.95</v>
      </c>
      <c r="I51" s="2"/>
      <c r="J51" s="21"/>
      <c r="K51" s="2"/>
      <c r="L51" s="2">
        <f t="shared" si="0"/>
        <v>305.02000000000004</v>
      </c>
      <c r="M51" s="2"/>
      <c r="N51" s="21">
        <f t="shared" si="1"/>
        <v>1.7947631656369525</v>
      </c>
      <c r="O51" s="11"/>
      <c r="P51" s="2">
        <f>--474.97</f>
        <v>474.97</v>
      </c>
      <c r="Q51" s="2"/>
      <c r="R51" s="21"/>
      <c r="S51" s="2"/>
      <c r="T51" s="2">
        <f>--169.95</f>
        <v>169.95</v>
      </c>
      <c r="U51" s="2"/>
      <c r="V51" s="21"/>
      <c r="W51" s="2"/>
      <c r="X51" s="2">
        <f t="shared" si="2"/>
        <v>305.02000000000004</v>
      </c>
      <c r="Y51" s="2"/>
      <c r="Z51" s="21">
        <f t="shared" si="3"/>
        <v>1.7947631656369525</v>
      </c>
    </row>
    <row r="52" spans="1:26" s="24" customFormat="1" hidden="1" outlineLevel="1" x14ac:dyDescent="0.25">
      <c r="A52" s="50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--246443.9</f>
        <v>246443.9</v>
      </c>
      <c r="E52" s="2"/>
      <c r="F52" s="21"/>
      <c r="G52" s="2"/>
      <c r="H52" s="2">
        <f>--257792.9</f>
        <v>257792.9</v>
      </c>
      <c r="I52" s="2"/>
      <c r="J52" s="21"/>
      <c r="K52" s="2"/>
      <c r="L52" s="2">
        <f t="shared" si="0"/>
        <v>-11349</v>
      </c>
      <c r="M52" s="2"/>
      <c r="N52" s="21">
        <f t="shared" si="1"/>
        <v>-4.4023710505603532E-2</v>
      </c>
      <c r="O52" s="11"/>
      <c r="P52" s="2">
        <f>--259868.07</f>
        <v>259868.07</v>
      </c>
      <c r="Q52" s="2"/>
      <c r="R52" s="21"/>
      <c r="S52" s="2"/>
      <c r="T52" s="2">
        <f>--265140.56</f>
        <v>265140.56</v>
      </c>
      <c r="U52" s="2"/>
      <c r="V52" s="21"/>
      <c r="W52" s="2"/>
      <c r="X52" s="2">
        <f t="shared" si="2"/>
        <v>-5272.4899999999907</v>
      </c>
      <c r="Y52" s="2"/>
      <c r="Z52" s="21">
        <f t="shared" si="3"/>
        <v>-1.9885641035079622E-2</v>
      </c>
    </row>
    <row r="53" spans="1:26" s="24" customFormat="1" hidden="1" outlineLevel="1" x14ac:dyDescent="0.25">
      <c r="A53" s="50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--3067.16</f>
        <v>3067.16</v>
      </c>
      <c r="E53" s="2"/>
      <c r="F53" s="21"/>
      <c r="G53" s="2"/>
      <c r="H53" s="2">
        <f>--3839.39</f>
        <v>3839.39</v>
      </c>
      <c r="I53" s="2"/>
      <c r="J53" s="21"/>
      <c r="K53" s="2"/>
      <c r="L53" s="2">
        <f t="shared" si="0"/>
        <v>-772.23</v>
      </c>
      <c r="M53" s="2"/>
      <c r="N53" s="21">
        <f t="shared" si="1"/>
        <v>-0.20113351339665939</v>
      </c>
      <c r="O53" s="11"/>
      <c r="P53" s="2">
        <f>--5748.11</f>
        <v>5748.11</v>
      </c>
      <c r="Q53" s="2"/>
      <c r="R53" s="21"/>
      <c r="S53" s="2"/>
      <c r="T53" s="2">
        <f>--6667.97</f>
        <v>6667.97</v>
      </c>
      <c r="U53" s="2"/>
      <c r="V53" s="21"/>
      <c r="W53" s="2"/>
      <c r="X53" s="2">
        <f t="shared" si="2"/>
        <v>-919.86000000000058</v>
      </c>
      <c r="Y53" s="2"/>
      <c r="Z53" s="21">
        <f t="shared" si="3"/>
        <v>-0.13795203037806117</v>
      </c>
    </row>
    <row r="54" spans="1:26" s="24" customFormat="1" hidden="1" outlineLevel="1" x14ac:dyDescent="0.25">
      <c r="A54" s="50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--12.72</f>
        <v>12.72</v>
      </c>
      <c r="E54" s="2"/>
      <c r="F54" s="21"/>
      <c r="G54" s="2"/>
      <c r="H54" s="2">
        <f>--31.17</f>
        <v>31.17</v>
      </c>
      <c r="I54" s="2"/>
      <c r="J54" s="21"/>
      <c r="K54" s="2"/>
      <c r="L54" s="2">
        <f t="shared" si="0"/>
        <v>-18.450000000000003</v>
      </c>
      <c r="M54" s="2"/>
      <c r="N54" s="21">
        <f t="shared" si="1"/>
        <v>-0.59191530317613095</v>
      </c>
      <c r="O54" s="11"/>
      <c r="P54" s="2">
        <f>--1146.72</f>
        <v>1146.72</v>
      </c>
      <c r="Q54" s="2"/>
      <c r="R54" s="21"/>
      <c r="S54" s="2"/>
      <c r="T54" s="2">
        <f>--38.23</f>
        <v>38.229999999999997</v>
      </c>
      <c r="U54" s="2"/>
      <c r="V54" s="21"/>
      <c r="W54" s="2"/>
      <c r="X54" s="2">
        <f t="shared" si="2"/>
        <v>1108.49</v>
      </c>
      <c r="Y54" s="2"/>
      <c r="Z54" s="21">
        <f t="shared" si="3"/>
        <v>28.995291655767723</v>
      </c>
    </row>
    <row r="55" spans="1:26" s="24" customFormat="1" hidden="1" outlineLevel="1" x14ac:dyDescent="0.25">
      <c r="A55" s="50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--7.02</f>
        <v>7.02</v>
      </c>
      <c r="E55" s="2"/>
      <c r="F55" s="21"/>
      <c r="G55" s="2"/>
      <c r="H55" s="2">
        <f>--75.48</f>
        <v>75.48</v>
      </c>
      <c r="I55" s="2"/>
      <c r="J55" s="21"/>
      <c r="K55" s="2"/>
      <c r="L55" s="2">
        <f t="shared" si="0"/>
        <v>-68.460000000000008</v>
      </c>
      <c r="M55" s="2"/>
      <c r="N55" s="21">
        <f t="shared" si="1"/>
        <v>-0.90699523052464237</v>
      </c>
      <c r="O55" s="11"/>
      <c r="P55" s="2">
        <f>--13.97</f>
        <v>13.97</v>
      </c>
      <c r="Q55" s="2"/>
      <c r="R55" s="21"/>
      <c r="S55" s="2"/>
      <c r="T55" s="2">
        <f>--111.41</f>
        <v>111.41</v>
      </c>
      <c r="U55" s="2"/>
      <c r="V55" s="21"/>
      <c r="W55" s="2"/>
      <c r="X55" s="2">
        <f t="shared" si="2"/>
        <v>-97.44</v>
      </c>
      <c r="Y55" s="2"/>
      <c r="Z55" s="21">
        <f t="shared" si="3"/>
        <v>-0.87460730634592943</v>
      </c>
    </row>
    <row r="56" spans="1:26" s="24" customFormat="1" hidden="1" outlineLevel="1" x14ac:dyDescent="0.25">
      <c r="A56" s="50"/>
      <c r="B56" s="11" t="str">
        <f>CONCATENATE("          ", "4125", " - ", "NON-TAXABLE SALES-TEST FORMS")</f>
        <v xml:space="preserve">          4125 - NON-TAXABLE SALES-TEST FORMS</v>
      </c>
      <c r="C56" s="11"/>
      <c r="D56" s="2">
        <f>--77.17</f>
        <v>77.17</v>
      </c>
      <c r="E56" s="2"/>
      <c r="F56" s="21"/>
      <c r="G56" s="2"/>
      <c r="H56" s="2">
        <f>--102.67</f>
        <v>102.67</v>
      </c>
      <c r="I56" s="2"/>
      <c r="J56" s="21"/>
      <c r="K56" s="2"/>
      <c r="L56" s="2">
        <f t="shared" si="0"/>
        <v>-25.5</v>
      </c>
      <c r="M56" s="2"/>
      <c r="N56" s="21">
        <f t="shared" si="1"/>
        <v>-0.24836855946235512</v>
      </c>
      <c r="O56" s="11"/>
      <c r="P56" s="2">
        <f>--82.15</f>
        <v>82.15</v>
      </c>
      <c r="Q56" s="2"/>
      <c r="R56" s="21"/>
      <c r="S56" s="2"/>
      <c r="T56" s="2">
        <f>--108.79</f>
        <v>108.79</v>
      </c>
      <c r="U56" s="2"/>
      <c r="V56" s="21"/>
      <c r="W56" s="2"/>
      <c r="X56" s="2">
        <f t="shared" si="2"/>
        <v>-26.64</v>
      </c>
      <c r="Y56" s="2"/>
      <c r="Z56" s="21">
        <f t="shared" si="3"/>
        <v>-0.24487544811103962</v>
      </c>
    </row>
    <row r="57" spans="1:26" s="24" customFormat="1" hidden="1" outlineLevel="1" x14ac:dyDescent="0.25">
      <c r="A57" s="50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--844.09</f>
        <v>844.09</v>
      </c>
      <c r="E57" s="2"/>
      <c r="F57" s="21"/>
      <c r="G57" s="2"/>
      <c r="H57" s="2">
        <f>--916.07</f>
        <v>916.07</v>
      </c>
      <c r="I57" s="2"/>
      <c r="J57" s="21"/>
      <c r="K57" s="2"/>
      <c r="L57" s="2">
        <f t="shared" si="0"/>
        <v>-71.980000000000018</v>
      </c>
      <c r="M57" s="2"/>
      <c r="N57" s="21">
        <f t="shared" si="1"/>
        <v>-7.8574781403167898E-2</v>
      </c>
      <c r="O57" s="11"/>
      <c r="P57" s="2">
        <f>--1011.12</f>
        <v>1011.12</v>
      </c>
      <c r="Q57" s="2"/>
      <c r="R57" s="21"/>
      <c r="S57" s="2"/>
      <c r="T57" s="2">
        <f>--1180.97</f>
        <v>1180.97</v>
      </c>
      <c r="U57" s="2"/>
      <c r="V57" s="21"/>
      <c r="W57" s="2"/>
      <c r="X57" s="2">
        <f t="shared" si="2"/>
        <v>-169.85000000000002</v>
      </c>
      <c r="Y57" s="2"/>
      <c r="Z57" s="21">
        <f t="shared" si="3"/>
        <v>-0.14382245103601279</v>
      </c>
    </row>
    <row r="58" spans="1:26" s="24" customFormat="1" hidden="1" outlineLevel="1" x14ac:dyDescent="0.25">
      <c r="A58" s="50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--1692.39</f>
        <v>1692.39</v>
      </c>
      <c r="E58" s="2"/>
      <c r="F58" s="21"/>
      <c r="G58" s="2"/>
      <c r="H58" s="2">
        <f>--1764.56</f>
        <v>1764.56</v>
      </c>
      <c r="I58" s="2"/>
      <c r="J58" s="21"/>
      <c r="K58" s="2"/>
      <c r="L58" s="2">
        <f t="shared" si="0"/>
        <v>-72.169999999999845</v>
      </c>
      <c r="M58" s="2"/>
      <c r="N58" s="21">
        <f t="shared" si="1"/>
        <v>-4.0899714376388362E-2</v>
      </c>
      <c r="O58" s="11"/>
      <c r="P58" s="2">
        <f>--1870.28</f>
        <v>1870.28</v>
      </c>
      <c r="Q58" s="2"/>
      <c r="R58" s="21"/>
      <c r="S58" s="2"/>
      <c r="T58" s="2">
        <f>--1899.72</f>
        <v>1899.72</v>
      </c>
      <c r="U58" s="2"/>
      <c r="V58" s="21"/>
      <c r="W58" s="2"/>
      <c r="X58" s="2">
        <f t="shared" si="2"/>
        <v>-29.440000000000055</v>
      </c>
      <c r="Y58" s="2"/>
      <c r="Z58" s="21">
        <f t="shared" si="3"/>
        <v>-1.5497020613564132E-2</v>
      </c>
    </row>
    <row r="59" spans="1:26" s="24" customFormat="1" hidden="1" outlineLevel="1" x14ac:dyDescent="0.25">
      <c r="A59" s="50"/>
      <c r="B59" s="11" t="str">
        <f>CONCATENATE("          ", "4128", " - ", "NON-TAXABLE SALES-ART/TECH")</f>
        <v xml:space="preserve">          4128 - NON-TAXABLE SALES-ART/TECH</v>
      </c>
      <c r="C59" s="11"/>
      <c r="D59" s="2">
        <f>--128.61</f>
        <v>128.61000000000001</v>
      </c>
      <c r="E59" s="2"/>
      <c r="F59" s="21"/>
      <c r="G59" s="2"/>
      <c r="H59" s="2">
        <f>--373.3</f>
        <v>373.3</v>
      </c>
      <c r="I59" s="2"/>
      <c r="J59" s="21"/>
      <c r="K59" s="2"/>
      <c r="L59" s="2">
        <f t="shared" si="0"/>
        <v>-244.69</v>
      </c>
      <c r="M59" s="2"/>
      <c r="N59" s="21">
        <f t="shared" si="1"/>
        <v>-0.65547816769354406</v>
      </c>
      <c r="O59" s="11"/>
      <c r="P59" s="2">
        <f>--130.1</f>
        <v>130.1</v>
      </c>
      <c r="Q59" s="2"/>
      <c r="R59" s="21"/>
      <c r="S59" s="2"/>
      <c r="T59" s="2">
        <f>--403.99</f>
        <v>403.99</v>
      </c>
      <c r="U59" s="2"/>
      <c r="V59" s="21"/>
      <c r="W59" s="2"/>
      <c r="X59" s="2">
        <f t="shared" si="2"/>
        <v>-273.89</v>
      </c>
      <c r="Y59" s="2"/>
      <c r="Z59" s="21">
        <f t="shared" si="3"/>
        <v>-0.67796232580014348</v>
      </c>
    </row>
    <row r="60" spans="1:26" s="24" customFormat="1" hidden="1" outlineLevel="1" x14ac:dyDescent="0.25">
      <c r="A60" s="50"/>
      <c r="B60" s="11" t="str">
        <f>CONCATENATE("          ", "4131", " - ", "NON-TAXABLE SALES-FOOD")</f>
        <v xml:space="preserve">          4131 - NON-TAXABLE SALES-FOOD</v>
      </c>
      <c r="C60" s="11"/>
      <c r="D60" s="2">
        <f>--2447.58</f>
        <v>2447.58</v>
      </c>
      <c r="E60" s="2"/>
      <c r="F60" s="21"/>
      <c r="G60" s="2"/>
      <c r="H60" s="2">
        <f>--2624.89</f>
        <v>2624.89</v>
      </c>
      <c r="I60" s="2"/>
      <c r="J60" s="21"/>
      <c r="K60" s="2"/>
      <c r="L60" s="2">
        <f t="shared" si="0"/>
        <v>-177.30999999999995</v>
      </c>
      <c r="M60" s="2"/>
      <c r="N60" s="21">
        <f t="shared" si="1"/>
        <v>-6.7549497312268308E-2</v>
      </c>
      <c r="O60" s="11"/>
      <c r="P60" s="2">
        <f>--2717.2</f>
        <v>2717.2</v>
      </c>
      <c r="Q60" s="2"/>
      <c r="R60" s="21"/>
      <c r="S60" s="2"/>
      <c r="T60" s="2">
        <f>--2954.45</f>
        <v>2954.45</v>
      </c>
      <c r="U60" s="2"/>
      <c r="V60" s="21"/>
      <c r="W60" s="2"/>
      <c r="X60" s="2">
        <f t="shared" si="2"/>
        <v>-237.25</v>
      </c>
      <c r="Y60" s="2"/>
      <c r="Z60" s="21">
        <f t="shared" si="3"/>
        <v>-8.030259439151112E-2</v>
      </c>
    </row>
    <row r="61" spans="1:26" s="24" customFormat="1" hidden="1" outlineLevel="1" x14ac:dyDescent="0.25">
      <c r="A61" s="50"/>
      <c r="B61" s="11" t="str">
        <f>CONCATENATE("          ", "4132", " - ", "NON-TAXABLE SALES-JUICE")</f>
        <v xml:space="preserve">          4132 - NON-TAXABLE SALES-JUICE</v>
      </c>
      <c r="C61" s="11"/>
      <c r="D61" s="2">
        <f>--713.6</f>
        <v>713.6</v>
      </c>
      <c r="E61" s="2"/>
      <c r="F61" s="21"/>
      <c r="G61" s="2"/>
      <c r="H61" s="2">
        <f>--623.58</f>
        <v>623.58000000000004</v>
      </c>
      <c r="I61" s="2"/>
      <c r="J61" s="21"/>
      <c r="K61" s="2"/>
      <c r="L61" s="2">
        <f t="shared" si="0"/>
        <v>90.019999999999982</v>
      </c>
      <c r="M61" s="2"/>
      <c r="N61" s="21">
        <f t="shared" si="1"/>
        <v>0.14435998588793736</v>
      </c>
      <c r="O61" s="11"/>
      <c r="P61" s="2">
        <f>--758.91</f>
        <v>758.91</v>
      </c>
      <c r="Q61" s="2"/>
      <c r="R61" s="21"/>
      <c r="S61" s="2"/>
      <c r="T61" s="2">
        <f>--694.49</f>
        <v>694.49</v>
      </c>
      <c r="U61" s="2"/>
      <c r="V61" s="21"/>
      <c r="W61" s="2"/>
      <c r="X61" s="2">
        <f t="shared" si="2"/>
        <v>64.419999999999959</v>
      </c>
      <c r="Y61" s="2"/>
      <c r="Z61" s="21">
        <f t="shared" si="3"/>
        <v>9.2758715028294081E-2</v>
      </c>
    </row>
    <row r="62" spans="1:26" s="24" customFormat="1" hidden="1" outlineLevel="1" x14ac:dyDescent="0.25">
      <c r="A62" s="50"/>
      <c r="B62" s="11" t="str">
        <f>CONCATENATE("          ", "4133", " - ", "NON-TAXABLE SALES-CANDY")</f>
        <v xml:space="preserve">          4133 - NON-TAXABLE SALES-CANDY</v>
      </c>
      <c r="C62" s="11"/>
      <c r="D62" s="2">
        <f>--900.13</f>
        <v>900.13</v>
      </c>
      <c r="E62" s="2"/>
      <c r="F62" s="21"/>
      <c r="G62" s="2"/>
      <c r="H62" s="2">
        <f>--824.26</f>
        <v>824.26</v>
      </c>
      <c r="I62" s="2"/>
      <c r="J62" s="21"/>
      <c r="K62" s="2"/>
      <c r="L62" s="2">
        <f t="shared" si="0"/>
        <v>75.87</v>
      </c>
      <c r="M62" s="2"/>
      <c r="N62" s="21">
        <f t="shared" si="1"/>
        <v>9.2046199014873958E-2</v>
      </c>
      <c r="O62" s="11"/>
      <c r="P62" s="2">
        <f>--1372.35</f>
        <v>1372.35</v>
      </c>
      <c r="Q62" s="2"/>
      <c r="R62" s="21"/>
      <c r="S62" s="2"/>
      <c r="T62" s="2">
        <f>--1192.81</f>
        <v>1192.81</v>
      </c>
      <c r="U62" s="2"/>
      <c r="V62" s="21"/>
      <c r="W62" s="2"/>
      <c r="X62" s="2">
        <f t="shared" si="2"/>
        <v>179.53999999999996</v>
      </c>
      <c r="Y62" s="2"/>
      <c r="Z62" s="21">
        <f t="shared" si="3"/>
        <v>0.15051852348655692</v>
      </c>
    </row>
    <row r="63" spans="1:26" s="24" customFormat="1" hidden="1" outlineLevel="1" x14ac:dyDescent="0.25">
      <c r="A63" s="50"/>
      <c r="B63" s="11" t="str">
        <f>CONCATENATE("          ", "4134", " - ", "NON-TAXABLE SALES-SODA")</f>
        <v xml:space="preserve">          4134 - NON-TAXABLE SALES-SODA</v>
      </c>
      <c r="C63" s="11"/>
      <c r="D63" s="2">
        <f>0</f>
        <v>0</v>
      </c>
      <c r="E63" s="2"/>
      <c r="F63" s="21"/>
      <c r="G63" s="2"/>
      <c r="H63" s="2">
        <f>--48.48</f>
        <v>48.48</v>
      </c>
      <c r="I63" s="2"/>
      <c r="J63" s="21"/>
      <c r="K63" s="2"/>
      <c r="L63" s="2">
        <f t="shared" si="0"/>
        <v>-48.48</v>
      </c>
      <c r="M63" s="2"/>
      <c r="N63" s="21">
        <f t="shared" si="1"/>
        <v>-1</v>
      </c>
      <c r="O63" s="11"/>
      <c r="P63" s="2">
        <f>0</f>
        <v>0</v>
      </c>
      <c r="Q63" s="2"/>
      <c r="R63" s="21"/>
      <c r="S63" s="2"/>
      <c r="T63" s="2">
        <f>--53.73</f>
        <v>53.73</v>
      </c>
      <c r="U63" s="2"/>
      <c r="V63" s="21"/>
      <c r="W63" s="2"/>
      <c r="X63" s="2">
        <f t="shared" si="2"/>
        <v>-53.73</v>
      </c>
      <c r="Y63" s="2"/>
      <c r="Z63" s="21">
        <f t="shared" si="3"/>
        <v>-1</v>
      </c>
    </row>
    <row r="64" spans="1:26" s="24" customFormat="1" hidden="1" outlineLevel="1" x14ac:dyDescent="0.25">
      <c r="A64" s="50"/>
      <c r="B64" s="11" t="str">
        <f>CONCATENATE("          ", "4135", " - ", "NON-TAXABLE SALES")</f>
        <v xml:space="preserve">          4135 - NON-TAXABLE SALES</v>
      </c>
      <c r="C64" s="11"/>
      <c r="D64" s="2">
        <f>--32.21</f>
        <v>32.21</v>
      </c>
      <c r="E64" s="2"/>
      <c r="F64" s="21"/>
      <c r="G64" s="2"/>
      <c r="H64" s="2">
        <f>--9.41</f>
        <v>9.41</v>
      </c>
      <c r="I64" s="2"/>
      <c r="J64" s="21"/>
      <c r="K64" s="2"/>
      <c r="L64" s="2">
        <f t="shared" si="0"/>
        <v>22.8</v>
      </c>
      <c r="M64" s="2"/>
      <c r="N64" s="21">
        <f t="shared" si="1"/>
        <v>2.4229543039319874</v>
      </c>
      <c r="O64" s="11"/>
      <c r="P64" s="2">
        <f>--53.75</f>
        <v>53.75</v>
      </c>
      <c r="Q64" s="2"/>
      <c r="R64" s="21"/>
      <c r="S64" s="2"/>
      <c r="T64" s="2">
        <f>--16.59</f>
        <v>16.59</v>
      </c>
      <c r="U64" s="2"/>
      <c r="V64" s="21"/>
      <c r="W64" s="2"/>
      <c r="X64" s="2">
        <f t="shared" si="2"/>
        <v>37.159999999999997</v>
      </c>
      <c r="Y64" s="2"/>
      <c r="Z64" s="21">
        <f t="shared" si="3"/>
        <v>2.2399035563592524</v>
      </c>
    </row>
    <row r="65" spans="1:26" s="24" customFormat="1" hidden="1" outlineLevel="1" x14ac:dyDescent="0.25">
      <c r="A65" s="50"/>
      <c r="B65" s="11" t="str">
        <f>CONCATENATE("          ", "4137", " - ", "NON-TAXABLE SALES-WATER")</f>
        <v xml:space="preserve">          4137 - NON-TAXABLE SALES-WATER</v>
      </c>
      <c r="C65" s="11"/>
      <c r="D65" s="2">
        <f>--553.7</f>
        <v>553.70000000000005</v>
      </c>
      <c r="E65" s="2"/>
      <c r="F65" s="21"/>
      <c r="G65" s="2"/>
      <c r="H65" s="2">
        <f>--405.59</f>
        <v>405.59</v>
      </c>
      <c r="I65" s="2"/>
      <c r="J65" s="21"/>
      <c r="K65" s="2"/>
      <c r="L65" s="2">
        <f t="shared" si="0"/>
        <v>148.11000000000007</v>
      </c>
      <c r="M65" s="2"/>
      <c r="N65" s="21">
        <f t="shared" si="1"/>
        <v>0.36517172514115259</v>
      </c>
      <c r="O65" s="11"/>
      <c r="P65" s="2">
        <f>--606.72</f>
        <v>606.72</v>
      </c>
      <c r="Q65" s="2"/>
      <c r="R65" s="21"/>
      <c r="S65" s="2"/>
      <c r="T65" s="2">
        <f>--463.97</f>
        <v>463.97</v>
      </c>
      <c r="U65" s="2"/>
      <c r="V65" s="21"/>
      <c r="W65" s="2"/>
      <c r="X65" s="2">
        <f t="shared" si="2"/>
        <v>142.75</v>
      </c>
      <c r="Y65" s="2"/>
      <c r="Z65" s="21">
        <f t="shared" si="3"/>
        <v>0.30767075457464921</v>
      </c>
    </row>
    <row r="66" spans="1:26" s="24" customFormat="1" hidden="1" outlineLevel="1" x14ac:dyDescent="0.25">
      <c r="A66" s="50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--1979.29</f>
        <v>1979.29</v>
      </c>
      <c r="E66" s="2"/>
      <c r="F66" s="21"/>
      <c r="G66" s="2"/>
      <c r="H66" s="2">
        <f>--3444.26</f>
        <v>3444.26</v>
      </c>
      <c r="I66" s="2"/>
      <c r="J66" s="21"/>
      <c r="K66" s="2"/>
      <c r="L66" s="2">
        <f t="shared" si="0"/>
        <v>-1464.9700000000003</v>
      </c>
      <c r="M66" s="2"/>
      <c r="N66" s="21">
        <f t="shared" si="1"/>
        <v>-0.42533664705916513</v>
      </c>
      <c r="O66" s="11"/>
      <c r="P66" s="2">
        <f>--5142.96</f>
        <v>5142.96</v>
      </c>
      <c r="Q66" s="2"/>
      <c r="R66" s="21"/>
      <c r="S66" s="2"/>
      <c r="T66" s="2">
        <f>--5257.81</f>
        <v>5257.81</v>
      </c>
      <c r="U66" s="2"/>
      <c r="V66" s="21"/>
      <c r="W66" s="2"/>
      <c r="X66" s="2">
        <f t="shared" si="2"/>
        <v>-114.85000000000036</v>
      </c>
      <c r="Y66" s="2"/>
      <c r="Z66" s="21">
        <f t="shared" si="3"/>
        <v>-2.1843695378874543E-2</v>
      </c>
    </row>
    <row r="67" spans="1:26" s="24" customFormat="1" hidden="1" outlineLevel="1" x14ac:dyDescent="0.25">
      <c r="A67" s="50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--432.15</f>
        <v>432.15</v>
      </c>
      <c r="E67" s="2"/>
      <c r="F67" s="21"/>
      <c r="G67" s="2"/>
      <c r="H67" s="2">
        <f>--926.4</f>
        <v>926.4</v>
      </c>
      <c r="I67" s="2"/>
      <c r="J67" s="21"/>
      <c r="K67" s="2"/>
      <c r="L67" s="2">
        <f t="shared" si="0"/>
        <v>-494.25</v>
      </c>
      <c r="M67" s="2"/>
      <c r="N67" s="21">
        <f t="shared" si="1"/>
        <v>-0.53351683937823835</v>
      </c>
      <c r="O67" s="11"/>
      <c r="P67" s="2">
        <f>--694.3</f>
        <v>694.3</v>
      </c>
      <c r="Q67" s="2"/>
      <c r="R67" s="21"/>
      <c r="S67" s="2"/>
      <c r="T67" s="2">
        <f>--1120</f>
        <v>1120</v>
      </c>
      <c r="U67" s="2"/>
      <c r="V67" s="21"/>
      <c r="W67" s="2"/>
      <c r="X67" s="2">
        <f t="shared" si="2"/>
        <v>-425.70000000000005</v>
      </c>
      <c r="Y67" s="2"/>
      <c r="Z67" s="21">
        <f t="shared" si="3"/>
        <v>-0.38008928571428574</v>
      </c>
    </row>
    <row r="68" spans="1:26" s="24" customFormat="1" hidden="1" outlineLevel="1" x14ac:dyDescent="0.25">
      <c r="A68" s="50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--577.66</f>
        <v>577.66</v>
      </c>
      <c r="E68" s="2"/>
      <c r="F68" s="21"/>
      <c r="G68" s="2"/>
      <c r="H68" s="2">
        <f>--510.04</f>
        <v>510.04</v>
      </c>
      <c r="I68" s="2"/>
      <c r="J68" s="21"/>
      <c r="K68" s="2"/>
      <c r="L68" s="2">
        <f t="shared" si="0"/>
        <v>67.619999999999948</v>
      </c>
      <c r="M68" s="2"/>
      <c r="N68" s="21">
        <f t="shared" si="1"/>
        <v>0.13257783703238951</v>
      </c>
      <c r="O68" s="11"/>
      <c r="P68" s="2">
        <f>--920.1</f>
        <v>920.1</v>
      </c>
      <c r="Q68" s="2"/>
      <c r="R68" s="21"/>
      <c r="S68" s="2"/>
      <c r="T68" s="2">
        <f>--658.99</f>
        <v>658.99</v>
      </c>
      <c r="U68" s="2"/>
      <c r="V68" s="21"/>
      <c r="W68" s="2"/>
      <c r="X68" s="2">
        <f t="shared" si="2"/>
        <v>261.11</v>
      </c>
      <c r="Y68" s="2"/>
      <c r="Z68" s="21">
        <f t="shared" si="3"/>
        <v>0.39622756035751683</v>
      </c>
    </row>
    <row r="69" spans="1:26" s="24" customFormat="1" hidden="1" outlineLevel="1" x14ac:dyDescent="0.25">
      <c r="A69" s="50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--117.86</f>
        <v>117.86</v>
      </c>
      <c r="E69" s="2"/>
      <c r="F69" s="21"/>
      <c r="G69" s="2"/>
      <c r="H69" s="2">
        <f>--39.95</f>
        <v>39.950000000000003</v>
      </c>
      <c r="I69" s="2"/>
      <c r="J69" s="21"/>
      <c r="K69" s="2"/>
      <c r="L69" s="2">
        <f t="shared" si="0"/>
        <v>77.91</v>
      </c>
      <c r="M69" s="2"/>
      <c r="N69" s="21">
        <f t="shared" si="1"/>
        <v>1.9501877346683352</v>
      </c>
      <c r="O69" s="11"/>
      <c r="P69" s="2">
        <f>--139.76</f>
        <v>139.76</v>
      </c>
      <c r="Q69" s="2"/>
      <c r="R69" s="21"/>
      <c r="S69" s="2"/>
      <c r="T69" s="2">
        <f>--84.9</f>
        <v>84.9</v>
      </c>
      <c r="U69" s="2"/>
      <c r="V69" s="21"/>
      <c r="W69" s="2"/>
      <c r="X69" s="2">
        <f t="shared" si="2"/>
        <v>54.859999999999985</v>
      </c>
      <c r="Y69" s="2"/>
      <c r="Z69" s="21">
        <f t="shared" si="3"/>
        <v>0.64617196702002333</v>
      </c>
    </row>
    <row r="70" spans="1:26" s="24" customFormat="1" hidden="1" outlineLevel="1" x14ac:dyDescent="0.25">
      <c r="A70" s="50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--90</f>
        <v>90</v>
      </c>
      <c r="E70" s="2"/>
      <c r="F70" s="21"/>
      <c r="G70" s="2"/>
      <c r="H70" s="2">
        <f>--141.9</f>
        <v>141.9</v>
      </c>
      <c r="I70" s="2"/>
      <c r="J70" s="21"/>
      <c r="K70" s="2"/>
      <c r="L70" s="2">
        <f t="shared" si="0"/>
        <v>-51.900000000000006</v>
      </c>
      <c r="M70" s="2"/>
      <c r="N70" s="21">
        <f t="shared" si="1"/>
        <v>-0.36575052854122625</v>
      </c>
      <c r="O70" s="11"/>
      <c r="P70" s="2">
        <f>--90</f>
        <v>90</v>
      </c>
      <c r="Q70" s="2"/>
      <c r="R70" s="21"/>
      <c r="S70" s="2"/>
      <c r="T70" s="2">
        <f>--201.75</f>
        <v>201.75</v>
      </c>
      <c r="U70" s="2"/>
      <c r="V70" s="21"/>
      <c r="W70" s="2"/>
      <c r="X70" s="2">
        <f t="shared" si="2"/>
        <v>-111.75</v>
      </c>
      <c r="Y70" s="2"/>
      <c r="Z70" s="21">
        <f t="shared" si="3"/>
        <v>-0.55390334572490707</v>
      </c>
    </row>
    <row r="71" spans="1:26" s="24" customFormat="1" hidden="1" outlineLevel="1" x14ac:dyDescent="0.25">
      <c r="A71" s="50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--13281.65</f>
        <v>13281.65</v>
      </c>
      <c r="E71" s="2"/>
      <c r="F71" s="21"/>
      <c r="G71" s="2"/>
      <c r="H71" s="2">
        <f>--12322.4</f>
        <v>12322.4</v>
      </c>
      <c r="I71" s="2"/>
      <c r="J71" s="21"/>
      <c r="K71" s="2"/>
      <c r="L71" s="2">
        <f t="shared" si="0"/>
        <v>959.25</v>
      </c>
      <c r="M71" s="2"/>
      <c r="N71" s="21">
        <f t="shared" si="1"/>
        <v>7.7846036486398762E-2</v>
      </c>
      <c r="O71" s="11"/>
      <c r="P71" s="2">
        <f>--15348.75</f>
        <v>15348.75</v>
      </c>
      <c r="Q71" s="2"/>
      <c r="R71" s="21"/>
      <c r="S71" s="2"/>
      <c r="T71" s="2">
        <f>--14703.05</f>
        <v>14703.05</v>
      </c>
      <c r="U71" s="2"/>
      <c r="V71" s="21"/>
      <c r="W71" s="2"/>
      <c r="X71" s="2">
        <f t="shared" si="2"/>
        <v>645.70000000000073</v>
      </c>
      <c r="Y71" s="2"/>
      <c r="Z71" s="21">
        <f t="shared" si="3"/>
        <v>4.3916058232815691E-2</v>
      </c>
    </row>
    <row r="72" spans="1:26" s="24" customFormat="1" hidden="1" outlineLevel="1" x14ac:dyDescent="0.25">
      <c r="A72" s="50"/>
      <c r="B72" s="11" t="str">
        <f>CONCATENATE("          ", "4147", " - ", "NON-TAXABLE SALES-MISC")</f>
        <v xml:space="preserve">          4147 - NON-TAXABLE SALES-MISC</v>
      </c>
      <c r="C72" s="11"/>
      <c r="D72" s="2">
        <f>--53.9</f>
        <v>53.9</v>
      </c>
      <c r="E72" s="2"/>
      <c r="F72" s="21"/>
      <c r="G72" s="2"/>
      <c r="H72" s="2">
        <f>--80</f>
        <v>80</v>
      </c>
      <c r="I72" s="2"/>
      <c r="J72" s="21"/>
      <c r="K72" s="2"/>
      <c r="L72" s="2">
        <f t="shared" si="0"/>
        <v>-26.1</v>
      </c>
      <c r="M72" s="2"/>
      <c r="N72" s="21">
        <f t="shared" si="1"/>
        <v>-0.32625000000000004</v>
      </c>
      <c r="O72" s="11"/>
      <c r="P72" s="2">
        <f>--70.4</f>
        <v>70.400000000000006</v>
      </c>
      <c r="Q72" s="2"/>
      <c r="R72" s="21"/>
      <c r="S72" s="2"/>
      <c r="T72" s="2">
        <f>--98</f>
        <v>98</v>
      </c>
      <c r="U72" s="2"/>
      <c r="V72" s="21"/>
      <c r="W72" s="2"/>
      <c r="X72" s="2">
        <f t="shared" si="2"/>
        <v>-27.599999999999994</v>
      </c>
      <c r="Y72" s="2"/>
      <c r="Z72" s="21">
        <f t="shared" si="3"/>
        <v>-0.28163265306122442</v>
      </c>
    </row>
    <row r="73" spans="1:26" s="24" customFormat="1" hidden="1" outlineLevel="1" x14ac:dyDescent="0.25">
      <c r="A73" s="50"/>
      <c r="B73" s="11" t="str">
        <f>CONCATENATE("          ", "4181", " - ", "NON-TAXABLE SALES-ELECTRONICS")</f>
        <v xml:space="preserve">          4181 - NON-TAXABLE SALES-ELECTRONICS</v>
      </c>
      <c r="C73" s="11"/>
      <c r="D73" s="2">
        <f>--87.95</f>
        <v>87.95</v>
      </c>
      <c r="E73" s="2"/>
      <c r="F73" s="21"/>
      <c r="G73" s="2"/>
      <c r="H73" s="2">
        <f>--147.95</f>
        <v>147.94999999999999</v>
      </c>
      <c r="I73" s="2"/>
      <c r="J73" s="21"/>
      <c r="K73" s="2"/>
      <c r="L73" s="2">
        <f t="shared" si="0"/>
        <v>-59.999999999999986</v>
      </c>
      <c r="M73" s="2"/>
      <c r="N73" s="21">
        <f t="shared" si="1"/>
        <v>-0.40554241297735716</v>
      </c>
      <c r="O73" s="11"/>
      <c r="P73" s="2">
        <f>--1390.56</f>
        <v>1390.56</v>
      </c>
      <c r="Q73" s="2"/>
      <c r="R73" s="21"/>
      <c r="S73" s="2"/>
      <c r="T73" s="2">
        <f>--341.97</f>
        <v>341.97</v>
      </c>
      <c r="U73" s="2"/>
      <c r="V73" s="21"/>
      <c r="W73" s="2"/>
      <c r="X73" s="2">
        <f t="shared" si="2"/>
        <v>1048.5899999999999</v>
      </c>
      <c r="Y73" s="2"/>
      <c r="Z73" s="21">
        <f t="shared" si="3"/>
        <v>3.066321607158522</v>
      </c>
    </row>
    <row r="74" spans="1:26" s="24" customFormat="1" hidden="1" outlineLevel="1" x14ac:dyDescent="0.25">
      <c r="A74" s="50"/>
      <c r="B74" s="11" t="str">
        <f>CONCATENATE("          ", "4182", " - ", "NON-TAXABLE SALES-COMPUTER HAR")</f>
        <v xml:space="preserve">          4182 - NON-TAXABLE SALES-COMPUTER HAR</v>
      </c>
      <c r="C74" s="11"/>
      <c r="D74" s="2">
        <f>--19953</f>
        <v>19953</v>
      </c>
      <c r="E74" s="2"/>
      <c r="F74" s="21"/>
      <c r="G74" s="2"/>
      <c r="H74" s="2">
        <f>--12039</f>
        <v>12039</v>
      </c>
      <c r="I74" s="2"/>
      <c r="J74" s="21"/>
      <c r="K74" s="2"/>
      <c r="L74" s="2">
        <f t="shared" si="0"/>
        <v>7914</v>
      </c>
      <c r="M74" s="2"/>
      <c r="N74" s="21">
        <f t="shared" si="1"/>
        <v>0.65736356840269128</v>
      </c>
      <c r="O74" s="11"/>
      <c r="P74" s="2">
        <f>--30571</f>
        <v>30571</v>
      </c>
      <c r="Q74" s="2"/>
      <c r="R74" s="21"/>
      <c r="S74" s="2"/>
      <c r="T74" s="2">
        <f>--43165.98</f>
        <v>43165.98</v>
      </c>
      <c r="U74" s="2"/>
      <c r="V74" s="21"/>
      <c r="W74" s="2"/>
      <c r="X74" s="2">
        <f t="shared" si="2"/>
        <v>-12594.980000000003</v>
      </c>
      <c r="Y74" s="2"/>
      <c r="Z74" s="21">
        <f t="shared" si="3"/>
        <v>-0.29178023990188573</v>
      </c>
    </row>
    <row r="75" spans="1:26" s="24" customFormat="1" hidden="1" outlineLevel="1" x14ac:dyDescent="0.25">
      <c r="A75" s="50"/>
      <c r="B75" s="11" t="str">
        <f>CONCATENATE("          ", "4183", " - ", "NON-TAXABLE SALES-COMPUTER EQU")</f>
        <v xml:space="preserve">          4183 - NON-TAXABLE SALES-COMPUTER EQU</v>
      </c>
      <c r="C75" s="11"/>
      <c r="D75" s="2">
        <f>--974.39</f>
        <v>974.39</v>
      </c>
      <c r="E75" s="2"/>
      <c r="F75" s="21"/>
      <c r="G75" s="2"/>
      <c r="H75" s="2">
        <f>--492.77</f>
        <v>492.77</v>
      </c>
      <c r="I75" s="2"/>
      <c r="J75" s="21"/>
      <c r="K75" s="2"/>
      <c r="L75" s="2">
        <f t="shared" si="0"/>
        <v>481.62</v>
      </c>
      <c r="M75" s="2"/>
      <c r="N75" s="21">
        <f t="shared" si="1"/>
        <v>0.97737281084481609</v>
      </c>
      <c r="O75" s="11"/>
      <c r="P75" s="2">
        <f>--1156.29</f>
        <v>1156.29</v>
      </c>
      <c r="Q75" s="2"/>
      <c r="R75" s="21"/>
      <c r="S75" s="2"/>
      <c r="T75" s="2">
        <f>--681.72</f>
        <v>681.72</v>
      </c>
      <c r="U75" s="2"/>
      <c r="V75" s="21"/>
      <c r="W75" s="2"/>
      <c r="X75" s="2">
        <f t="shared" si="2"/>
        <v>474.56999999999994</v>
      </c>
      <c r="Y75" s="2"/>
      <c r="Z75" s="21">
        <f t="shared" si="3"/>
        <v>0.696136243619081</v>
      </c>
    </row>
    <row r="76" spans="1:26" s="24" customFormat="1" hidden="1" outlineLevel="1" x14ac:dyDescent="0.25">
      <c r="A76" s="50"/>
      <c r="B76" s="11" t="str">
        <f>CONCATENATE("          ", "4184", " - ", "NON-TAXABLE SALES-SOFTWARE LIC")</f>
        <v xml:space="preserve">          4184 - NON-TAXABLE SALES-SOFTWARE LIC</v>
      </c>
      <c r="C76" s="11"/>
      <c r="D76" s="2">
        <f>--1522</f>
        <v>1522</v>
      </c>
      <c r="E76" s="2"/>
      <c r="F76" s="21"/>
      <c r="G76" s="2"/>
      <c r="H76" s="2">
        <f>--99</f>
        <v>99</v>
      </c>
      <c r="I76" s="2"/>
      <c r="J76" s="21"/>
      <c r="K76" s="2"/>
      <c r="L76" s="2">
        <f t="shared" si="0"/>
        <v>1423</v>
      </c>
      <c r="M76" s="2"/>
      <c r="N76" s="21">
        <f t="shared" si="1"/>
        <v>14.373737373737374</v>
      </c>
      <c r="O76" s="11"/>
      <c r="P76" s="2">
        <f>--1522</f>
        <v>1522</v>
      </c>
      <c r="Q76" s="2"/>
      <c r="R76" s="21"/>
      <c r="S76" s="2"/>
      <c r="T76" s="2">
        <f>--99</f>
        <v>99</v>
      </c>
      <c r="U76" s="2"/>
      <c r="V76" s="21"/>
      <c r="W76" s="2"/>
      <c r="X76" s="2">
        <f t="shared" si="2"/>
        <v>1423</v>
      </c>
      <c r="Y76" s="2"/>
      <c r="Z76" s="21">
        <f t="shared" si="3"/>
        <v>14.373737373737374</v>
      </c>
    </row>
    <row r="77" spans="1:26" s="24" customFormat="1" hidden="1" outlineLevel="1" x14ac:dyDescent="0.25">
      <c r="A77" s="50"/>
      <c r="B77" s="11" t="str">
        <f>CONCATENATE("          ", "4185", " - ", "NON-TAXABLE SALES-SOFTWARE")</f>
        <v xml:space="preserve">          4185 - NON-TAXABLE SALES-SOFTWARE</v>
      </c>
      <c r="C77" s="11"/>
      <c r="D77" s="2">
        <f>--3770</f>
        <v>3770</v>
      </c>
      <c r="E77" s="2"/>
      <c r="F77" s="21"/>
      <c r="G77" s="2"/>
      <c r="H77" s="2">
        <f>--1152.94</f>
        <v>1152.94</v>
      </c>
      <c r="I77" s="2"/>
      <c r="J77" s="21"/>
      <c r="K77" s="2"/>
      <c r="L77" s="2">
        <f t="shared" si="0"/>
        <v>2617.06</v>
      </c>
      <c r="M77" s="2"/>
      <c r="N77" s="21">
        <f t="shared" si="1"/>
        <v>2.2699012958176485</v>
      </c>
      <c r="O77" s="11"/>
      <c r="P77" s="2">
        <f>--4522</f>
        <v>4522</v>
      </c>
      <c r="Q77" s="2"/>
      <c r="R77" s="21"/>
      <c r="S77" s="2"/>
      <c r="T77" s="2">
        <f>--1921.92</f>
        <v>1921.92</v>
      </c>
      <c r="U77" s="2"/>
      <c r="V77" s="21"/>
      <c r="W77" s="2"/>
      <c r="X77" s="2">
        <f t="shared" si="2"/>
        <v>2600.08</v>
      </c>
      <c r="Y77" s="2"/>
      <c r="Z77" s="21">
        <f t="shared" si="3"/>
        <v>1.3528554778554778</v>
      </c>
    </row>
    <row r="78" spans="1:26" s="24" customFormat="1" hidden="1" outlineLevel="1" x14ac:dyDescent="0.25">
      <c r="A78" s="50"/>
      <c r="B78" s="11" t="str">
        <f>CONCATENATE("          ", "4186", " - ", "NON-TAXABLE SALES-COMPUTER SUP")</f>
        <v xml:space="preserve">          4186 - NON-TAXABLE SALES-COMPUTER SUP</v>
      </c>
      <c r="C78" s="11"/>
      <c r="D78" s="2">
        <f>--194.93</f>
        <v>194.93</v>
      </c>
      <c r="E78" s="2"/>
      <c r="F78" s="21"/>
      <c r="G78" s="2"/>
      <c r="H78" s="2">
        <f>--485.2</f>
        <v>485.2</v>
      </c>
      <c r="I78" s="2"/>
      <c r="J78" s="21"/>
      <c r="K78" s="2"/>
      <c r="L78" s="2">
        <f t="shared" si="0"/>
        <v>-290.27</v>
      </c>
      <c r="M78" s="2"/>
      <c r="N78" s="21">
        <f t="shared" si="1"/>
        <v>-0.59824814509480628</v>
      </c>
      <c r="O78" s="11"/>
      <c r="P78" s="2">
        <f>--274.9</f>
        <v>274.89999999999998</v>
      </c>
      <c r="Q78" s="2"/>
      <c r="R78" s="21"/>
      <c r="S78" s="2"/>
      <c r="T78" s="2">
        <f>--1309.44</f>
        <v>1309.44</v>
      </c>
      <c r="U78" s="2"/>
      <c r="V78" s="21"/>
      <c r="W78" s="2"/>
      <c r="X78" s="2">
        <f t="shared" si="2"/>
        <v>-1034.54</v>
      </c>
      <c r="Y78" s="2"/>
      <c r="Z78" s="21">
        <f t="shared" si="3"/>
        <v>-0.79006292766373409</v>
      </c>
    </row>
    <row r="79" spans="1:26" s="24" customFormat="1" hidden="1" outlineLevel="1" x14ac:dyDescent="0.25">
      <c r="A79" s="50"/>
      <c r="B79" s="11" t="str">
        <f>CONCATENATE("          ", "4188", " - ", "NON-TAXABLE SALES-MUSIC")</f>
        <v xml:space="preserve">          4188 - NON-TAXABLE SALES-MUSIC</v>
      </c>
      <c r="C79" s="11"/>
      <c r="D79" s="2">
        <f>0</f>
        <v>0</v>
      </c>
      <c r="E79" s="2"/>
      <c r="F79" s="21"/>
      <c r="G79" s="2"/>
      <c r="H79" s="2">
        <f>0</f>
        <v>0</v>
      </c>
      <c r="I79" s="2"/>
      <c r="J79" s="21"/>
      <c r="K79" s="2"/>
      <c r="L79" s="2">
        <f t="shared" si="0"/>
        <v>0</v>
      </c>
      <c r="M79" s="2"/>
      <c r="N79" s="21">
        <f t="shared" si="1"/>
        <v>0</v>
      </c>
      <c r="O79" s="11"/>
      <c r="P79" s="2">
        <f>--99.98</f>
        <v>99.98</v>
      </c>
      <c r="Q79" s="2"/>
      <c r="R79" s="21"/>
      <c r="S79" s="2"/>
      <c r="T79" s="2">
        <f>--199.98</f>
        <v>199.98</v>
      </c>
      <c r="U79" s="2"/>
      <c r="V79" s="21"/>
      <c r="W79" s="2"/>
      <c r="X79" s="2">
        <f t="shared" si="2"/>
        <v>-99.999999999999986</v>
      </c>
      <c r="Y79" s="2"/>
      <c r="Z79" s="21">
        <f t="shared" si="3"/>
        <v>-0.50005000500050001</v>
      </c>
    </row>
    <row r="80" spans="1:26" s="24" customFormat="1" hidden="1" outlineLevel="1" x14ac:dyDescent="0.25">
      <c r="A80" s="50"/>
      <c r="B80" s="11" t="str">
        <f>CONCATENATE("          ", "4201", " - ", "SALES RETURN TAXABLE-NEW TEXT")</f>
        <v xml:space="preserve">          4201 - SALES RETURN TAXABLE-NEW TEXT</v>
      </c>
      <c r="C80" s="11"/>
      <c r="D80" s="2">
        <f>-58563.26</f>
        <v>-58563.26</v>
      </c>
      <c r="E80" s="2"/>
      <c r="F80" s="21"/>
      <c r="G80" s="2"/>
      <c r="H80" s="2">
        <f>-73018.44</f>
        <v>-73018.44</v>
      </c>
      <c r="I80" s="2"/>
      <c r="J80" s="21"/>
      <c r="K80" s="2"/>
      <c r="L80" s="2">
        <f t="shared" si="0"/>
        <v>14455.18</v>
      </c>
      <c r="M80" s="2"/>
      <c r="N80" s="21">
        <f t="shared" si="1"/>
        <v>-0.19796615758978142</v>
      </c>
      <c r="O80" s="11"/>
      <c r="P80" s="2">
        <f>-59170.41</f>
        <v>-59170.41</v>
      </c>
      <c r="Q80" s="2"/>
      <c r="R80" s="21"/>
      <c r="S80" s="2"/>
      <c r="T80" s="2">
        <f>-74525.94</f>
        <v>-74525.94</v>
      </c>
      <c r="U80" s="2"/>
      <c r="V80" s="21"/>
      <c r="W80" s="2"/>
      <c r="X80" s="2">
        <f t="shared" si="2"/>
        <v>15355.529999999999</v>
      </c>
      <c r="Y80" s="2"/>
      <c r="Z80" s="21">
        <f t="shared" si="3"/>
        <v>-0.20604275504609534</v>
      </c>
    </row>
    <row r="81" spans="1:26" s="24" customFormat="1" hidden="1" outlineLevel="1" x14ac:dyDescent="0.25">
      <c r="A81" s="50"/>
      <c r="B81" s="11" t="str">
        <f>CONCATENATE("          ", "4202", " - ", "SALES RETURN TAXABLE-USED TEXT")</f>
        <v xml:space="preserve">          4202 - SALES RETURN TAXABLE-USED TEXT</v>
      </c>
      <c r="C81" s="11"/>
      <c r="D81" s="2">
        <f>-20533</f>
        <v>-20533</v>
      </c>
      <c r="E81" s="2"/>
      <c r="F81" s="21"/>
      <c r="G81" s="2"/>
      <c r="H81" s="2">
        <f>-22848</f>
        <v>-22848</v>
      </c>
      <c r="I81" s="2"/>
      <c r="J81" s="21"/>
      <c r="K81" s="2"/>
      <c r="L81" s="2">
        <f t="shared" si="0"/>
        <v>2315</v>
      </c>
      <c r="M81" s="2"/>
      <c r="N81" s="21">
        <f t="shared" si="1"/>
        <v>-0.10132177871148459</v>
      </c>
      <c r="O81" s="11"/>
      <c r="P81" s="2">
        <f>-21254.45</f>
        <v>-21254.45</v>
      </c>
      <c r="Q81" s="2"/>
      <c r="R81" s="21"/>
      <c r="S81" s="2"/>
      <c r="T81" s="2">
        <f>-23427.25</f>
        <v>-23427.25</v>
      </c>
      <c r="U81" s="2"/>
      <c r="V81" s="21"/>
      <c r="W81" s="2"/>
      <c r="X81" s="2">
        <f t="shared" si="2"/>
        <v>2172.7999999999993</v>
      </c>
      <c r="Y81" s="2"/>
      <c r="Z81" s="21">
        <f t="shared" si="3"/>
        <v>-9.2746694554418432E-2</v>
      </c>
    </row>
    <row r="82" spans="1:26" s="24" customFormat="1" hidden="1" outlineLevel="1" x14ac:dyDescent="0.25">
      <c r="A82" s="50"/>
      <c r="B82" s="11" t="str">
        <f>CONCATENATE("          ", "4204", " - ", "SALES RETURN TAXABLE-DIGITAL T")</f>
        <v xml:space="preserve">          4204 - SALES RETURN TAXABLE-DIGITAL T</v>
      </c>
      <c r="C82" s="11"/>
      <c r="D82" s="2">
        <f>-6848.37</f>
        <v>-6848.37</v>
      </c>
      <c r="E82" s="2"/>
      <c r="F82" s="21"/>
      <c r="G82" s="2"/>
      <c r="H82" s="2">
        <f>-12818.73</f>
        <v>-12818.73</v>
      </c>
      <c r="I82" s="2"/>
      <c r="J82" s="21"/>
      <c r="K82" s="2"/>
      <c r="L82" s="2">
        <f t="shared" si="0"/>
        <v>5970.36</v>
      </c>
      <c r="M82" s="2"/>
      <c r="N82" s="21">
        <f t="shared" si="1"/>
        <v>-0.46575284759098601</v>
      </c>
      <c r="O82" s="11"/>
      <c r="P82" s="2">
        <f>-6848.37</f>
        <v>-6848.37</v>
      </c>
      <c r="Q82" s="2"/>
      <c r="R82" s="21"/>
      <c r="S82" s="2"/>
      <c r="T82" s="2">
        <f>-12903.73</f>
        <v>-12903.73</v>
      </c>
      <c r="U82" s="2"/>
      <c r="V82" s="21"/>
      <c r="W82" s="2"/>
      <c r="X82" s="2">
        <f t="shared" si="2"/>
        <v>6055.36</v>
      </c>
      <c r="Y82" s="2"/>
      <c r="Z82" s="21">
        <f t="shared" si="3"/>
        <v>-0.46927206319413067</v>
      </c>
    </row>
    <row r="83" spans="1:26" s="24" customFormat="1" hidden="1" outlineLevel="1" x14ac:dyDescent="0.25">
      <c r="A83" s="50"/>
      <c r="B83" s="11" t="str">
        <f>CONCATENATE("          ", "4213", " - ", "NON-TAXABLE SALES-TRADE BOOKS")</f>
        <v xml:space="preserve">          4213 - NON-TAXABLE SALES-TRADE BOOKS</v>
      </c>
      <c r="C83" s="11"/>
      <c r="D83" s="2">
        <f t="shared" ref="D83:D84" si="5">0</f>
        <v>0</v>
      </c>
      <c r="E83" s="2"/>
      <c r="F83" s="21"/>
      <c r="G83" s="2"/>
      <c r="H83" s="2">
        <f>-15</f>
        <v>-15</v>
      </c>
      <c r="I83" s="2"/>
      <c r="J83" s="21"/>
      <c r="K83" s="2"/>
      <c r="L83" s="2">
        <f t="shared" si="0"/>
        <v>15</v>
      </c>
      <c r="M83" s="2"/>
      <c r="N83" s="21">
        <f t="shared" si="1"/>
        <v>-1</v>
      </c>
      <c r="O83" s="11"/>
      <c r="P83" s="2">
        <f t="shared" ref="P83:P84" si="6">0</f>
        <v>0</v>
      </c>
      <c r="Q83" s="2"/>
      <c r="R83" s="21"/>
      <c r="S83" s="2"/>
      <c r="T83" s="2">
        <f>-15</f>
        <v>-15</v>
      </c>
      <c r="U83" s="2"/>
      <c r="V83" s="21"/>
      <c r="W83" s="2"/>
      <c r="X83" s="2">
        <f t="shared" si="2"/>
        <v>15</v>
      </c>
      <c r="Y83" s="2"/>
      <c r="Z83" s="21">
        <f t="shared" si="3"/>
        <v>-1</v>
      </c>
    </row>
    <row r="84" spans="1:26" s="24" customFormat="1" hidden="1" outlineLevel="1" x14ac:dyDescent="0.25">
      <c r="A84" s="50"/>
      <c r="B84" s="11" t="str">
        <f>CONCATENATE("          ", "4217", " - ", "NON-TAXABLE SALES-DORM/HOUSEWA")</f>
        <v xml:space="preserve">          4217 - NON-TAXABLE SALES-DORM/HOUSEWA</v>
      </c>
      <c r="C84" s="11"/>
      <c r="D84" s="2">
        <f t="shared" si="5"/>
        <v>0</v>
      </c>
      <c r="E84" s="2"/>
      <c r="F84" s="21"/>
      <c r="G84" s="2"/>
      <c r="H84" s="2">
        <f>-1.5</f>
        <v>-1.5</v>
      </c>
      <c r="I84" s="2"/>
      <c r="J84" s="21"/>
      <c r="K84" s="2"/>
      <c r="L84" s="2">
        <f t="shared" si="0"/>
        <v>1.5</v>
      </c>
      <c r="M84" s="2"/>
      <c r="N84" s="21">
        <f t="shared" si="1"/>
        <v>-1</v>
      </c>
      <c r="O84" s="11"/>
      <c r="P84" s="2">
        <f t="shared" si="6"/>
        <v>0</v>
      </c>
      <c r="Q84" s="2"/>
      <c r="R84" s="21"/>
      <c r="S84" s="2"/>
      <c r="T84" s="2">
        <f>-1.5</f>
        <v>-1.5</v>
      </c>
      <c r="U84" s="2"/>
      <c r="V84" s="21"/>
      <c r="W84" s="2"/>
      <c r="X84" s="2">
        <f t="shared" si="2"/>
        <v>1.5</v>
      </c>
      <c r="Y84" s="2"/>
      <c r="Z84" s="21">
        <f t="shared" si="3"/>
        <v>-1</v>
      </c>
    </row>
    <row r="85" spans="1:26" s="24" customFormat="1" hidden="1" outlineLevel="1" x14ac:dyDescent="0.25">
      <c r="A85" s="50"/>
      <c r="B85" s="11" t="str">
        <f>CONCATENATE("          ", "4218", " - ", "SALES RETURN TAXABLE-STUDY GUI")</f>
        <v xml:space="preserve">          4218 - SALES RETURN TAXABLE-STUDY GUI</v>
      </c>
      <c r="C85" s="11"/>
      <c r="D85" s="2">
        <f>-26.8</f>
        <v>-26.8</v>
      </c>
      <c r="E85" s="2"/>
      <c r="F85" s="21"/>
      <c r="G85" s="2"/>
      <c r="H85" s="2">
        <f>0</f>
        <v>0</v>
      </c>
      <c r="I85" s="2"/>
      <c r="J85" s="21"/>
      <c r="K85" s="2"/>
      <c r="L85" s="2">
        <f t="shared" si="0"/>
        <v>-26.8</v>
      </c>
      <c r="M85" s="2"/>
      <c r="N85" s="21">
        <f t="shared" si="1"/>
        <v>0</v>
      </c>
      <c r="O85" s="11"/>
      <c r="P85" s="2">
        <f>-26.8</f>
        <v>-26.8</v>
      </c>
      <c r="Q85" s="2"/>
      <c r="R85" s="21"/>
      <c r="S85" s="2"/>
      <c r="T85" s="2">
        <f>-15.95</f>
        <v>-15.95</v>
      </c>
      <c r="U85" s="2"/>
      <c r="V85" s="21"/>
      <c r="W85" s="2"/>
      <c r="X85" s="2">
        <f t="shared" si="2"/>
        <v>-10.850000000000001</v>
      </c>
      <c r="Y85" s="2"/>
      <c r="Z85" s="21">
        <f t="shared" si="3"/>
        <v>0.68025078369905967</v>
      </c>
    </row>
    <row r="86" spans="1:26" s="24" customFormat="1" hidden="1" outlineLevel="1" x14ac:dyDescent="0.25">
      <c r="A86" s="50"/>
      <c r="B86" s="11" t="str">
        <f>CONCATENATE("          ", "4225", " - ", "SALES RETURN TAXABLE-TEST FORM")</f>
        <v xml:space="preserve">          4225 - SALES RETURN TAXABLE-TEST FORM</v>
      </c>
      <c r="C86" s="11"/>
      <c r="D86" s="2">
        <f>-8.61</f>
        <v>-8.61</v>
      </c>
      <c r="E86" s="2"/>
      <c r="F86" s="21"/>
      <c r="G86" s="2"/>
      <c r="H86" s="2">
        <f>-7.02</f>
        <v>-7.02</v>
      </c>
      <c r="I86" s="2"/>
      <c r="J86" s="21"/>
      <c r="K86" s="2"/>
      <c r="L86" s="2">
        <f t="shared" si="0"/>
        <v>-1.5899999999999999</v>
      </c>
      <c r="M86" s="2"/>
      <c r="N86" s="21">
        <f t="shared" si="1"/>
        <v>0.2264957264957265</v>
      </c>
      <c r="O86" s="11"/>
      <c r="P86" s="2">
        <f>-12.69</f>
        <v>-12.69</v>
      </c>
      <c r="Q86" s="2"/>
      <c r="R86" s="21"/>
      <c r="S86" s="2"/>
      <c r="T86" s="2">
        <f>-13.8</f>
        <v>-13.8</v>
      </c>
      <c r="U86" s="2"/>
      <c r="V86" s="21"/>
      <c r="W86" s="2"/>
      <c r="X86" s="2">
        <f t="shared" si="2"/>
        <v>1.1100000000000012</v>
      </c>
      <c r="Y86" s="2"/>
      <c r="Z86" s="21">
        <f t="shared" si="3"/>
        <v>-8.0434782608695729E-2</v>
      </c>
    </row>
    <row r="87" spans="1:26" s="24" customFormat="1" hidden="1" outlineLevel="1" x14ac:dyDescent="0.25">
      <c r="A87" s="50"/>
      <c r="B87" s="11" t="str">
        <f>CONCATENATE("          ", "4226", " - ", "SALES RETURN TAXABLE-WRITING I")</f>
        <v xml:space="preserve">          4226 - SALES RETURN TAXABLE-WRITING I</v>
      </c>
      <c r="C87" s="11"/>
      <c r="D87" s="2">
        <f>-60.28</f>
        <v>-60.28</v>
      </c>
      <c r="E87" s="2"/>
      <c r="F87" s="21"/>
      <c r="G87" s="2"/>
      <c r="H87" s="2">
        <f>-58.07</f>
        <v>-58.07</v>
      </c>
      <c r="I87" s="2"/>
      <c r="J87" s="21"/>
      <c r="K87" s="2"/>
      <c r="L87" s="2">
        <f t="shared" si="0"/>
        <v>-2.2100000000000009</v>
      </c>
      <c r="M87" s="2"/>
      <c r="N87" s="21">
        <f t="shared" si="1"/>
        <v>3.8057516790080952E-2</v>
      </c>
      <c r="O87" s="11"/>
      <c r="P87" s="2">
        <f>-124.21</f>
        <v>-124.21</v>
      </c>
      <c r="Q87" s="2"/>
      <c r="R87" s="21"/>
      <c r="S87" s="2"/>
      <c r="T87" s="2">
        <f>-69.24</f>
        <v>-69.239999999999995</v>
      </c>
      <c r="U87" s="2"/>
      <c r="V87" s="21"/>
      <c r="W87" s="2"/>
      <c r="X87" s="2">
        <f t="shared" si="2"/>
        <v>-54.97</v>
      </c>
      <c r="Y87" s="2"/>
      <c r="Z87" s="21">
        <f t="shared" si="3"/>
        <v>0.79390525707683424</v>
      </c>
    </row>
    <row r="88" spans="1:26" s="24" customFormat="1" hidden="1" outlineLevel="1" x14ac:dyDescent="0.25">
      <c r="A88" s="50"/>
      <c r="B88" s="11" t="str">
        <f>CONCATENATE("          ", "4227", " - ", "SALES RETURN TAXABLE-SCHOOL SU")</f>
        <v xml:space="preserve">          4227 - SALES RETURN TAXABLE-SCHOOL SU</v>
      </c>
      <c r="C88" s="11"/>
      <c r="D88" s="2">
        <f>-1531.15</f>
        <v>-1531.15</v>
      </c>
      <c r="E88" s="2"/>
      <c r="F88" s="21"/>
      <c r="G88" s="2"/>
      <c r="H88" s="2">
        <f>-849.92</f>
        <v>-849.92</v>
      </c>
      <c r="I88" s="2"/>
      <c r="J88" s="21"/>
      <c r="K88" s="2"/>
      <c r="L88" s="2">
        <f t="shared" si="0"/>
        <v>-681.23000000000013</v>
      </c>
      <c r="M88" s="2"/>
      <c r="N88" s="21">
        <f t="shared" si="1"/>
        <v>0.80152249623493999</v>
      </c>
      <c r="O88" s="11"/>
      <c r="P88" s="2">
        <f>-1696.59</f>
        <v>-1696.59</v>
      </c>
      <c r="Q88" s="2"/>
      <c r="R88" s="21"/>
      <c r="S88" s="2"/>
      <c r="T88" s="2">
        <f>-971.89</f>
        <v>-971.89</v>
      </c>
      <c r="U88" s="2"/>
      <c r="V88" s="21"/>
      <c r="W88" s="2"/>
      <c r="X88" s="2">
        <f t="shared" si="2"/>
        <v>-724.69999999999993</v>
      </c>
      <c r="Y88" s="2"/>
      <c r="Z88" s="21">
        <f t="shared" si="3"/>
        <v>0.745660517136713</v>
      </c>
    </row>
    <row r="89" spans="1:26" s="24" customFormat="1" hidden="1" outlineLevel="1" x14ac:dyDescent="0.25">
      <c r="A89" s="50"/>
      <c r="B89" s="11" t="str">
        <f>CONCATENATE("          ", "4228", " - ", "SALES RETURN TAXABLE-ART/TECH")</f>
        <v xml:space="preserve">          4228 - SALES RETURN TAXABLE-ART/TECH</v>
      </c>
      <c r="C89" s="11"/>
      <c r="D89" s="2">
        <f>-858.36</f>
        <v>-858.36</v>
      </c>
      <c r="E89" s="2"/>
      <c r="F89" s="21"/>
      <c r="G89" s="2"/>
      <c r="H89" s="2">
        <f>-916.05</f>
        <v>-916.05</v>
      </c>
      <c r="I89" s="2"/>
      <c r="J89" s="21"/>
      <c r="K89" s="2"/>
      <c r="L89" s="2">
        <f t="shared" si="0"/>
        <v>57.689999999999941</v>
      </c>
      <c r="M89" s="2"/>
      <c r="N89" s="21">
        <f t="shared" si="1"/>
        <v>-6.2976911740625446E-2</v>
      </c>
      <c r="O89" s="11"/>
      <c r="P89" s="2">
        <f>-868.73</f>
        <v>-868.73</v>
      </c>
      <c r="Q89" s="2"/>
      <c r="R89" s="21"/>
      <c r="S89" s="2"/>
      <c r="T89" s="2">
        <f>-1065.49</f>
        <v>-1065.49</v>
      </c>
      <c r="U89" s="2"/>
      <c r="V89" s="21"/>
      <c r="W89" s="2"/>
      <c r="X89" s="2">
        <f t="shared" si="2"/>
        <v>196.76</v>
      </c>
      <c r="Y89" s="2"/>
      <c r="Z89" s="21">
        <f t="shared" si="3"/>
        <v>-0.18466620991281005</v>
      </c>
    </row>
    <row r="90" spans="1:26" s="24" customFormat="1" hidden="1" outlineLevel="1" x14ac:dyDescent="0.25">
      <c r="A90" s="50"/>
      <c r="B90" s="11" t="str">
        <f>CONCATENATE("          ", "4240", " - ", "SALES RETURN TAXABLE-LOGO CLOT")</f>
        <v xml:space="preserve">          4240 - SALES RETURN TAXABLE-LOGO CLOT</v>
      </c>
      <c r="C90" s="11"/>
      <c r="D90" s="2">
        <f>-6807.65</f>
        <v>-6807.65</v>
      </c>
      <c r="E90" s="2"/>
      <c r="F90" s="21"/>
      <c r="G90" s="2"/>
      <c r="H90" s="2">
        <f>-6341.85</f>
        <v>-6341.85</v>
      </c>
      <c r="I90" s="2"/>
      <c r="J90" s="21"/>
      <c r="K90" s="2"/>
      <c r="L90" s="2">
        <f t="shared" si="0"/>
        <v>-465.79999999999927</v>
      </c>
      <c r="M90" s="2"/>
      <c r="N90" s="21">
        <f t="shared" si="1"/>
        <v>7.3448599383460544E-2</v>
      </c>
      <c r="O90" s="11"/>
      <c r="P90" s="2">
        <f>-11254.49</f>
        <v>-11254.49</v>
      </c>
      <c r="Q90" s="2"/>
      <c r="R90" s="21"/>
      <c r="S90" s="2"/>
      <c r="T90" s="2">
        <f>-11571.8</f>
        <v>-11571.8</v>
      </c>
      <c r="U90" s="2"/>
      <c r="V90" s="21"/>
      <c r="W90" s="2"/>
      <c r="X90" s="2">
        <f t="shared" si="2"/>
        <v>317.30999999999949</v>
      </c>
      <c r="Y90" s="2"/>
      <c r="Z90" s="21">
        <f t="shared" si="3"/>
        <v>-2.7420971672514172E-2</v>
      </c>
    </row>
    <row r="91" spans="1:26" s="24" customFormat="1" hidden="1" outlineLevel="1" x14ac:dyDescent="0.25">
      <c r="A91" s="50"/>
      <c r="B91" s="11" t="str">
        <f>CONCATENATE("          ", "4241", " - ", "SALES RETURN TAXABLE-LOGO GIFT")</f>
        <v xml:space="preserve">          4241 - SALES RETURN TAXABLE-LOGO GIFT</v>
      </c>
      <c r="C91" s="11"/>
      <c r="D91" s="2">
        <f>-971.11</f>
        <v>-971.11</v>
      </c>
      <c r="E91" s="2"/>
      <c r="F91" s="21"/>
      <c r="G91" s="2"/>
      <c r="H91" s="2">
        <f>-1122.85</f>
        <v>-1122.8499999999999</v>
      </c>
      <c r="I91" s="2"/>
      <c r="J91" s="21"/>
      <c r="K91" s="2"/>
      <c r="L91" s="2">
        <f t="shared" si="0"/>
        <v>151.7399999999999</v>
      </c>
      <c r="M91" s="2"/>
      <c r="N91" s="21">
        <f t="shared" si="1"/>
        <v>-0.13513826423832204</v>
      </c>
      <c r="O91" s="11"/>
      <c r="P91" s="2">
        <f>-1690.01</f>
        <v>-1690.01</v>
      </c>
      <c r="Q91" s="2"/>
      <c r="R91" s="21"/>
      <c r="S91" s="2"/>
      <c r="T91" s="2">
        <f>-1597.91</f>
        <v>-1597.91</v>
      </c>
      <c r="U91" s="2"/>
      <c r="V91" s="21"/>
      <c r="W91" s="2"/>
      <c r="X91" s="2">
        <f t="shared" si="2"/>
        <v>-92.099999999999909</v>
      </c>
      <c r="Y91" s="2"/>
      <c r="Z91" s="21">
        <f t="shared" si="3"/>
        <v>5.7637789362354516E-2</v>
      </c>
    </row>
    <row r="92" spans="1:26" s="24" customFormat="1" hidden="1" outlineLevel="1" x14ac:dyDescent="0.25">
      <c r="A92" s="50"/>
      <c r="B92" s="11" t="str">
        <f>CONCATENATE("          ", "4242", " - ", "SALES RETURN TAXABLE-EVERYDAY")</f>
        <v xml:space="preserve">          4242 - SALES RETURN TAXABLE-EVERYDAY</v>
      </c>
      <c r="C92" s="11"/>
      <c r="D92" s="2">
        <f>-450.83</f>
        <v>-450.83</v>
      </c>
      <c r="E92" s="2"/>
      <c r="F92" s="21"/>
      <c r="G92" s="2"/>
      <c r="H92" s="2">
        <f>-261.05</f>
        <v>-261.05</v>
      </c>
      <c r="I92" s="2"/>
      <c r="J92" s="21"/>
      <c r="K92" s="2"/>
      <c r="L92" s="2">
        <f t="shared" si="0"/>
        <v>-189.77999999999997</v>
      </c>
      <c r="M92" s="2"/>
      <c r="N92" s="21">
        <f t="shared" si="1"/>
        <v>0.72698716720934675</v>
      </c>
      <c r="O92" s="11"/>
      <c r="P92" s="2">
        <f>-824.81</f>
        <v>-824.81</v>
      </c>
      <c r="Q92" s="2"/>
      <c r="R92" s="21"/>
      <c r="S92" s="2"/>
      <c r="T92" s="2">
        <f>-421.79</f>
        <v>-421.79</v>
      </c>
      <c r="U92" s="2"/>
      <c r="V92" s="21"/>
      <c r="W92" s="2"/>
      <c r="X92" s="2">
        <f t="shared" si="2"/>
        <v>-403.01999999999992</v>
      </c>
      <c r="Y92" s="2"/>
      <c r="Z92" s="21">
        <f t="shared" si="3"/>
        <v>0.95549918205742168</v>
      </c>
    </row>
    <row r="93" spans="1:26" s="24" customFormat="1" hidden="1" outlineLevel="1" x14ac:dyDescent="0.25">
      <c r="A93" s="50"/>
      <c r="B93" s="11" t="str">
        <f>CONCATENATE("          ", "4244", " - ", "SALES RETURN TAXABLE-ACCESSORI")</f>
        <v xml:space="preserve">          4244 - SALES RETURN TAXABLE-ACCESSORI</v>
      </c>
      <c r="C93" s="11"/>
      <c r="D93" s="2">
        <f>-443.68</f>
        <v>-443.68</v>
      </c>
      <c r="E93" s="2"/>
      <c r="F93" s="21"/>
      <c r="G93" s="2"/>
      <c r="H93" s="2">
        <f>-1614.36</f>
        <v>-1614.36</v>
      </c>
      <c r="I93" s="2"/>
      <c r="J93" s="21"/>
      <c r="K93" s="2"/>
      <c r="L93" s="2">
        <f t="shared" si="0"/>
        <v>1170.6799999999998</v>
      </c>
      <c r="M93" s="2"/>
      <c r="N93" s="21">
        <f t="shared" si="1"/>
        <v>-0.72516662950023536</v>
      </c>
      <c r="O93" s="11"/>
      <c r="P93" s="2">
        <f>-550.47</f>
        <v>-550.47</v>
      </c>
      <c r="Q93" s="2"/>
      <c r="R93" s="21"/>
      <c r="S93" s="2"/>
      <c r="T93" s="2">
        <f>-1759.26</f>
        <v>-1759.26</v>
      </c>
      <c r="U93" s="2"/>
      <c r="V93" s="21"/>
      <c r="W93" s="2"/>
      <c r="X93" s="2">
        <f t="shared" si="2"/>
        <v>1208.79</v>
      </c>
      <c r="Y93" s="2"/>
      <c r="Z93" s="21">
        <f t="shared" si="3"/>
        <v>-0.68710139490467581</v>
      </c>
    </row>
    <row r="94" spans="1:26" s="24" customFormat="1" hidden="1" outlineLevel="1" x14ac:dyDescent="0.25">
      <c r="A94" s="50"/>
      <c r="B94" s="11" t="str">
        <f>CONCATENATE("          ", "4245", " - ", "SALES RETURN TAXABLE-SPECIAL O")</f>
        <v xml:space="preserve">          4245 - SALES RETURN TAXABLE-SPECIAL O</v>
      </c>
      <c r="C94" s="11"/>
      <c r="D94" s="2">
        <f>-19.98</f>
        <v>-19.98</v>
      </c>
      <c r="E94" s="2"/>
      <c r="F94" s="21"/>
      <c r="G94" s="2"/>
      <c r="H94" s="2">
        <f>-154.9</f>
        <v>-154.9</v>
      </c>
      <c r="I94" s="2"/>
      <c r="J94" s="21"/>
      <c r="K94" s="2"/>
      <c r="L94" s="2">
        <f t="shared" si="0"/>
        <v>134.92000000000002</v>
      </c>
      <c r="M94" s="2"/>
      <c r="N94" s="21">
        <f t="shared" si="1"/>
        <v>-0.87101355713363471</v>
      </c>
      <c r="O94" s="11"/>
      <c r="P94" s="2">
        <f>-19.98</f>
        <v>-19.98</v>
      </c>
      <c r="Q94" s="2"/>
      <c r="R94" s="21"/>
      <c r="S94" s="2"/>
      <c r="T94" s="2">
        <f>-174.85</f>
        <v>-174.85</v>
      </c>
      <c r="U94" s="2"/>
      <c r="V94" s="21"/>
      <c r="W94" s="2"/>
      <c r="X94" s="2">
        <f t="shared" si="2"/>
        <v>154.87</v>
      </c>
      <c r="Y94" s="2"/>
      <c r="Z94" s="21">
        <f t="shared" si="3"/>
        <v>-0.88573062625107235</v>
      </c>
    </row>
    <row r="95" spans="1:26" s="24" customFormat="1" hidden="1" outlineLevel="1" x14ac:dyDescent="0.25">
      <c r="A95" s="50"/>
      <c r="B95" s="11" t="str">
        <f>CONCATENATE("          ", "4281", " - ", "SALES RETURN TAXABLE-ELECTRONI")</f>
        <v xml:space="preserve">          4281 - SALES RETURN TAXABLE-ELECTRONI</v>
      </c>
      <c r="C95" s="11"/>
      <c r="D95" s="2">
        <f>-575.76</f>
        <v>-575.76</v>
      </c>
      <c r="E95" s="2"/>
      <c r="F95" s="21"/>
      <c r="G95" s="2"/>
      <c r="H95" s="2">
        <f>-1454.43</f>
        <v>-1454.43</v>
      </c>
      <c r="I95" s="2"/>
      <c r="J95" s="21"/>
      <c r="K95" s="2"/>
      <c r="L95" s="2">
        <f t="shared" si="0"/>
        <v>878.67000000000007</v>
      </c>
      <c r="M95" s="2"/>
      <c r="N95" s="21">
        <f t="shared" si="1"/>
        <v>-0.60413357810276191</v>
      </c>
      <c r="O95" s="11"/>
      <c r="P95" s="2">
        <f>-2234.75</f>
        <v>-2234.75</v>
      </c>
      <c r="Q95" s="2"/>
      <c r="R95" s="21"/>
      <c r="S95" s="2"/>
      <c r="T95" s="2">
        <f>-1784.37</f>
        <v>-1784.37</v>
      </c>
      <c r="U95" s="2"/>
      <c r="V95" s="21"/>
      <c r="W95" s="2"/>
      <c r="X95" s="2">
        <f t="shared" si="2"/>
        <v>-450.38000000000011</v>
      </c>
      <c r="Y95" s="2"/>
      <c r="Z95" s="21">
        <f t="shared" si="3"/>
        <v>0.25240280883449068</v>
      </c>
    </row>
    <row r="96" spans="1:26" s="24" customFormat="1" hidden="1" outlineLevel="1" x14ac:dyDescent="0.25">
      <c r="A96" s="50"/>
      <c r="B96" s="11" t="str">
        <f>CONCATENATE("          ", "4282", " - ", "SALES RETURN TAXABLE-COMPUTER")</f>
        <v xml:space="preserve">          4282 - SALES RETURN TAXABLE-COMPUTER</v>
      </c>
      <c r="C96" s="11"/>
      <c r="D96" s="2">
        <f>-49848.66</f>
        <v>-49848.66</v>
      </c>
      <c r="E96" s="2"/>
      <c r="F96" s="21"/>
      <c r="G96" s="2"/>
      <c r="H96" s="2">
        <f>-9198.35</f>
        <v>-9198.35</v>
      </c>
      <c r="I96" s="2"/>
      <c r="J96" s="21"/>
      <c r="K96" s="2"/>
      <c r="L96" s="2">
        <f t="shared" si="0"/>
        <v>-40650.310000000005</v>
      </c>
      <c r="M96" s="2"/>
      <c r="N96" s="21">
        <f t="shared" si="1"/>
        <v>4.4193045491854521</v>
      </c>
      <c r="O96" s="11"/>
      <c r="P96" s="2">
        <f>-120189.72</f>
        <v>-120189.72</v>
      </c>
      <c r="Q96" s="2"/>
      <c r="R96" s="21"/>
      <c r="S96" s="2"/>
      <c r="T96" s="2">
        <f>-17349.35</f>
        <v>-17349.349999999999</v>
      </c>
      <c r="U96" s="2"/>
      <c r="V96" s="21"/>
      <c r="W96" s="2"/>
      <c r="X96" s="2">
        <f t="shared" si="2"/>
        <v>-102840.37</v>
      </c>
      <c r="Y96" s="2"/>
      <c r="Z96" s="21">
        <f t="shared" si="3"/>
        <v>5.927620919515717</v>
      </c>
    </row>
    <row r="97" spans="1:26" s="24" customFormat="1" hidden="1" outlineLevel="1" x14ac:dyDescent="0.25">
      <c r="A97" s="50"/>
      <c r="B97" s="11" t="str">
        <f>CONCATENATE("          ", "4283", " - ", "SALES RETURN TAXABLE-COMPUTER")</f>
        <v xml:space="preserve">          4283 - SALES RETURN TAXABLE-COMPUTER</v>
      </c>
      <c r="C97" s="11"/>
      <c r="D97" s="2">
        <f>-503.89</f>
        <v>-503.89</v>
      </c>
      <c r="E97" s="2"/>
      <c r="F97" s="21"/>
      <c r="G97" s="2"/>
      <c r="H97" s="2">
        <f>-672.01</f>
        <v>-672.01</v>
      </c>
      <c r="I97" s="2"/>
      <c r="J97" s="21"/>
      <c r="K97" s="2"/>
      <c r="L97" s="2">
        <f t="shared" si="0"/>
        <v>168.12</v>
      </c>
      <c r="M97" s="2"/>
      <c r="N97" s="21">
        <f t="shared" si="1"/>
        <v>-0.2501748485885627</v>
      </c>
      <c r="O97" s="11"/>
      <c r="P97" s="2">
        <f>-730.69</f>
        <v>-730.69</v>
      </c>
      <c r="Q97" s="2"/>
      <c r="R97" s="21"/>
      <c r="S97" s="2"/>
      <c r="T97" s="2">
        <f>-879.91</f>
        <v>-879.91</v>
      </c>
      <c r="U97" s="2"/>
      <c r="V97" s="21"/>
      <c r="W97" s="2"/>
      <c r="X97" s="2">
        <f t="shared" si="2"/>
        <v>149.21999999999991</v>
      </c>
      <c r="Y97" s="2"/>
      <c r="Z97" s="21">
        <f t="shared" si="3"/>
        <v>-0.16958552579241049</v>
      </c>
    </row>
    <row r="98" spans="1:26" s="24" customFormat="1" hidden="1" outlineLevel="1" x14ac:dyDescent="0.25">
      <c r="A98" s="50"/>
      <c r="B98" s="11" t="str">
        <f>CONCATENATE("          ", "4284", " - ", "SALES RETURN TAXABLE-SOFTWARE")</f>
        <v xml:space="preserve">          4284 - SALES RETURN TAXABLE-SOFTWARE</v>
      </c>
      <c r="C98" s="11"/>
      <c r="D98" s="2">
        <f>-129</f>
        <v>-129</v>
      </c>
      <c r="E98" s="2"/>
      <c r="F98" s="21"/>
      <c r="G98" s="2"/>
      <c r="H98" s="2">
        <f t="shared" ref="H98:H99" si="7">0</f>
        <v>0</v>
      </c>
      <c r="I98" s="2"/>
      <c r="J98" s="21"/>
      <c r="K98" s="2"/>
      <c r="L98" s="2">
        <f t="shared" si="0"/>
        <v>-129</v>
      </c>
      <c r="M98" s="2"/>
      <c r="N98" s="21">
        <f t="shared" si="1"/>
        <v>0</v>
      </c>
      <c r="O98" s="11"/>
      <c r="P98" s="2">
        <f>-129</f>
        <v>-129</v>
      </c>
      <c r="Q98" s="2"/>
      <c r="R98" s="21"/>
      <c r="S98" s="2"/>
      <c r="T98" s="2">
        <f t="shared" ref="T98:T99" si="8">0</f>
        <v>0</v>
      </c>
      <c r="U98" s="2"/>
      <c r="V98" s="21"/>
      <c r="W98" s="2"/>
      <c r="X98" s="2">
        <f t="shared" si="2"/>
        <v>-129</v>
      </c>
      <c r="Y98" s="2"/>
      <c r="Z98" s="21">
        <f t="shared" si="3"/>
        <v>0</v>
      </c>
    </row>
    <row r="99" spans="1:26" s="24" customFormat="1" hidden="1" outlineLevel="1" x14ac:dyDescent="0.25">
      <c r="A99" s="50"/>
      <c r="B99" s="11" t="str">
        <f>CONCATENATE("          ", "4285", " - ", "SALES RETURN TAXABLE-SOFTWARE")</f>
        <v xml:space="preserve">          4285 - SALES RETURN TAXABLE-SOFTWARE</v>
      </c>
      <c r="C99" s="11"/>
      <c r="D99" s="2">
        <f>0</f>
        <v>0</v>
      </c>
      <c r="E99" s="2"/>
      <c r="F99" s="21"/>
      <c r="G99" s="2"/>
      <c r="H99" s="2">
        <f t="shared" si="7"/>
        <v>0</v>
      </c>
      <c r="I99" s="2"/>
      <c r="J99" s="21"/>
      <c r="K99" s="2"/>
      <c r="L99" s="2">
        <f t="shared" si="0"/>
        <v>0</v>
      </c>
      <c r="M99" s="2"/>
      <c r="N99" s="21">
        <f t="shared" si="1"/>
        <v>0</v>
      </c>
      <c r="O99" s="11"/>
      <c r="P99" s="2">
        <f>-406.99</f>
        <v>-406.99</v>
      </c>
      <c r="Q99" s="2"/>
      <c r="R99" s="21"/>
      <c r="S99" s="2"/>
      <c r="T99" s="2">
        <f t="shared" si="8"/>
        <v>0</v>
      </c>
      <c r="U99" s="2"/>
      <c r="V99" s="21"/>
      <c r="W99" s="2"/>
      <c r="X99" s="2">
        <f t="shared" si="2"/>
        <v>-406.99</v>
      </c>
      <c r="Y99" s="2"/>
      <c r="Z99" s="21">
        <f t="shared" si="3"/>
        <v>0</v>
      </c>
    </row>
    <row r="100" spans="1:26" s="24" customFormat="1" hidden="1" outlineLevel="1" x14ac:dyDescent="0.25">
      <c r="A100" s="50"/>
      <c r="B100" s="11" t="str">
        <f>CONCATENATE("          ", "4286", " - ", "SALES RETURN TAXABLE-COMPUTER")</f>
        <v xml:space="preserve">          4286 - SALES RETURN TAXABLE-COMPUTER</v>
      </c>
      <c r="C100" s="11"/>
      <c r="D100" s="2">
        <f>-635.2</f>
        <v>-635.20000000000005</v>
      </c>
      <c r="E100" s="2"/>
      <c r="F100" s="21"/>
      <c r="G100" s="2"/>
      <c r="H100" s="2">
        <f>-826.29</f>
        <v>-826.29</v>
      </c>
      <c r="I100" s="2"/>
      <c r="J100" s="21"/>
      <c r="K100" s="2"/>
      <c r="L100" s="2">
        <f t="shared" si="0"/>
        <v>191.08999999999992</v>
      </c>
      <c r="M100" s="2"/>
      <c r="N100" s="21">
        <f t="shared" si="1"/>
        <v>-0.23126263176366643</v>
      </c>
      <c r="O100" s="11"/>
      <c r="P100" s="2">
        <f>-1181.15</f>
        <v>-1181.1500000000001</v>
      </c>
      <c r="Q100" s="2"/>
      <c r="R100" s="21"/>
      <c r="S100" s="2"/>
      <c r="T100" s="2">
        <f>-871.26</f>
        <v>-871.26</v>
      </c>
      <c r="U100" s="2"/>
      <c r="V100" s="21"/>
      <c r="W100" s="2"/>
      <c r="X100" s="2">
        <f t="shared" si="2"/>
        <v>-309.8900000000001</v>
      </c>
      <c r="Y100" s="2"/>
      <c r="Z100" s="21">
        <f t="shared" si="3"/>
        <v>0.35568027913596412</v>
      </c>
    </row>
    <row r="101" spans="1:26" s="24" customFormat="1" hidden="1" outlineLevel="1" x14ac:dyDescent="0.25">
      <c r="A101" s="50"/>
      <c r="B101" s="11" t="str">
        <f>CONCATENATE("          ", "4292", " - ", "SALES RETURN TAXABLE-GRAD MERC")</f>
        <v xml:space="preserve">          4292 - SALES RETURN TAXABLE-GRAD MERC</v>
      </c>
      <c r="C101" s="11"/>
      <c r="D101" s="2">
        <f>-359.2</f>
        <v>-359.2</v>
      </c>
      <c r="E101" s="2"/>
      <c r="F101" s="21"/>
      <c r="G101" s="2"/>
      <c r="H101" s="2">
        <f>0</f>
        <v>0</v>
      </c>
      <c r="I101" s="2"/>
      <c r="J101" s="21"/>
      <c r="K101" s="2"/>
      <c r="L101" s="2">
        <f t="shared" si="0"/>
        <v>-359.2</v>
      </c>
      <c r="M101" s="2"/>
      <c r="N101" s="21">
        <f t="shared" si="1"/>
        <v>0</v>
      </c>
      <c r="O101" s="11"/>
      <c r="P101" s="2">
        <f>-369.15</f>
        <v>-369.15</v>
      </c>
      <c r="Q101" s="2"/>
      <c r="R101" s="21"/>
      <c r="S101" s="2"/>
      <c r="T101" s="2">
        <f>-478.25</f>
        <v>-478.25</v>
      </c>
      <c r="U101" s="2"/>
      <c r="V101" s="21"/>
      <c r="W101" s="2"/>
      <c r="X101" s="2">
        <f t="shared" si="2"/>
        <v>109.10000000000002</v>
      </c>
      <c r="Y101" s="2"/>
      <c r="Z101" s="21">
        <f t="shared" si="3"/>
        <v>-0.22812336644014641</v>
      </c>
    </row>
    <row r="102" spans="1:26" s="24" customFormat="1" hidden="1" outlineLevel="1" x14ac:dyDescent="0.25">
      <c r="A102" s="50"/>
      <c r="B102" s="11" t="str">
        <f>CONCATENATE("          ", "4295", " - ", "SALES RETURN TAXABLE-CUSTOMER")</f>
        <v xml:space="preserve">          4295 - SALES RETURN TAXABLE-CUSTOMER</v>
      </c>
      <c r="C102" s="11"/>
      <c r="D102" s="2">
        <f>--0.99</f>
        <v>0.99</v>
      </c>
      <c r="E102" s="2"/>
      <c r="F102" s="21"/>
      <c r="G102" s="2"/>
      <c r="H102" s="2">
        <f>-99</f>
        <v>-99</v>
      </c>
      <c r="I102" s="2"/>
      <c r="J102" s="21"/>
      <c r="K102" s="2"/>
      <c r="L102" s="2">
        <f t="shared" si="0"/>
        <v>99.99</v>
      </c>
      <c r="M102" s="2"/>
      <c r="N102" s="21">
        <f t="shared" si="1"/>
        <v>-1.01</v>
      </c>
      <c r="O102" s="11"/>
      <c r="P102" s="2">
        <f>--0.99</f>
        <v>0.99</v>
      </c>
      <c r="Q102" s="2"/>
      <c r="R102" s="21"/>
      <c r="S102" s="2"/>
      <c r="T102" s="2">
        <f>-99</f>
        <v>-99</v>
      </c>
      <c r="U102" s="2"/>
      <c r="V102" s="21"/>
      <c r="W102" s="2"/>
      <c r="X102" s="2">
        <f t="shared" si="2"/>
        <v>99.99</v>
      </c>
      <c r="Y102" s="2"/>
      <c r="Z102" s="21">
        <f t="shared" si="3"/>
        <v>-1.01</v>
      </c>
    </row>
    <row r="103" spans="1:26" s="24" customFormat="1" hidden="1" outlineLevel="1" x14ac:dyDescent="0.25">
      <c r="A103" s="50"/>
      <c r="B103" s="11" t="str">
        <f>CONCATENATE("          ", "4301", " - ", "SALES RETURN NON TAXABLE-NEW T")</f>
        <v xml:space="preserve">          4301 - SALES RETURN NON TAXABLE-NEW T</v>
      </c>
      <c r="C103" s="11"/>
      <c r="D103" s="2">
        <f>-2665.19</f>
        <v>-2665.19</v>
      </c>
      <c r="E103" s="2"/>
      <c r="F103" s="21"/>
      <c r="G103" s="2"/>
      <c r="H103" s="2">
        <f>-1852.97</f>
        <v>-1852.97</v>
      </c>
      <c r="I103" s="2"/>
      <c r="J103" s="21"/>
      <c r="K103" s="2"/>
      <c r="L103" s="2">
        <f t="shared" si="0"/>
        <v>-812.22</v>
      </c>
      <c r="M103" s="2"/>
      <c r="N103" s="21">
        <f t="shared" si="1"/>
        <v>0.43833413384998138</v>
      </c>
      <c r="O103" s="11"/>
      <c r="P103" s="2">
        <f>-2919.78</f>
        <v>-2919.78</v>
      </c>
      <c r="Q103" s="2"/>
      <c r="R103" s="21"/>
      <c r="S103" s="2"/>
      <c r="T103" s="2">
        <f>-2849.1</f>
        <v>-2849.1</v>
      </c>
      <c r="U103" s="2"/>
      <c r="V103" s="21"/>
      <c r="W103" s="2"/>
      <c r="X103" s="2">
        <f t="shared" si="2"/>
        <v>-70.680000000000291</v>
      </c>
      <c r="Y103" s="2"/>
      <c r="Z103" s="21">
        <f t="shared" si="3"/>
        <v>2.4807834052858902E-2</v>
      </c>
    </row>
    <row r="104" spans="1:26" s="24" customFormat="1" hidden="1" outlineLevel="1" x14ac:dyDescent="0.25">
      <c r="A104" s="50"/>
      <c r="B104" s="11" t="str">
        <f>CONCATENATE("          ", "4302", " - ", "SALES RETURN NON TAXABLE-TEXT")</f>
        <v xml:space="preserve">          4302 - SALES RETURN NON TAXABLE-TEXT</v>
      </c>
      <c r="C104" s="11"/>
      <c r="D104" s="2">
        <f>-250.25</f>
        <v>-250.25</v>
      </c>
      <c r="E104" s="2"/>
      <c r="F104" s="21"/>
      <c r="G104" s="2"/>
      <c r="H104" s="2">
        <f>-554.73</f>
        <v>-554.73</v>
      </c>
      <c r="I104" s="2"/>
      <c r="J104" s="21"/>
      <c r="K104" s="2"/>
      <c r="L104" s="2">
        <f t="shared" si="0"/>
        <v>304.48</v>
      </c>
      <c r="M104" s="2"/>
      <c r="N104" s="21">
        <f t="shared" si="1"/>
        <v>-0.54887963513781479</v>
      </c>
      <c r="O104" s="11"/>
      <c r="P104" s="2">
        <f>-250.25</f>
        <v>-250.25</v>
      </c>
      <c r="Q104" s="2"/>
      <c r="R104" s="21"/>
      <c r="S104" s="2"/>
      <c r="T104" s="2">
        <f>-667.53</f>
        <v>-667.53</v>
      </c>
      <c r="U104" s="2"/>
      <c r="V104" s="21"/>
      <c r="W104" s="2"/>
      <c r="X104" s="2">
        <f t="shared" si="2"/>
        <v>417.28</v>
      </c>
      <c r="Y104" s="2"/>
      <c r="Z104" s="21">
        <f t="shared" si="3"/>
        <v>-0.6251104819259059</v>
      </c>
    </row>
    <row r="105" spans="1:26" s="24" customFormat="1" hidden="1" outlineLevel="1" x14ac:dyDescent="0.25">
      <c r="A105" s="50"/>
      <c r="B105" s="11" t="str">
        <f>CONCATENATE("          ", "4304", " - ", "SALES RETURN NON TAXABLE-DIGIT")</f>
        <v xml:space="preserve">          4304 - SALES RETURN NON TAXABLE-DIGIT</v>
      </c>
      <c r="C105" s="11"/>
      <c r="D105" s="2">
        <f>-8466.55</f>
        <v>-8466.5499999999993</v>
      </c>
      <c r="E105" s="2"/>
      <c r="F105" s="21"/>
      <c r="G105" s="2"/>
      <c r="H105" s="2">
        <f>-264.47</f>
        <v>-264.47000000000003</v>
      </c>
      <c r="I105" s="2"/>
      <c r="J105" s="21"/>
      <c r="K105" s="2"/>
      <c r="L105" s="2">
        <f t="shared" si="0"/>
        <v>-8202.08</v>
      </c>
      <c r="M105" s="2"/>
      <c r="N105" s="21">
        <f t="shared" si="1"/>
        <v>31.013271826672209</v>
      </c>
      <c r="O105" s="11"/>
      <c r="P105" s="2">
        <f>-8466.55</f>
        <v>-8466.5499999999993</v>
      </c>
      <c r="Q105" s="2"/>
      <c r="R105" s="21"/>
      <c r="S105" s="2"/>
      <c r="T105" s="2">
        <f>-284.47</f>
        <v>-284.47000000000003</v>
      </c>
      <c r="U105" s="2"/>
      <c r="V105" s="21"/>
      <c r="W105" s="2"/>
      <c r="X105" s="2">
        <f t="shared" si="2"/>
        <v>-8182.079999999999</v>
      </c>
      <c r="Y105" s="2"/>
      <c r="Z105" s="21">
        <f t="shared" si="3"/>
        <v>28.762540865469113</v>
      </c>
    </row>
    <row r="106" spans="1:26" s="24" customFormat="1" hidden="1" outlineLevel="1" x14ac:dyDescent="0.25">
      <c r="A106" s="50"/>
      <c r="B106" s="11" t="str">
        <f>CONCATENATE("          ", "4311", " - ", "SALES RETURN NON TAXABLE-NO VA")</f>
        <v xml:space="preserve">          4311 - SALES RETURN NON TAXABLE-NO VA</v>
      </c>
      <c r="C106" s="11"/>
      <c r="D106" s="2">
        <f>-79.06</f>
        <v>-79.06</v>
      </c>
      <c r="E106" s="2"/>
      <c r="F106" s="21"/>
      <c r="G106" s="2"/>
      <c r="H106" s="2">
        <f>-168.5</f>
        <v>-168.5</v>
      </c>
      <c r="I106" s="2"/>
      <c r="J106" s="21"/>
      <c r="K106" s="2"/>
      <c r="L106" s="2">
        <f t="shared" si="0"/>
        <v>89.44</v>
      </c>
      <c r="M106" s="2"/>
      <c r="N106" s="21">
        <f t="shared" si="1"/>
        <v>-0.53080118694362022</v>
      </c>
      <c r="O106" s="11"/>
      <c r="P106" s="2">
        <f>-111.04</f>
        <v>-111.04</v>
      </c>
      <c r="Q106" s="2"/>
      <c r="R106" s="21"/>
      <c r="S106" s="2"/>
      <c r="T106" s="2">
        <f>-212.88</f>
        <v>-212.88</v>
      </c>
      <c r="U106" s="2"/>
      <c r="V106" s="21"/>
      <c r="W106" s="2"/>
      <c r="X106" s="2">
        <f t="shared" si="2"/>
        <v>101.83999999999999</v>
      </c>
      <c r="Y106" s="2"/>
      <c r="Z106" s="21">
        <f t="shared" si="3"/>
        <v>-0.47839158211198796</v>
      </c>
    </row>
    <row r="107" spans="1:26" s="24" customFormat="1" hidden="1" outlineLevel="1" x14ac:dyDescent="0.25">
      <c r="A107" s="50"/>
      <c r="B107" s="11" t="str">
        <f>CONCATENATE("          ", "4326", " - ", "SALES RETURN NON TAXABLE-WRITI")</f>
        <v xml:space="preserve">          4326 - SALES RETURN NON TAXABLE-WRITI</v>
      </c>
      <c r="C107" s="11"/>
      <c r="D107" s="2">
        <f>0</f>
        <v>0</v>
      </c>
      <c r="E107" s="2"/>
      <c r="F107" s="21"/>
      <c r="G107" s="2"/>
      <c r="H107" s="2">
        <f>-3.29</f>
        <v>-3.29</v>
      </c>
      <c r="I107" s="2"/>
      <c r="J107" s="21"/>
      <c r="K107" s="2"/>
      <c r="L107" s="2">
        <f t="shared" si="0"/>
        <v>3.29</v>
      </c>
      <c r="M107" s="2"/>
      <c r="N107" s="21">
        <f t="shared" si="1"/>
        <v>-1</v>
      </c>
      <c r="O107" s="11"/>
      <c r="P107" s="2">
        <f>0</f>
        <v>0</v>
      </c>
      <c r="Q107" s="2"/>
      <c r="R107" s="21"/>
      <c r="S107" s="2"/>
      <c r="T107" s="2">
        <f>-5.58</f>
        <v>-5.58</v>
      </c>
      <c r="U107" s="2"/>
      <c r="V107" s="21"/>
      <c r="W107" s="2"/>
      <c r="X107" s="2">
        <f t="shared" si="2"/>
        <v>5.58</v>
      </c>
      <c r="Y107" s="2"/>
      <c r="Z107" s="21">
        <f t="shared" si="3"/>
        <v>-1</v>
      </c>
    </row>
    <row r="108" spans="1:26" s="24" customFormat="1" hidden="1" outlineLevel="1" x14ac:dyDescent="0.25">
      <c r="A108" s="50"/>
      <c r="B108" s="11" t="str">
        <f>CONCATENATE("          ", "4327", " - ", "SALES RETURN NON TAXABLE-SCHOO")</f>
        <v xml:space="preserve">          4327 - SALES RETURN NON TAXABLE-SCHOO</v>
      </c>
      <c r="C108" s="11"/>
      <c r="D108" s="2">
        <f>-13.58</f>
        <v>-13.58</v>
      </c>
      <c r="E108" s="2"/>
      <c r="F108" s="21"/>
      <c r="G108" s="2"/>
      <c r="H108" s="2">
        <f>0</f>
        <v>0</v>
      </c>
      <c r="I108" s="2"/>
      <c r="J108" s="21"/>
      <c r="K108" s="2"/>
      <c r="L108" s="2">
        <f t="shared" si="0"/>
        <v>-13.58</v>
      </c>
      <c r="M108" s="2"/>
      <c r="N108" s="21">
        <f t="shared" si="1"/>
        <v>0</v>
      </c>
      <c r="O108" s="11"/>
      <c r="P108" s="2">
        <f>-13.58</f>
        <v>-13.58</v>
      </c>
      <c r="Q108" s="2"/>
      <c r="R108" s="21"/>
      <c r="S108" s="2"/>
      <c r="T108" s="2">
        <f>0</f>
        <v>0</v>
      </c>
      <c r="U108" s="2"/>
      <c r="V108" s="21"/>
      <c r="W108" s="2"/>
      <c r="X108" s="2">
        <f t="shared" si="2"/>
        <v>-13.58</v>
      </c>
      <c r="Y108" s="2"/>
      <c r="Z108" s="21">
        <f t="shared" si="3"/>
        <v>0</v>
      </c>
    </row>
    <row r="109" spans="1:26" s="24" customFormat="1" hidden="1" outlineLevel="1" x14ac:dyDescent="0.25">
      <c r="A109" s="50"/>
      <c r="B109" s="11" t="str">
        <f>CONCATENATE("          ", "4340", " - ", "SALES RETURN NON TAXABLE-LOGO")</f>
        <v xml:space="preserve">          4340 - SALES RETURN NON TAXABLE-LOGO</v>
      </c>
      <c r="C109" s="11"/>
      <c r="D109" s="2">
        <f>-44.95</f>
        <v>-44.95</v>
      </c>
      <c r="E109" s="2"/>
      <c r="F109" s="21"/>
      <c r="G109" s="2"/>
      <c r="H109" s="2">
        <f>-191.74</f>
        <v>-191.74</v>
      </c>
      <c r="I109" s="2"/>
      <c r="J109" s="21"/>
      <c r="K109" s="2"/>
      <c r="L109" s="2">
        <f t="shared" si="0"/>
        <v>146.79000000000002</v>
      </c>
      <c r="M109" s="2"/>
      <c r="N109" s="21">
        <f t="shared" si="1"/>
        <v>-0.76556795660790666</v>
      </c>
      <c r="O109" s="11"/>
      <c r="P109" s="2">
        <f>-268.5</f>
        <v>-268.5</v>
      </c>
      <c r="Q109" s="2"/>
      <c r="R109" s="21"/>
      <c r="S109" s="2"/>
      <c r="T109" s="2">
        <f>-191.74</f>
        <v>-191.74</v>
      </c>
      <c r="U109" s="2"/>
      <c r="V109" s="21"/>
      <c r="W109" s="2"/>
      <c r="X109" s="2">
        <f t="shared" si="2"/>
        <v>-76.759999999999991</v>
      </c>
      <c r="Y109" s="2"/>
      <c r="Z109" s="21">
        <f t="shared" si="3"/>
        <v>0.4003337853343068</v>
      </c>
    </row>
    <row r="110" spans="1:26" s="24" customFormat="1" hidden="1" outlineLevel="1" x14ac:dyDescent="0.25">
      <c r="A110" s="50"/>
      <c r="B110" s="11" t="str">
        <f>CONCATENATE("          ", "4341", " - ", "SALES RETURN NON TAXABLE-LOGO")</f>
        <v xml:space="preserve">          4341 - SALES RETURN NON TAXABLE-LOGO</v>
      </c>
      <c r="C110" s="11"/>
      <c r="D110" s="2">
        <f>-3.95</f>
        <v>-3.95</v>
      </c>
      <c r="E110" s="2"/>
      <c r="F110" s="21"/>
      <c r="G110" s="2"/>
      <c r="H110" s="2">
        <f>-8.15</f>
        <v>-8.15</v>
      </c>
      <c r="I110" s="2"/>
      <c r="J110" s="21"/>
      <c r="K110" s="2"/>
      <c r="L110" s="2">
        <f t="shared" si="0"/>
        <v>4.2</v>
      </c>
      <c r="M110" s="2"/>
      <c r="N110" s="21">
        <f t="shared" si="1"/>
        <v>-0.51533742331288346</v>
      </c>
      <c r="O110" s="11"/>
      <c r="P110" s="2">
        <f>-3.95</f>
        <v>-3.95</v>
      </c>
      <c r="Q110" s="2"/>
      <c r="R110" s="21"/>
      <c r="S110" s="2"/>
      <c r="T110" s="2">
        <f>-8.15</f>
        <v>-8.15</v>
      </c>
      <c r="U110" s="2"/>
      <c r="V110" s="21"/>
      <c r="W110" s="2"/>
      <c r="X110" s="2">
        <f t="shared" si="2"/>
        <v>4.2</v>
      </c>
      <c r="Y110" s="2"/>
      <c r="Z110" s="21">
        <f t="shared" si="3"/>
        <v>-0.51533742331288346</v>
      </c>
    </row>
    <row r="111" spans="1:26" s="24" customFormat="1" hidden="1" outlineLevel="1" x14ac:dyDescent="0.25">
      <c r="A111" s="50"/>
      <c r="B111" s="11" t="str">
        <f>CONCATENATE("          ", "4346", " - ", "SALES RETURN NON TAXABLE-COIN-")</f>
        <v xml:space="preserve">          4346 - SALES RETURN NON TAXABLE-COIN-</v>
      </c>
      <c r="C111" s="11"/>
      <c r="D111" s="2">
        <f>-8.15</f>
        <v>-8.15</v>
      </c>
      <c r="E111" s="2"/>
      <c r="F111" s="21"/>
      <c r="G111" s="2"/>
      <c r="H111" s="2">
        <f t="shared" ref="H111:H113" si="9">0</f>
        <v>0</v>
      </c>
      <c r="I111" s="2"/>
      <c r="J111" s="21"/>
      <c r="K111" s="2"/>
      <c r="L111" s="2">
        <f t="shared" si="0"/>
        <v>-8.15</v>
      </c>
      <c r="M111" s="2"/>
      <c r="N111" s="21">
        <f t="shared" si="1"/>
        <v>0</v>
      </c>
      <c r="O111" s="11"/>
      <c r="P111" s="2">
        <f>-8.15</f>
        <v>-8.15</v>
      </c>
      <c r="Q111" s="2"/>
      <c r="R111" s="21"/>
      <c r="S111" s="2"/>
      <c r="T111" s="2">
        <f t="shared" ref="T111:T113" si="10">0</f>
        <v>0</v>
      </c>
      <c r="U111" s="2"/>
      <c r="V111" s="21"/>
      <c r="W111" s="2"/>
      <c r="X111" s="2">
        <f t="shared" si="2"/>
        <v>-8.15</v>
      </c>
      <c r="Y111" s="2"/>
      <c r="Z111" s="21">
        <f t="shared" si="3"/>
        <v>0</v>
      </c>
    </row>
    <row r="112" spans="1:26" s="24" customFormat="1" hidden="1" outlineLevel="1" x14ac:dyDescent="0.25">
      <c r="A112" s="50"/>
      <c r="B112" s="11" t="str">
        <f>CONCATENATE("          ", "4383", " - ", "SALES RETURN NON TAXABLE-COMPU")</f>
        <v xml:space="preserve">          4383 - SALES RETURN NON TAXABLE-COMPU</v>
      </c>
      <c r="C112" s="11"/>
      <c r="D112" s="2">
        <f>-24.99</f>
        <v>-24.99</v>
      </c>
      <c r="E112" s="2"/>
      <c r="F112" s="21"/>
      <c r="G112" s="2"/>
      <c r="H112" s="2">
        <f t="shared" si="9"/>
        <v>0</v>
      </c>
      <c r="I112" s="2"/>
      <c r="J112" s="21"/>
      <c r="K112" s="2"/>
      <c r="L112" s="2">
        <f t="shared" si="0"/>
        <v>-24.99</v>
      </c>
      <c r="M112" s="2"/>
      <c r="N112" s="21">
        <f t="shared" si="1"/>
        <v>0</v>
      </c>
      <c r="O112" s="11"/>
      <c r="P112" s="2">
        <f>-24.99</f>
        <v>-24.99</v>
      </c>
      <c r="Q112" s="2"/>
      <c r="R112" s="21"/>
      <c r="S112" s="2"/>
      <c r="T112" s="2">
        <f t="shared" si="10"/>
        <v>0</v>
      </c>
      <c r="U112" s="2"/>
      <c r="V112" s="21"/>
      <c r="W112" s="2"/>
      <c r="X112" s="2">
        <f t="shared" si="2"/>
        <v>-24.99</v>
      </c>
      <c r="Y112" s="2"/>
      <c r="Z112" s="21">
        <f t="shared" si="3"/>
        <v>0</v>
      </c>
    </row>
    <row r="113" spans="1:26" s="24" customFormat="1" hidden="1" outlineLevel="1" x14ac:dyDescent="0.25">
      <c r="A113" s="50"/>
      <c r="B113" s="11" t="str">
        <f>CONCATENATE("          ", "4386", " - ", "SALES RETURN NON TAXABLE-COMPU")</f>
        <v xml:space="preserve">          4386 - SALES RETURN NON TAXABLE-COMPU</v>
      </c>
      <c r="C113" s="11"/>
      <c r="D113" s="2">
        <f>-19.99</f>
        <v>-19.989999999999998</v>
      </c>
      <c r="E113" s="2"/>
      <c r="F113" s="21"/>
      <c r="G113" s="2"/>
      <c r="H113" s="2">
        <f t="shared" si="9"/>
        <v>0</v>
      </c>
      <c r="I113" s="2"/>
      <c r="J113" s="21"/>
      <c r="K113" s="2"/>
      <c r="L113" s="2">
        <f t="shared" si="0"/>
        <v>-19.989999999999998</v>
      </c>
      <c r="M113" s="2"/>
      <c r="N113" s="21">
        <f t="shared" si="1"/>
        <v>0</v>
      </c>
      <c r="O113" s="11"/>
      <c r="P113" s="2">
        <f>-19.99</f>
        <v>-19.989999999999998</v>
      </c>
      <c r="Q113" s="2"/>
      <c r="R113" s="21"/>
      <c r="S113" s="2"/>
      <c r="T113" s="2">
        <f t="shared" si="10"/>
        <v>0</v>
      </c>
      <c r="U113" s="2"/>
      <c r="V113" s="21"/>
      <c r="W113" s="2"/>
      <c r="X113" s="2">
        <f t="shared" si="2"/>
        <v>-19.989999999999998</v>
      </c>
      <c r="Y113" s="2"/>
      <c r="Z113" s="21">
        <f t="shared" si="3"/>
        <v>0</v>
      </c>
    </row>
    <row r="114" spans="1:26" x14ac:dyDescent="0.25">
      <c r="A114" s="9"/>
      <c r="B114" s="10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collapsed="1" x14ac:dyDescent="0.25">
      <c r="A115" s="10"/>
      <c r="B115" s="25" t="s">
        <v>8</v>
      </c>
      <c r="C115" s="10"/>
      <c r="D115" s="4">
        <f>SUM(OSRRefD16x_0)</f>
        <v>2225352.7100000004</v>
      </c>
      <c r="E115" s="4"/>
      <c r="F115" s="12">
        <f t="shared" ref="F115:F168" si="11">IF(D$12=0,0,D115/D$12)</f>
        <v>0.69444165160182969</v>
      </c>
      <c r="G115" s="4"/>
      <c r="H115" s="4">
        <f>SUM(OSRRefH16x_0)</f>
        <v>2308480.7999999998</v>
      </c>
      <c r="I115" s="4"/>
      <c r="J115" s="12">
        <f t="shared" ref="J115:J168" si="12">IF(H$12=0,0,H115/H$12)</f>
        <v>0.68943517828756828</v>
      </c>
      <c r="K115" s="4"/>
      <c r="L115" s="4">
        <f t="shared" ref="L115:L168" si="13">+D115-H115</f>
        <v>-83128.089999999385</v>
      </c>
      <c r="M115" s="4"/>
      <c r="N115" s="12">
        <f t="shared" ref="N115:N168" si="14">IF(H115=0,0,L115/H115)</f>
        <v>-3.6009868481470322E-2</v>
      </c>
      <c r="O115" s="10"/>
      <c r="P115" s="4">
        <f>SUM(OSRRefP16x_0)</f>
        <v>2761595.33</v>
      </c>
      <c r="Q115" s="4"/>
      <c r="R115" s="12">
        <f t="shared" ref="R115:R168" si="15">IF(P$12=0,0,P115/P$12)</f>
        <v>0.70326926844037596</v>
      </c>
      <c r="S115" s="4"/>
      <c r="T115" s="4">
        <f>SUM(OSRRefT16x_0)</f>
        <v>2891003.99</v>
      </c>
      <c r="U115" s="4"/>
      <c r="V115" s="12">
        <f t="shared" ref="V115:V168" si="16">IF(T$12=0,0,T115/T$12)</f>
        <v>0.69556707295306475</v>
      </c>
      <c r="W115" s="4"/>
      <c r="X115" s="4">
        <f t="shared" ref="X115:X168" si="17">+P115-T115</f>
        <v>-129408.66000000015</v>
      </c>
      <c r="Y115" s="4"/>
      <c r="Z115" s="12">
        <f t="shared" ref="Z115:Z168" si="18">IF(T115=0,0,X115/T115)</f>
        <v>-4.4762532479244395E-2</v>
      </c>
    </row>
    <row r="116" spans="1:26" s="24" customFormat="1" hidden="1" outlineLevel="1" x14ac:dyDescent="0.25">
      <c r="A116" s="50"/>
      <c r="B116" s="11" t="str">
        <f>CONCATENATE("          ", "5001", " - ", "PURCHASES @ COST-NEW TEXT")</f>
        <v xml:space="preserve">          5001 - PURCHASES @ COST-NEW TEXT</v>
      </c>
      <c r="C116" s="11"/>
      <c r="D116" s="2">
        <v>1483764.14</v>
      </c>
      <c r="E116" s="2"/>
      <c r="F116" s="21">
        <f t="shared" si="11"/>
        <v>0.46302216063950069</v>
      </c>
      <c r="G116" s="2"/>
      <c r="H116" s="2">
        <v>1253099.2100000002</v>
      </c>
      <c r="I116" s="2"/>
      <c r="J116" s="21">
        <f t="shared" si="12"/>
        <v>0.37424208910828333</v>
      </c>
      <c r="K116" s="2"/>
      <c r="L116" s="2">
        <f t="shared" si="13"/>
        <v>230664.9299999997</v>
      </c>
      <c r="M116" s="2"/>
      <c r="N116" s="21">
        <f t="shared" si="14"/>
        <v>0.18407555296439751</v>
      </c>
      <c r="O116" s="11"/>
      <c r="P116" s="2">
        <v>1827758.7</v>
      </c>
      <c r="Q116" s="2"/>
      <c r="R116" s="21">
        <f t="shared" si="15"/>
        <v>0.46545795825724129</v>
      </c>
      <c r="S116" s="2"/>
      <c r="T116" s="2">
        <v>1755170.96</v>
      </c>
      <c r="U116" s="2"/>
      <c r="V116" s="21">
        <f t="shared" si="16"/>
        <v>0.42228898036886503</v>
      </c>
      <c r="W116" s="2"/>
      <c r="X116" s="2">
        <f t="shared" si="17"/>
        <v>72587.739999999991</v>
      </c>
      <c r="Y116" s="2"/>
      <c r="Z116" s="21">
        <f t="shared" si="18"/>
        <v>4.1356506946764883E-2</v>
      </c>
    </row>
    <row r="117" spans="1:26" s="24" customFormat="1" hidden="1" outlineLevel="1" x14ac:dyDescent="0.25">
      <c r="A117" s="50"/>
      <c r="B117" s="11" t="str">
        <f>CONCATENATE("          ", "5002", " - ", "PURCHASES @ COST-USED TEXT")</f>
        <v xml:space="preserve">          5002 - PURCHASES @ COST-USED TEXT</v>
      </c>
      <c r="C117" s="11"/>
      <c r="D117" s="2">
        <v>224687.41999999998</v>
      </c>
      <c r="E117" s="2"/>
      <c r="F117" s="21">
        <f t="shared" si="11"/>
        <v>7.011576292503939E-2</v>
      </c>
      <c r="G117" s="2"/>
      <c r="H117" s="2">
        <v>234692.72</v>
      </c>
      <c r="I117" s="2"/>
      <c r="J117" s="21">
        <f t="shared" si="12"/>
        <v>7.0091731867986229E-2</v>
      </c>
      <c r="K117" s="2"/>
      <c r="L117" s="2">
        <f t="shared" si="13"/>
        <v>-10005.300000000017</v>
      </c>
      <c r="M117" s="2"/>
      <c r="N117" s="21">
        <f t="shared" si="14"/>
        <v>-4.2631488526785229E-2</v>
      </c>
      <c r="O117" s="11"/>
      <c r="P117" s="2">
        <v>334980.67</v>
      </c>
      <c r="Q117" s="2"/>
      <c r="R117" s="21">
        <f t="shared" si="15"/>
        <v>8.5306347448294309E-2</v>
      </c>
      <c r="S117" s="2"/>
      <c r="T117" s="2">
        <v>170574.41999999998</v>
      </c>
      <c r="U117" s="2"/>
      <c r="V117" s="21">
        <f t="shared" si="16"/>
        <v>4.1039704701364553E-2</v>
      </c>
      <c r="W117" s="2"/>
      <c r="X117" s="2">
        <f t="shared" si="17"/>
        <v>164406.25</v>
      </c>
      <c r="Y117" s="2"/>
      <c r="Z117" s="21">
        <f t="shared" si="18"/>
        <v>0.96383883351325494</v>
      </c>
    </row>
    <row r="118" spans="1:26" s="24" customFormat="1" hidden="1" outlineLevel="1" x14ac:dyDescent="0.25">
      <c r="A118" s="50"/>
      <c r="B118" s="11" t="str">
        <f>CONCATENATE("          ", "5003", " - ", "PURCHASES @ COST-RENTAL TEXT")</f>
        <v xml:space="preserve">          5003 - PURCHASES @ COST-RENTAL TEXT</v>
      </c>
      <c r="C118" s="11"/>
      <c r="D118" s="2">
        <v>-38374.199999999997</v>
      </c>
      <c r="E118" s="2"/>
      <c r="F118" s="21">
        <f t="shared" si="11"/>
        <v>-1.1975019828159702E-2</v>
      </c>
      <c r="G118" s="2"/>
      <c r="H118" s="2">
        <v>4208</v>
      </c>
      <c r="I118" s="2"/>
      <c r="J118" s="21">
        <f t="shared" si="12"/>
        <v>1.2567326660174465E-3</v>
      </c>
      <c r="K118" s="2"/>
      <c r="L118" s="2">
        <f t="shared" si="13"/>
        <v>-42582.2</v>
      </c>
      <c r="M118" s="2"/>
      <c r="N118" s="21">
        <f t="shared" si="14"/>
        <v>-10.119344106463878</v>
      </c>
      <c r="O118" s="11"/>
      <c r="P118" s="2">
        <v>-78.400000000000006</v>
      </c>
      <c r="Q118" s="2"/>
      <c r="R118" s="21">
        <f t="shared" si="15"/>
        <v>-1.9965383793477619E-5</v>
      </c>
      <c r="S118" s="2"/>
      <c r="T118" s="2">
        <v>2444.3000000000002</v>
      </c>
      <c r="U118" s="2"/>
      <c r="V118" s="21">
        <f t="shared" si="16"/>
        <v>5.8809140433568755E-4</v>
      </c>
      <c r="W118" s="2"/>
      <c r="X118" s="2">
        <f t="shared" si="17"/>
        <v>-2522.7000000000003</v>
      </c>
      <c r="Y118" s="2"/>
      <c r="Z118" s="21">
        <f t="shared" si="18"/>
        <v>-1.0320746225913349</v>
      </c>
    </row>
    <row r="119" spans="1:26" s="24" customFormat="1" hidden="1" outlineLevel="1" x14ac:dyDescent="0.25">
      <c r="A119" s="50"/>
      <c r="B119" s="11" t="str">
        <f>CONCATENATE("          ", "5004", " - ", "PURCHASES @ COST-DIGITAL TEXT")</f>
        <v xml:space="preserve">          5004 - PURCHASES @ COST-DIGITAL TEXT</v>
      </c>
      <c r="C119" s="11"/>
      <c r="D119" s="2">
        <v>169007.92</v>
      </c>
      <c r="E119" s="2"/>
      <c r="F119" s="21">
        <f t="shared" si="11"/>
        <v>5.2740466071371624E-2</v>
      </c>
      <c r="G119" s="2"/>
      <c r="H119" s="2">
        <v>56273.21</v>
      </c>
      <c r="I119" s="2"/>
      <c r="J119" s="21">
        <f t="shared" si="12"/>
        <v>1.6806174246354475E-2</v>
      </c>
      <c r="K119" s="2"/>
      <c r="L119" s="2">
        <f t="shared" si="13"/>
        <v>112734.71000000002</v>
      </c>
      <c r="M119" s="2"/>
      <c r="N119" s="21">
        <f t="shared" si="14"/>
        <v>2.0033459971450007</v>
      </c>
      <c r="O119" s="11"/>
      <c r="P119" s="2">
        <v>302966.49000000005</v>
      </c>
      <c r="Q119" s="2"/>
      <c r="R119" s="21">
        <f t="shared" si="15"/>
        <v>7.7153600120061214E-2</v>
      </c>
      <c r="S119" s="2"/>
      <c r="T119" s="2">
        <v>202213.11</v>
      </c>
      <c r="U119" s="2"/>
      <c r="V119" s="21">
        <f t="shared" si="16"/>
        <v>4.8651880634532116E-2</v>
      </c>
      <c r="W119" s="2"/>
      <c r="X119" s="2">
        <f t="shared" si="17"/>
        <v>100753.38000000006</v>
      </c>
      <c r="Y119" s="2"/>
      <c r="Z119" s="21">
        <f t="shared" si="18"/>
        <v>0.49825345151953832</v>
      </c>
    </row>
    <row r="120" spans="1:26" s="24" customFormat="1" hidden="1" outlineLevel="1" x14ac:dyDescent="0.25">
      <c r="A120" s="50"/>
      <c r="B120" s="11" t="str">
        <f>CONCATENATE("          ", "5011", " - ", "PURCHASES @ COST-NO VALUE TEXT")</f>
        <v xml:space="preserve">          5011 - PURCHASES @ COST-NO VALUE TEXT</v>
      </c>
      <c r="C120" s="11"/>
      <c r="D120" s="2">
        <v>369</v>
      </c>
      <c r="E120" s="2"/>
      <c r="F120" s="21">
        <f t="shared" si="11"/>
        <v>1.1514982244817951E-4</v>
      </c>
      <c r="G120" s="2"/>
      <c r="H120" s="2">
        <v>516</v>
      </c>
      <c r="I120" s="2"/>
      <c r="J120" s="21">
        <f t="shared" si="12"/>
        <v>1.5410505125118879E-4</v>
      </c>
      <c r="K120" s="2"/>
      <c r="L120" s="2">
        <f t="shared" si="13"/>
        <v>-147</v>
      </c>
      <c r="M120" s="2"/>
      <c r="N120" s="21">
        <f t="shared" si="14"/>
        <v>-0.28488372093023256</v>
      </c>
      <c r="O120" s="11"/>
      <c r="P120" s="2">
        <v>657</v>
      </c>
      <c r="Q120" s="2"/>
      <c r="R120" s="21">
        <f t="shared" si="15"/>
        <v>1.67311953473403E-4</v>
      </c>
      <c r="S120" s="2"/>
      <c r="T120" s="2">
        <v>957</v>
      </c>
      <c r="U120" s="2"/>
      <c r="V120" s="21">
        <f t="shared" si="16"/>
        <v>2.3025139056140939E-4</v>
      </c>
      <c r="W120" s="2"/>
      <c r="X120" s="2">
        <f t="shared" si="17"/>
        <v>-300</v>
      </c>
      <c r="Y120" s="2"/>
      <c r="Z120" s="21">
        <f t="shared" si="18"/>
        <v>-0.31347962382445144</v>
      </c>
    </row>
    <row r="121" spans="1:26" s="24" customFormat="1" hidden="1" outlineLevel="1" x14ac:dyDescent="0.25">
      <c r="A121" s="50"/>
      <c r="B121" s="11" t="str">
        <f>CONCATENATE("          ", "5013", " - ", "PURCHASES @ COST-TRADE BOOKS")</f>
        <v xml:space="preserve">          5013 - PURCHASES @ COST-TRADE BOOKS</v>
      </c>
      <c r="C121" s="11"/>
      <c r="D121" s="2"/>
      <c r="E121" s="2"/>
      <c r="F121" s="21">
        <f t="shared" si="11"/>
        <v>0</v>
      </c>
      <c r="G121" s="2"/>
      <c r="H121" s="2">
        <v>1483.2</v>
      </c>
      <c r="I121" s="2"/>
      <c r="J121" s="21">
        <f t="shared" si="12"/>
        <v>4.4296242638713798E-4</v>
      </c>
      <c r="K121" s="2"/>
      <c r="L121" s="2">
        <f t="shared" si="13"/>
        <v>-1483.2</v>
      </c>
      <c r="M121" s="2"/>
      <c r="N121" s="21">
        <f t="shared" si="14"/>
        <v>-1</v>
      </c>
      <c r="O121" s="11"/>
      <c r="P121" s="2">
        <v>204.9</v>
      </c>
      <c r="Q121" s="2"/>
      <c r="R121" s="21">
        <f t="shared" si="15"/>
        <v>5.2179938001065868E-5</v>
      </c>
      <c r="S121" s="2"/>
      <c r="T121" s="2">
        <v>1602.99</v>
      </c>
      <c r="U121" s="2"/>
      <c r="V121" s="21">
        <f t="shared" si="16"/>
        <v>3.8567468814632564E-4</v>
      </c>
      <c r="W121" s="2"/>
      <c r="X121" s="2">
        <f t="shared" si="17"/>
        <v>-1398.09</v>
      </c>
      <c r="Y121" s="2"/>
      <c r="Z121" s="21">
        <f t="shared" si="18"/>
        <v>-0.87217637040780038</v>
      </c>
    </row>
    <row r="122" spans="1:26" s="24" customFormat="1" hidden="1" outlineLevel="1" x14ac:dyDescent="0.25">
      <c r="A122" s="50"/>
      <c r="B122" s="11" t="str">
        <f>CONCATENATE("          ", "5014", " - ", "PURCHASES @ COST-REMAINDERS")</f>
        <v xml:space="preserve">          5014 - PURCHASES @ COST-REMAINDERS</v>
      </c>
      <c r="C122" s="11"/>
      <c r="D122" s="2">
        <v>133.84</v>
      </c>
      <c r="E122" s="2"/>
      <c r="F122" s="21">
        <f t="shared" si="11"/>
        <v>4.1765995220770585E-5</v>
      </c>
      <c r="G122" s="2"/>
      <c r="H122" s="2">
        <v>-23.6</v>
      </c>
      <c r="I122" s="2"/>
      <c r="J122" s="21">
        <f t="shared" si="12"/>
        <v>-7.0482155223411924E-6</v>
      </c>
      <c r="K122" s="2"/>
      <c r="L122" s="2">
        <f t="shared" si="13"/>
        <v>157.44</v>
      </c>
      <c r="M122" s="2"/>
      <c r="N122" s="21">
        <f t="shared" si="14"/>
        <v>-6.6711864406779657</v>
      </c>
      <c r="O122" s="11"/>
      <c r="P122" s="2">
        <v>234.32</v>
      </c>
      <c r="Q122" s="2"/>
      <c r="R122" s="21">
        <f t="shared" si="15"/>
        <v>5.9672050133771369E-5</v>
      </c>
      <c r="S122" s="2"/>
      <c r="T122" s="2">
        <v>204</v>
      </c>
      <c r="U122" s="2"/>
      <c r="V122" s="21">
        <f t="shared" si="16"/>
        <v>4.9081801122808269E-5</v>
      </c>
      <c r="W122" s="2"/>
      <c r="X122" s="2">
        <f t="shared" si="17"/>
        <v>30.319999999999993</v>
      </c>
      <c r="Y122" s="2"/>
      <c r="Z122" s="21">
        <f t="shared" si="18"/>
        <v>0.14862745098039212</v>
      </c>
    </row>
    <row r="123" spans="1:26" s="24" customFormat="1" hidden="1" outlineLevel="1" x14ac:dyDescent="0.25">
      <c r="A123" s="50"/>
      <c r="B123" s="11" t="str">
        <f>CONCATENATE("          ", "5017", " - ", "PURCHASES @ COST-DORM/HOUSEWAR")</f>
        <v xml:space="preserve">          5017 - PURCHASES @ COST-DORM/HOUSEWAR</v>
      </c>
      <c r="C123" s="11"/>
      <c r="D123" s="2">
        <v>139.86000000000001</v>
      </c>
      <c r="E123" s="2"/>
      <c r="F123" s="21">
        <f t="shared" si="11"/>
        <v>4.3644591240114875E-5</v>
      </c>
      <c r="G123" s="2"/>
      <c r="H123" s="2">
        <v>959.6</v>
      </c>
      <c r="I123" s="2"/>
      <c r="J123" s="21">
        <f t="shared" si="12"/>
        <v>2.8658761081519528E-4</v>
      </c>
      <c r="K123" s="2"/>
      <c r="L123" s="2">
        <f t="shared" si="13"/>
        <v>-819.74</v>
      </c>
      <c r="M123" s="2"/>
      <c r="N123" s="21">
        <f t="shared" si="14"/>
        <v>-0.85425177157148813</v>
      </c>
      <c r="O123" s="11"/>
      <c r="P123" s="2">
        <v>139.86000000000001</v>
      </c>
      <c r="Q123" s="2"/>
      <c r="R123" s="21">
        <f t="shared" si="15"/>
        <v>3.5616818588721682E-5</v>
      </c>
      <c r="S123" s="2"/>
      <c r="T123" s="2">
        <v>959.6</v>
      </c>
      <c r="U123" s="2"/>
      <c r="V123" s="21">
        <f t="shared" si="16"/>
        <v>2.3087694292866086E-4</v>
      </c>
      <c r="W123" s="2"/>
      <c r="X123" s="2">
        <f t="shared" si="17"/>
        <v>-819.74</v>
      </c>
      <c r="Y123" s="2"/>
      <c r="Z123" s="21">
        <f t="shared" si="18"/>
        <v>-0.85425177157148813</v>
      </c>
    </row>
    <row r="124" spans="1:26" s="24" customFormat="1" hidden="1" outlineLevel="1" x14ac:dyDescent="0.25">
      <c r="A124" s="50"/>
      <c r="B124" s="11" t="str">
        <f>CONCATENATE("          ", "5018", " - ", "PURCHASES @ COST-STUDY GUIDES")</f>
        <v xml:space="preserve">          5018 - PURCHASES @ COST-STUDY GUIDES</v>
      </c>
      <c r="C124" s="11"/>
      <c r="D124" s="2"/>
      <c r="E124" s="2"/>
      <c r="F124" s="21">
        <f t="shared" si="11"/>
        <v>0</v>
      </c>
      <c r="G124" s="2"/>
      <c r="H124" s="2">
        <v>449</v>
      </c>
      <c r="I124" s="2"/>
      <c r="J124" s="21">
        <f t="shared" si="12"/>
        <v>1.3409528684454216E-4</v>
      </c>
      <c r="K124" s="2"/>
      <c r="L124" s="2">
        <f t="shared" si="13"/>
        <v>-449</v>
      </c>
      <c r="M124" s="2"/>
      <c r="N124" s="21">
        <f t="shared" si="14"/>
        <v>-1</v>
      </c>
      <c r="O124" s="11"/>
      <c r="P124" s="2">
        <v>503.93</v>
      </c>
      <c r="Q124" s="2"/>
      <c r="R124" s="21">
        <f t="shared" si="15"/>
        <v>1.2833106957968335E-4</v>
      </c>
      <c r="S124" s="2"/>
      <c r="T124" s="2">
        <v>818.63</v>
      </c>
      <c r="U124" s="2"/>
      <c r="V124" s="21">
        <f t="shared" si="16"/>
        <v>1.9695997477041439E-4</v>
      </c>
      <c r="W124" s="2"/>
      <c r="X124" s="2">
        <f t="shared" si="17"/>
        <v>-314.7</v>
      </c>
      <c r="Y124" s="2"/>
      <c r="Z124" s="21">
        <f t="shared" si="18"/>
        <v>-0.38442275509082247</v>
      </c>
    </row>
    <row r="125" spans="1:26" s="24" customFormat="1" hidden="1" outlineLevel="1" x14ac:dyDescent="0.25">
      <c r="A125" s="50"/>
      <c r="B125" s="11" t="str">
        <f>CONCATENATE("          ", "5025", " - ", "PURCHASES @ COST-TEST FORMS")</f>
        <v xml:space="preserve">          5025 - PURCHASES @ COST-TEST FORMS</v>
      </c>
      <c r="C125" s="11"/>
      <c r="D125" s="2">
        <v>878.02</v>
      </c>
      <c r="E125" s="2"/>
      <c r="F125" s="21">
        <f t="shared" si="11"/>
        <v>2.7399416559878203E-4</v>
      </c>
      <c r="G125" s="2"/>
      <c r="H125" s="2"/>
      <c r="I125" s="2"/>
      <c r="J125" s="21">
        <f t="shared" si="12"/>
        <v>0</v>
      </c>
      <c r="K125" s="2"/>
      <c r="L125" s="2">
        <f t="shared" si="13"/>
        <v>878.02</v>
      </c>
      <c r="M125" s="2"/>
      <c r="N125" s="21">
        <f t="shared" si="14"/>
        <v>0</v>
      </c>
      <c r="O125" s="11"/>
      <c r="P125" s="2">
        <v>1757.14</v>
      </c>
      <c r="Q125" s="2"/>
      <c r="R125" s="21">
        <f t="shared" si="15"/>
        <v>4.4747416427131709E-4</v>
      </c>
      <c r="S125" s="2"/>
      <c r="T125" s="2">
        <v>1050</v>
      </c>
      <c r="U125" s="2"/>
      <c r="V125" s="21">
        <f t="shared" si="16"/>
        <v>2.5262691754386607E-4</v>
      </c>
      <c r="W125" s="2"/>
      <c r="X125" s="2">
        <f t="shared" si="17"/>
        <v>707.1400000000001</v>
      </c>
      <c r="Y125" s="2"/>
      <c r="Z125" s="21">
        <f t="shared" si="18"/>
        <v>0.67346666666666677</v>
      </c>
    </row>
    <row r="126" spans="1:26" s="24" customFormat="1" hidden="1" outlineLevel="1" x14ac:dyDescent="0.25">
      <c r="A126" s="50"/>
      <c r="B126" s="11" t="str">
        <f>CONCATENATE("          ", "5026", " - ", "PURCHASES @ COST-WRITING INSTR")</f>
        <v xml:space="preserve">          5026 - PURCHASES @ COST-WRITING INSTR</v>
      </c>
      <c r="C126" s="11"/>
      <c r="D126" s="2">
        <v>2205.4899999999998</v>
      </c>
      <c r="E126" s="2"/>
      <c r="F126" s="21">
        <f t="shared" si="11"/>
        <v>6.8824331141256203E-4</v>
      </c>
      <c r="G126" s="2"/>
      <c r="H126" s="2">
        <v>-16593.27</v>
      </c>
      <c r="I126" s="2"/>
      <c r="J126" s="21">
        <f t="shared" si="12"/>
        <v>-4.9556331856101029E-3</v>
      </c>
      <c r="K126" s="2"/>
      <c r="L126" s="2">
        <f t="shared" si="13"/>
        <v>18798.760000000002</v>
      </c>
      <c r="M126" s="2"/>
      <c r="N126" s="21">
        <f t="shared" si="14"/>
        <v>-1.1329147298874787</v>
      </c>
      <c r="O126" s="11"/>
      <c r="P126" s="2">
        <v>12536.53</v>
      </c>
      <c r="Q126" s="2"/>
      <c r="R126" s="21">
        <f t="shared" si="15"/>
        <v>3.1925590929648721E-3</v>
      </c>
      <c r="S126" s="2"/>
      <c r="T126" s="2">
        <v>4596.82</v>
      </c>
      <c r="U126" s="2"/>
      <c r="V126" s="21">
        <f t="shared" si="16"/>
        <v>1.1059813972418996E-3</v>
      </c>
      <c r="W126" s="2"/>
      <c r="X126" s="2">
        <f t="shared" si="17"/>
        <v>7939.7100000000009</v>
      </c>
      <c r="Y126" s="2"/>
      <c r="Z126" s="21">
        <f t="shared" si="18"/>
        <v>1.7272179463194124</v>
      </c>
    </row>
    <row r="127" spans="1:26" s="24" customFormat="1" hidden="1" outlineLevel="1" x14ac:dyDescent="0.25">
      <c r="A127" s="50"/>
      <c r="B127" s="11" t="str">
        <f>CONCATENATE("          ", "5027", " - ", "PURCHASES @ COST-SCHOOL SUPPLI")</f>
        <v xml:space="preserve">          5027 - PURCHASES @ COST-SCHOOL SUPPLI</v>
      </c>
      <c r="C127" s="11"/>
      <c r="D127" s="2">
        <v>-588.74</v>
      </c>
      <c r="E127" s="2"/>
      <c r="F127" s="21">
        <f t="shared" si="11"/>
        <v>-1.8372169774564013E-4</v>
      </c>
      <c r="G127" s="2"/>
      <c r="H127" s="2">
        <v>-11423.61</v>
      </c>
      <c r="I127" s="2"/>
      <c r="J127" s="21">
        <f t="shared" si="12"/>
        <v>-3.4116976831852571E-3</v>
      </c>
      <c r="K127" s="2"/>
      <c r="L127" s="2">
        <f t="shared" si="13"/>
        <v>10834.87</v>
      </c>
      <c r="M127" s="2"/>
      <c r="N127" s="21">
        <f t="shared" si="14"/>
        <v>-0.94846287644623728</v>
      </c>
      <c r="O127" s="11"/>
      <c r="P127" s="2">
        <v>49526.729999999996</v>
      </c>
      <c r="Q127" s="2"/>
      <c r="R127" s="21">
        <f t="shared" si="15"/>
        <v>1.2612502200075785E-2</v>
      </c>
      <c r="S127" s="2"/>
      <c r="T127" s="2">
        <v>43670.19</v>
      </c>
      <c r="U127" s="2"/>
      <c r="V127" s="21">
        <f t="shared" si="16"/>
        <v>1.0506919512623777E-2</v>
      </c>
      <c r="W127" s="2"/>
      <c r="X127" s="2">
        <f t="shared" si="17"/>
        <v>5856.5399999999936</v>
      </c>
      <c r="Y127" s="2"/>
      <c r="Z127" s="21">
        <f t="shared" si="18"/>
        <v>0.13410841583240177</v>
      </c>
    </row>
    <row r="128" spans="1:26" s="24" customFormat="1" hidden="1" outlineLevel="1" x14ac:dyDescent="0.25">
      <c r="A128" s="50"/>
      <c r="B128" s="11" t="str">
        <f>CONCATENATE("          ", "5028", " - ", "PURCHASES @ COST-ART/TECH")</f>
        <v xml:space="preserve">          5028 - PURCHASES @ COST-ART/TECH</v>
      </c>
      <c r="C128" s="11"/>
      <c r="D128" s="2">
        <v>27987.119999999999</v>
      </c>
      <c r="E128" s="2"/>
      <c r="F128" s="21">
        <f t="shared" si="11"/>
        <v>8.7336365822110931E-3</v>
      </c>
      <c r="G128" s="2"/>
      <c r="H128" s="2">
        <v>11572.23</v>
      </c>
      <c r="I128" s="2"/>
      <c r="J128" s="21">
        <f t="shared" si="12"/>
        <v>3.4560835217840005E-3</v>
      </c>
      <c r="K128" s="2"/>
      <c r="L128" s="2">
        <f t="shared" si="13"/>
        <v>16414.89</v>
      </c>
      <c r="M128" s="2"/>
      <c r="N128" s="21">
        <f t="shared" si="14"/>
        <v>1.4184724983862229</v>
      </c>
      <c r="O128" s="11"/>
      <c r="P128" s="2">
        <v>56014.77</v>
      </c>
      <c r="Q128" s="2"/>
      <c r="R128" s="21">
        <f t="shared" si="15"/>
        <v>1.4264749759609389E-2</v>
      </c>
      <c r="S128" s="2"/>
      <c r="T128" s="2">
        <v>37596.310000000005</v>
      </c>
      <c r="U128" s="2"/>
      <c r="V128" s="21">
        <f t="shared" si="16"/>
        <v>9.0455618155463133E-3</v>
      </c>
      <c r="W128" s="2"/>
      <c r="X128" s="2">
        <f t="shared" si="17"/>
        <v>18418.459999999992</v>
      </c>
      <c r="Y128" s="2"/>
      <c r="Z128" s="21">
        <f t="shared" si="18"/>
        <v>0.48990073759898217</v>
      </c>
    </row>
    <row r="129" spans="1:26" s="24" customFormat="1" hidden="1" outlineLevel="1" x14ac:dyDescent="0.25">
      <c r="A129" s="50"/>
      <c r="B129" s="11" t="str">
        <f>CONCATENATE("          ", "5031", " - ", "PURCHASES @ COST-FOOD")</f>
        <v xml:space="preserve">          5031 - PURCHASES @ COST-FOOD</v>
      </c>
      <c r="C129" s="11"/>
      <c r="D129" s="2">
        <v>2679.04</v>
      </c>
      <c r="E129" s="2"/>
      <c r="F129" s="21">
        <f t="shared" si="11"/>
        <v>8.360189168877258E-4</v>
      </c>
      <c r="G129" s="2"/>
      <c r="H129" s="2">
        <v>2874.01</v>
      </c>
      <c r="I129" s="2"/>
      <c r="J129" s="21">
        <f t="shared" si="12"/>
        <v>8.5833228361711065E-4</v>
      </c>
      <c r="K129" s="2"/>
      <c r="L129" s="2">
        <f t="shared" si="13"/>
        <v>-194.97000000000025</v>
      </c>
      <c r="M129" s="2"/>
      <c r="N129" s="21">
        <f t="shared" si="14"/>
        <v>-6.7839012390353629E-2</v>
      </c>
      <c r="O129" s="11"/>
      <c r="P129" s="2">
        <v>2679.04</v>
      </c>
      <c r="Q129" s="2"/>
      <c r="R129" s="21">
        <f t="shared" si="15"/>
        <v>6.8224568619997797E-4</v>
      </c>
      <c r="S129" s="2"/>
      <c r="T129" s="2">
        <v>2963.17</v>
      </c>
      <c r="U129" s="2"/>
      <c r="V129" s="21">
        <f t="shared" si="16"/>
        <v>7.1293000310329309E-4</v>
      </c>
      <c r="W129" s="2"/>
      <c r="X129" s="2">
        <f t="shared" si="17"/>
        <v>-284.13000000000011</v>
      </c>
      <c r="Y129" s="2"/>
      <c r="Z129" s="21">
        <f t="shared" si="18"/>
        <v>-9.5887174883655044E-2</v>
      </c>
    </row>
    <row r="130" spans="1:26" s="24" customFormat="1" hidden="1" outlineLevel="1" x14ac:dyDescent="0.25">
      <c r="A130" s="50"/>
      <c r="B130" s="11" t="str">
        <f>CONCATENATE("          ", "5032", " - ", "PURCHASES @ COST-JUICE")</f>
        <v xml:space="preserve">          5032 - PURCHASES @ COST-JUICE</v>
      </c>
      <c r="C130" s="11"/>
      <c r="D130" s="2">
        <v>227.18</v>
      </c>
      <c r="E130" s="2"/>
      <c r="F130" s="21">
        <f t="shared" si="11"/>
        <v>7.0893595294789768E-5</v>
      </c>
      <c r="G130" s="2"/>
      <c r="H130" s="2">
        <v>982.09</v>
      </c>
      <c r="I130" s="2"/>
      <c r="J130" s="21">
        <f t="shared" si="12"/>
        <v>2.9330432128542636E-4</v>
      </c>
      <c r="K130" s="2"/>
      <c r="L130" s="2">
        <f t="shared" si="13"/>
        <v>-754.91000000000008</v>
      </c>
      <c r="M130" s="2"/>
      <c r="N130" s="21">
        <f t="shared" si="14"/>
        <v>-0.76867700516245974</v>
      </c>
      <c r="O130" s="11"/>
      <c r="P130" s="2">
        <v>341.6</v>
      </c>
      <c r="Q130" s="2"/>
      <c r="R130" s="21">
        <f t="shared" si="15"/>
        <v>8.699202938586677E-5</v>
      </c>
      <c r="S130" s="2"/>
      <c r="T130" s="2">
        <v>982.09</v>
      </c>
      <c r="U130" s="2"/>
      <c r="V130" s="21">
        <f t="shared" si="16"/>
        <v>2.3628797090538615E-4</v>
      </c>
      <c r="W130" s="2"/>
      <c r="X130" s="2">
        <f t="shared" si="17"/>
        <v>-640.49</v>
      </c>
      <c r="Y130" s="2"/>
      <c r="Z130" s="21">
        <f t="shared" si="18"/>
        <v>-0.65217037135089451</v>
      </c>
    </row>
    <row r="131" spans="1:26" s="24" customFormat="1" hidden="1" outlineLevel="1" x14ac:dyDescent="0.25">
      <c r="A131" s="50"/>
      <c r="B131" s="11" t="str">
        <f>CONCATENATE("          ", "5033", " - ", "PURCHASES @ COST-CANDY")</f>
        <v xml:space="preserve">          5033 - PURCHASES @ COST-CANDY</v>
      </c>
      <c r="C131" s="11"/>
      <c r="D131" s="2">
        <v>986.46</v>
      </c>
      <c r="E131" s="2"/>
      <c r="F131" s="21">
        <f t="shared" si="11"/>
        <v>3.0783385867813324E-4</v>
      </c>
      <c r="G131" s="2"/>
      <c r="H131" s="2">
        <v>926.93</v>
      </c>
      <c r="I131" s="2"/>
      <c r="J131" s="21">
        <f t="shared" si="12"/>
        <v>2.7683061076795427E-4</v>
      </c>
      <c r="K131" s="2"/>
      <c r="L131" s="2">
        <f t="shared" si="13"/>
        <v>59.530000000000086</v>
      </c>
      <c r="M131" s="2"/>
      <c r="N131" s="21">
        <f t="shared" si="14"/>
        <v>6.4222756842480105E-2</v>
      </c>
      <c r="O131" s="11"/>
      <c r="P131" s="2">
        <v>986.46</v>
      </c>
      <c r="Q131" s="2"/>
      <c r="R131" s="21">
        <f t="shared" si="15"/>
        <v>2.5121240429737158E-4</v>
      </c>
      <c r="S131" s="2"/>
      <c r="T131" s="2">
        <v>1089.92</v>
      </c>
      <c r="U131" s="2"/>
      <c r="V131" s="21">
        <f t="shared" si="16"/>
        <v>2.6223155235181959E-4</v>
      </c>
      <c r="W131" s="2"/>
      <c r="X131" s="2">
        <f t="shared" si="17"/>
        <v>-103.46000000000004</v>
      </c>
      <c r="Y131" s="2"/>
      <c r="Z131" s="21">
        <f t="shared" si="18"/>
        <v>-9.4924398120963038E-2</v>
      </c>
    </row>
    <row r="132" spans="1:26" s="24" customFormat="1" hidden="1" outlineLevel="1" x14ac:dyDescent="0.25">
      <c r="A132" s="50"/>
      <c r="B132" s="11" t="str">
        <f>CONCATENATE("          ", "5034", " - ", "PURCHASES @ COST-SODA")</f>
        <v xml:space="preserve">          5034 - PURCHASES @ COST-SODA</v>
      </c>
      <c r="C132" s="11"/>
      <c r="D132" s="2">
        <v>350.04</v>
      </c>
      <c r="E132" s="2"/>
      <c r="F132" s="21">
        <f t="shared" si="11"/>
        <v>1.092331811646633E-4</v>
      </c>
      <c r="G132" s="2"/>
      <c r="H132" s="2">
        <v>538.94000000000005</v>
      </c>
      <c r="I132" s="2"/>
      <c r="J132" s="21">
        <f t="shared" si="12"/>
        <v>1.6095615566146451E-4</v>
      </c>
      <c r="K132" s="2"/>
      <c r="L132" s="2">
        <f t="shared" si="13"/>
        <v>-188.90000000000003</v>
      </c>
      <c r="M132" s="2"/>
      <c r="N132" s="21">
        <f t="shared" si="14"/>
        <v>-0.3505028389060007</v>
      </c>
      <c r="O132" s="11"/>
      <c r="P132" s="2">
        <v>288.5</v>
      </c>
      <c r="Q132" s="2"/>
      <c r="R132" s="21">
        <f t="shared" si="15"/>
        <v>7.3469556433906788E-5</v>
      </c>
      <c r="S132" s="2"/>
      <c r="T132" s="2">
        <v>538.94000000000005</v>
      </c>
      <c r="U132" s="2"/>
      <c r="V132" s="21">
        <f t="shared" si="16"/>
        <v>1.296673818486583E-4</v>
      </c>
      <c r="W132" s="2"/>
      <c r="X132" s="2">
        <f t="shared" si="17"/>
        <v>-250.44000000000005</v>
      </c>
      <c r="Y132" s="2"/>
      <c r="Z132" s="21">
        <f t="shared" si="18"/>
        <v>-0.4646899469328683</v>
      </c>
    </row>
    <row r="133" spans="1:26" s="24" customFormat="1" hidden="1" outlineLevel="1" x14ac:dyDescent="0.25">
      <c r="A133" s="50"/>
      <c r="B133" s="11" t="str">
        <f>CONCATENATE("          ", "5035", " - ", "PURCHASES @ COST-HEALTH &amp; BEAU")</f>
        <v xml:space="preserve">          5035 - PURCHASES @ COST-HEALTH &amp; BEAU</v>
      </c>
      <c r="C133" s="11"/>
      <c r="D133" s="2">
        <v>76.73</v>
      </c>
      <c r="E133" s="2"/>
      <c r="F133" s="21">
        <f t="shared" si="11"/>
        <v>2.3944297768153969E-5</v>
      </c>
      <c r="G133" s="2"/>
      <c r="H133" s="2">
        <v>44.49</v>
      </c>
      <c r="I133" s="2"/>
      <c r="J133" s="21">
        <f t="shared" si="12"/>
        <v>1.3287080872413545E-5</v>
      </c>
      <c r="K133" s="2"/>
      <c r="L133" s="2">
        <f t="shared" si="13"/>
        <v>32.24</v>
      </c>
      <c r="M133" s="2"/>
      <c r="N133" s="21">
        <f t="shared" si="14"/>
        <v>0.72465722634299845</v>
      </c>
      <c r="O133" s="11"/>
      <c r="P133" s="2">
        <v>76.73</v>
      </c>
      <c r="Q133" s="2"/>
      <c r="R133" s="21">
        <f t="shared" si="15"/>
        <v>1.9540100745835938E-5</v>
      </c>
      <c r="S133" s="2"/>
      <c r="T133" s="2">
        <v>44.49</v>
      </c>
      <c r="U133" s="2"/>
      <c r="V133" s="21">
        <f t="shared" si="16"/>
        <v>1.0704163391930099E-5</v>
      </c>
      <c r="W133" s="2"/>
      <c r="X133" s="2">
        <f t="shared" si="17"/>
        <v>32.24</v>
      </c>
      <c r="Y133" s="2"/>
      <c r="Z133" s="21">
        <f t="shared" si="18"/>
        <v>0.72465722634299845</v>
      </c>
    </row>
    <row r="134" spans="1:26" s="24" customFormat="1" hidden="1" outlineLevel="1" x14ac:dyDescent="0.25">
      <c r="A134" s="50"/>
      <c r="B134" s="11" t="str">
        <f>CONCATENATE("          ", "5037", " - ", "PURCHASES @ COST-WATER")</f>
        <v xml:space="preserve">          5037 - PURCHASES @ COST-WATER</v>
      </c>
      <c r="C134" s="11"/>
      <c r="D134" s="2">
        <v>462.36</v>
      </c>
      <c r="E134" s="2"/>
      <c r="F134" s="21">
        <f t="shared" si="11"/>
        <v>1.442836637049872E-4</v>
      </c>
      <c r="G134" s="2"/>
      <c r="H134" s="2">
        <v>591.05999999999995</v>
      </c>
      <c r="I134" s="2"/>
      <c r="J134" s="21">
        <f t="shared" si="12"/>
        <v>1.7652196045063494E-4</v>
      </c>
      <c r="K134" s="2"/>
      <c r="L134" s="2">
        <f t="shared" si="13"/>
        <v>-128.69999999999993</v>
      </c>
      <c r="M134" s="2"/>
      <c r="N134" s="21">
        <f t="shared" si="14"/>
        <v>-0.21774439143234181</v>
      </c>
      <c r="O134" s="11"/>
      <c r="P134" s="2">
        <v>495.94</v>
      </c>
      <c r="Q134" s="2"/>
      <c r="R134" s="21">
        <f t="shared" si="15"/>
        <v>1.2629633212420013E-4</v>
      </c>
      <c r="S134" s="2"/>
      <c r="T134" s="2">
        <v>591.05999999999995</v>
      </c>
      <c r="U134" s="2"/>
      <c r="V134" s="21">
        <f t="shared" si="16"/>
        <v>1.4220730084140711E-4</v>
      </c>
      <c r="W134" s="2"/>
      <c r="X134" s="2">
        <f t="shared" si="17"/>
        <v>-95.119999999999948</v>
      </c>
      <c r="Y134" s="2"/>
      <c r="Z134" s="21">
        <f t="shared" si="18"/>
        <v>-0.16093120833756294</v>
      </c>
    </row>
    <row r="135" spans="1:26" s="24" customFormat="1" hidden="1" outlineLevel="1" x14ac:dyDescent="0.25">
      <c r="A135" s="50"/>
      <c r="B135" s="11" t="str">
        <f>CONCATENATE("          ", "5040", " - ", "PURCHASES @ COST-LOGO CLOTHING")</f>
        <v xml:space="preserve">          5040 - PURCHASES @ COST-LOGO CLOTHING</v>
      </c>
      <c r="C135" s="11"/>
      <c r="D135" s="2">
        <v>106647.4</v>
      </c>
      <c r="E135" s="2"/>
      <c r="F135" s="21">
        <f t="shared" si="11"/>
        <v>3.3280295866016205E-2</v>
      </c>
      <c r="G135" s="2"/>
      <c r="H135" s="2">
        <v>88746.85</v>
      </c>
      <c r="I135" s="2"/>
      <c r="J135" s="21">
        <f t="shared" si="12"/>
        <v>2.650453075122396E-2</v>
      </c>
      <c r="K135" s="2"/>
      <c r="L135" s="2">
        <f t="shared" si="13"/>
        <v>17900.549999999988</v>
      </c>
      <c r="M135" s="2"/>
      <c r="N135" s="21">
        <f t="shared" si="14"/>
        <v>0.20170349708186811</v>
      </c>
      <c r="O135" s="11"/>
      <c r="P135" s="2">
        <v>185568.97</v>
      </c>
      <c r="Q135" s="2"/>
      <c r="R135" s="21">
        <f t="shared" si="15"/>
        <v>4.7257088089417525E-2</v>
      </c>
      <c r="S135" s="2"/>
      <c r="T135" s="2">
        <v>168247.22</v>
      </c>
      <c r="U135" s="2"/>
      <c r="V135" s="21">
        <f t="shared" si="16"/>
        <v>4.047978721326162E-2</v>
      </c>
      <c r="W135" s="2"/>
      <c r="X135" s="2">
        <f t="shared" si="17"/>
        <v>17321.75</v>
      </c>
      <c r="Y135" s="2"/>
      <c r="Z135" s="21">
        <f t="shared" si="18"/>
        <v>0.10295415282344636</v>
      </c>
    </row>
    <row r="136" spans="1:26" s="24" customFormat="1" hidden="1" outlineLevel="1" x14ac:dyDescent="0.25">
      <c r="A136" s="50"/>
      <c r="B136" s="11" t="str">
        <f>CONCATENATE("          ", "5041", " - ", "PURCHASES @ COST-LOGO GIFTS")</f>
        <v xml:space="preserve">          5041 - PURCHASES @ COST-LOGO GIFTS</v>
      </c>
      <c r="C136" s="11"/>
      <c r="D136" s="2">
        <v>16578.89</v>
      </c>
      <c r="E136" s="2"/>
      <c r="F136" s="21">
        <f t="shared" si="11"/>
        <v>5.1735941460376656E-3</v>
      </c>
      <c r="G136" s="2"/>
      <c r="H136" s="2">
        <v>18758.96</v>
      </c>
      <c r="I136" s="2"/>
      <c r="J136" s="21">
        <f t="shared" si="12"/>
        <v>5.6024234345329457E-3</v>
      </c>
      <c r="K136" s="2"/>
      <c r="L136" s="2">
        <f t="shared" si="13"/>
        <v>-2180.0699999999997</v>
      </c>
      <c r="M136" s="2"/>
      <c r="N136" s="21">
        <f t="shared" si="14"/>
        <v>-0.11621486478994571</v>
      </c>
      <c r="O136" s="11"/>
      <c r="P136" s="2">
        <v>28529.16</v>
      </c>
      <c r="Q136" s="2"/>
      <c r="R136" s="21">
        <f t="shared" si="15"/>
        <v>7.2652503661419631E-3</v>
      </c>
      <c r="S136" s="2"/>
      <c r="T136" s="2">
        <v>40854.899999999994</v>
      </c>
      <c r="U136" s="2"/>
      <c r="V136" s="21">
        <f t="shared" si="16"/>
        <v>9.8295690033932317E-3</v>
      </c>
      <c r="W136" s="2"/>
      <c r="X136" s="2">
        <f t="shared" si="17"/>
        <v>-12325.739999999994</v>
      </c>
      <c r="Y136" s="2"/>
      <c r="Z136" s="21">
        <f t="shared" si="18"/>
        <v>-0.30169551265576455</v>
      </c>
    </row>
    <row r="137" spans="1:26" s="24" customFormat="1" hidden="1" outlineLevel="1" x14ac:dyDescent="0.25">
      <c r="A137" s="50"/>
      <c r="B137" s="11" t="str">
        <f>CONCATENATE("          ", "5042", " - ", "PURCHASES @ COST-EVERYDAY GIFT")</f>
        <v xml:space="preserve">          5042 - PURCHASES @ COST-EVERYDAY GIFT</v>
      </c>
      <c r="C137" s="11"/>
      <c r="D137" s="2">
        <v>15979.86</v>
      </c>
      <c r="E137" s="2"/>
      <c r="F137" s="21">
        <f t="shared" si="11"/>
        <v>4.9866613597473334E-3</v>
      </c>
      <c r="G137" s="2"/>
      <c r="H137" s="2">
        <v>18833.41</v>
      </c>
      <c r="I137" s="2"/>
      <c r="J137" s="21">
        <f t="shared" si="12"/>
        <v>5.6246581652803322E-3</v>
      </c>
      <c r="K137" s="2"/>
      <c r="L137" s="2">
        <f t="shared" si="13"/>
        <v>-2853.5499999999993</v>
      </c>
      <c r="M137" s="2"/>
      <c r="N137" s="21">
        <f t="shared" si="14"/>
        <v>-0.15151531241554234</v>
      </c>
      <c r="O137" s="11"/>
      <c r="P137" s="2">
        <v>23732.22</v>
      </c>
      <c r="Q137" s="2"/>
      <c r="R137" s="21">
        <f t="shared" si="15"/>
        <v>6.0436591909597626E-3</v>
      </c>
      <c r="S137" s="2"/>
      <c r="T137" s="2">
        <v>23533.83</v>
      </c>
      <c r="U137" s="2"/>
      <c r="V137" s="21">
        <f t="shared" si="16"/>
        <v>5.6621704103822501E-3</v>
      </c>
      <c r="W137" s="2"/>
      <c r="X137" s="2">
        <f t="shared" si="17"/>
        <v>198.38999999999942</v>
      </c>
      <c r="Y137" s="2"/>
      <c r="Z137" s="21">
        <f t="shared" si="18"/>
        <v>8.429992058241239E-3</v>
      </c>
    </row>
    <row r="138" spans="1:26" s="24" customFormat="1" hidden="1" outlineLevel="1" x14ac:dyDescent="0.25">
      <c r="A138" s="50"/>
      <c r="B138" s="11" t="str">
        <f>CONCATENATE("          ", "5043", " - ", "PURCHASES @ COST-CARDS")</f>
        <v xml:space="preserve">          5043 - PURCHASES @ COST-CARDS</v>
      </c>
      <c r="C138" s="11"/>
      <c r="D138" s="2">
        <v>15.24</v>
      </c>
      <c r="E138" s="2"/>
      <c r="F138" s="21">
        <f t="shared" si="11"/>
        <v>4.7557812848516414E-6</v>
      </c>
      <c r="G138" s="2"/>
      <c r="H138" s="2">
        <v>-6.92</v>
      </c>
      <c r="I138" s="2"/>
      <c r="J138" s="21">
        <f t="shared" si="12"/>
        <v>-2.0666801446864851E-6</v>
      </c>
      <c r="K138" s="2"/>
      <c r="L138" s="2">
        <f t="shared" si="13"/>
        <v>22.16</v>
      </c>
      <c r="M138" s="2"/>
      <c r="N138" s="21">
        <f t="shared" si="14"/>
        <v>-3.2023121387283235</v>
      </c>
      <c r="O138" s="11"/>
      <c r="P138" s="2">
        <v>513.5</v>
      </c>
      <c r="Q138" s="2"/>
      <c r="R138" s="21">
        <f t="shared" si="15"/>
        <v>1.3076817063712701E-4</v>
      </c>
      <c r="S138" s="2"/>
      <c r="T138" s="2">
        <v>463.81</v>
      </c>
      <c r="U138" s="2"/>
      <c r="V138" s="21">
        <f t="shared" si="16"/>
        <v>1.1159132440573384E-4</v>
      </c>
      <c r="W138" s="2"/>
      <c r="X138" s="2">
        <f t="shared" si="17"/>
        <v>49.69</v>
      </c>
      <c r="Y138" s="2"/>
      <c r="Z138" s="21">
        <f t="shared" si="18"/>
        <v>0.10713438692568077</v>
      </c>
    </row>
    <row r="139" spans="1:26" s="24" customFormat="1" hidden="1" outlineLevel="1" x14ac:dyDescent="0.25">
      <c r="A139" s="50"/>
      <c r="B139" s="11" t="str">
        <f>CONCATENATE("          ", "5044", " - ", "PURCHASES @ COST-ACCESSORIES")</f>
        <v xml:space="preserve">          5044 - PURCHASES @ COST-ACCESSORIES</v>
      </c>
      <c r="C139" s="11"/>
      <c r="D139" s="2">
        <v>13249.12</v>
      </c>
      <c r="E139" s="2"/>
      <c r="F139" s="21">
        <f t="shared" si="11"/>
        <v>4.1345089853512852E-3</v>
      </c>
      <c r="G139" s="2"/>
      <c r="H139" s="2">
        <v>2132.59</v>
      </c>
      <c r="I139" s="2"/>
      <c r="J139" s="21">
        <f t="shared" si="12"/>
        <v>6.3690482799955953E-4</v>
      </c>
      <c r="K139" s="2"/>
      <c r="L139" s="2">
        <f t="shared" si="13"/>
        <v>11116.53</v>
      </c>
      <c r="M139" s="2"/>
      <c r="N139" s="21">
        <f t="shared" si="14"/>
        <v>5.212689734079218</v>
      </c>
      <c r="O139" s="11"/>
      <c r="P139" s="2">
        <v>18088.12</v>
      </c>
      <c r="Q139" s="2"/>
      <c r="R139" s="21">
        <f t="shared" si="15"/>
        <v>4.6063298201846729E-3</v>
      </c>
      <c r="S139" s="2"/>
      <c r="T139" s="2">
        <v>8195.59</v>
      </c>
      <c r="U139" s="2"/>
      <c r="V139" s="21">
        <f t="shared" si="16"/>
        <v>1.9718348944317461E-3</v>
      </c>
      <c r="W139" s="2"/>
      <c r="X139" s="2">
        <f t="shared" si="17"/>
        <v>9892.5299999999988</v>
      </c>
      <c r="Y139" s="2"/>
      <c r="Z139" s="21">
        <f t="shared" si="18"/>
        <v>1.2070552577666769</v>
      </c>
    </row>
    <row r="140" spans="1:26" s="24" customFormat="1" hidden="1" outlineLevel="1" x14ac:dyDescent="0.25">
      <c r="A140" s="50"/>
      <c r="B140" s="11" t="str">
        <f>CONCATENATE("          ", "5045", " - ", "PURCHASES @ COST-SPECIAL ORDER")</f>
        <v xml:space="preserve">          5045 - PURCHASES @ COST-SPECIAL ORDER</v>
      </c>
      <c r="C140" s="11"/>
      <c r="D140" s="2">
        <v>4152.78</v>
      </c>
      <c r="E140" s="2"/>
      <c r="F140" s="21">
        <f t="shared" si="11"/>
        <v>1.2959129530253411E-3</v>
      </c>
      <c r="G140" s="2"/>
      <c r="H140" s="2">
        <v>11385.67</v>
      </c>
      <c r="I140" s="2"/>
      <c r="J140" s="21">
        <f t="shared" si="12"/>
        <v>3.4003667807734933E-3</v>
      </c>
      <c r="K140" s="2"/>
      <c r="L140" s="2">
        <f t="shared" si="13"/>
        <v>-7232.89</v>
      </c>
      <c r="M140" s="2"/>
      <c r="N140" s="21">
        <f t="shared" si="14"/>
        <v>-0.6352625712847817</v>
      </c>
      <c r="O140" s="11"/>
      <c r="P140" s="2">
        <v>20145.63</v>
      </c>
      <c r="Q140" s="2"/>
      <c r="R140" s="21">
        <f t="shared" si="15"/>
        <v>5.1302963611147513E-3</v>
      </c>
      <c r="S140" s="2"/>
      <c r="T140" s="2">
        <v>30009.980000000003</v>
      </c>
      <c r="U140" s="2"/>
      <c r="V140" s="21">
        <f t="shared" si="16"/>
        <v>7.2203130885267345E-3</v>
      </c>
      <c r="W140" s="2"/>
      <c r="X140" s="2">
        <f t="shared" si="17"/>
        <v>-9864.3500000000022</v>
      </c>
      <c r="Y140" s="2"/>
      <c r="Z140" s="21">
        <f t="shared" si="18"/>
        <v>-0.32870231836209157</v>
      </c>
    </row>
    <row r="141" spans="1:26" s="24" customFormat="1" hidden="1" outlineLevel="1" x14ac:dyDescent="0.25">
      <c r="A141" s="50"/>
      <c r="B141" s="11" t="str">
        <f>CONCATENATE("          ", "5081", " - ", "PURCHASES @ COST-ELECTRONICS")</f>
        <v xml:space="preserve">          5081 - PURCHASES @ COST-ELECTRONICS</v>
      </c>
      <c r="C141" s="11"/>
      <c r="D141" s="2">
        <v>17704.489999999998</v>
      </c>
      <c r="E141" s="2"/>
      <c r="F141" s="21">
        <f t="shared" si="11"/>
        <v>5.5248479133755265E-3</v>
      </c>
      <c r="G141" s="2"/>
      <c r="H141" s="2">
        <v>31694.140000000003</v>
      </c>
      <c r="I141" s="2"/>
      <c r="J141" s="21">
        <f t="shared" si="12"/>
        <v>9.4655563353921567E-3</v>
      </c>
      <c r="K141" s="2"/>
      <c r="L141" s="2">
        <f t="shared" si="13"/>
        <v>-13989.650000000005</v>
      </c>
      <c r="M141" s="2"/>
      <c r="N141" s="21">
        <f t="shared" si="14"/>
        <v>-0.44139547563051101</v>
      </c>
      <c r="O141" s="11"/>
      <c r="P141" s="2">
        <v>83762.840000000011</v>
      </c>
      <c r="Q141" s="2"/>
      <c r="R141" s="21">
        <f t="shared" si="15"/>
        <v>2.1331087349893609E-2</v>
      </c>
      <c r="S141" s="2"/>
      <c r="T141" s="2">
        <v>88705.83</v>
      </c>
      <c r="U141" s="2"/>
      <c r="V141" s="21">
        <f t="shared" si="16"/>
        <v>2.1342362286733526E-2</v>
      </c>
      <c r="W141" s="2"/>
      <c r="X141" s="2">
        <f t="shared" si="17"/>
        <v>-4942.9899999999907</v>
      </c>
      <c r="Y141" s="2"/>
      <c r="Z141" s="21">
        <f t="shared" si="18"/>
        <v>-5.5723394956114954E-2</v>
      </c>
    </row>
    <row r="142" spans="1:26" s="24" customFormat="1" hidden="1" outlineLevel="1" x14ac:dyDescent="0.25">
      <c r="A142" s="50"/>
      <c r="B142" s="11" t="str">
        <f>CONCATENATE("          ", "5082", " - ", "PURCHASES @ COST-COMPUTER HARD")</f>
        <v xml:space="preserve">          5082 - PURCHASES @ COST-COMPUTER HARD</v>
      </c>
      <c r="C142" s="11"/>
      <c r="D142" s="2">
        <v>317193.52999999997</v>
      </c>
      <c r="E142" s="2"/>
      <c r="F142" s="21">
        <f t="shared" si="11"/>
        <v>9.8983140003282649E-2</v>
      </c>
      <c r="G142" s="2"/>
      <c r="H142" s="2">
        <v>109142.24</v>
      </c>
      <c r="I142" s="2"/>
      <c r="J142" s="21">
        <f t="shared" si="12"/>
        <v>3.2595679241995246E-2</v>
      </c>
      <c r="K142" s="2"/>
      <c r="L142" s="2">
        <f t="shared" si="13"/>
        <v>208051.28999999998</v>
      </c>
      <c r="M142" s="2"/>
      <c r="N142" s="21">
        <f t="shared" si="14"/>
        <v>1.9062398755972021</v>
      </c>
      <c r="O142" s="11"/>
      <c r="P142" s="2">
        <v>673753.5</v>
      </c>
      <c r="Q142" s="2"/>
      <c r="R142" s="21">
        <f t="shared" si="15"/>
        <v>0.17157840828697477</v>
      </c>
      <c r="S142" s="2"/>
      <c r="T142" s="2">
        <v>404996.56</v>
      </c>
      <c r="U142" s="2"/>
      <c r="V142" s="21">
        <f t="shared" si="16"/>
        <v>9.7440983398732778E-2</v>
      </c>
      <c r="W142" s="2"/>
      <c r="X142" s="2">
        <f t="shared" si="17"/>
        <v>268756.94</v>
      </c>
      <c r="Y142" s="2"/>
      <c r="Z142" s="21">
        <f t="shared" si="18"/>
        <v>0.663603019245398</v>
      </c>
    </row>
    <row r="143" spans="1:26" s="24" customFormat="1" hidden="1" outlineLevel="1" x14ac:dyDescent="0.25">
      <c r="A143" s="50"/>
      <c r="B143" s="11" t="str">
        <f>CONCATENATE("          ", "5083", " - ", "PURCHASES @ COST-COMPUTER EQUI")</f>
        <v xml:space="preserve">          5083 - PURCHASES @ COST-COMPUTER EQUI</v>
      </c>
      <c r="C143" s="11"/>
      <c r="D143" s="2">
        <v>9997.75</v>
      </c>
      <c r="E143" s="2"/>
      <c r="F143" s="21">
        <f t="shared" si="11"/>
        <v>3.1198892611958989E-3</v>
      </c>
      <c r="G143" s="2"/>
      <c r="H143" s="2">
        <v>7625.77</v>
      </c>
      <c r="I143" s="2"/>
      <c r="J143" s="21">
        <f t="shared" si="12"/>
        <v>2.2774606137205E-3</v>
      </c>
      <c r="K143" s="2"/>
      <c r="L143" s="2">
        <f t="shared" si="13"/>
        <v>2371.9799999999996</v>
      </c>
      <c r="M143" s="2"/>
      <c r="N143" s="21">
        <f t="shared" si="14"/>
        <v>0.31104793352015592</v>
      </c>
      <c r="O143" s="11"/>
      <c r="P143" s="2">
        <v>17273.89</v>
      </c>
      <c r="Q143" s="2"/>
      <c r="R143" s="21">
        <f t="shared" si="15"/>
        <v>4.3989775951060591E-3</v>
      </c>
      <c r="S143" s="2"/>
      <c r="T143" s="2">
        <v>14508.37</v>
      </c>
      <c r="U143" s="2"/>
      <c r="V143" s="21">
        <f t="shared" si="16"/>
        <v>3.4906712301770483E-3</v>
      </c>
      <c r="W143" s="2"/>
      <c r="X143" s="2">
        <f t="shared" si="17"/>
        <v>2765.5199999999986</v>
      </c>
      <c r="Y143" s="2"/>
      <c r="Z143" s="21">
        <f t="shared" si="18"/>
        <v>0.19061548609526766</v>
      </c>
    </row>
    <row r="144" spans="1:26" s="24" customFormat="1" hidden="1" outlineLevel="1" x14ac:dyDescent="0.25">
      <c r="A144" s="50"/>
      <c r="B144" s="11" t="str">
        <f>CONCATENATE("          ", "5084", " - ", "PURCHASES @ COST-SOFTWARE LICE")</f>
        <v xml:space="preserve">          5084 - PURCHASES @ COST-SOFTWARE LICE</v>
      </c>
      <c r="C144" s="11"/>
      <c r="D144" s="2">
        <v>1522</v>
      </c>
      <c r="E144" s="2"/>
      <c r="F144" s="21">
        <f t="shared" si="11"/>
        <v>4.7495401020631223E-4</v>
      </c>
      <c r="G144" s="2"/>
      <c r="H144" s="2">
        <v>99</v>
      </c>
      <c r="I144" s="2"/>
      <c r="J144" s="21">
        <f t="shared" si="12"/>
        <v>2.9566666809821102E-5</v>
      </c>
      <c r="K144" s="2"/>
      <c r="L144" s="2">
        <f t="shared" si="13"/>
        <v>1423</v>
      </c>
      <c r="M144" s="2"/>
      <c r="N144" s="21">
        <f t="shared" si="14"/>
        <v>14.373737373737374</v>
      </c>
      <c r="O144" s="11"/>
      <c r="P144" s="2">
        <v>1522</v>
      </c>
      <c r="Q144" s="2"/>
      <c r="R144" s="21">
        <f t="shared" si="15"/>
        <v>3.8759329252133841E-4</v>
      </c>
      <c r="S144" s="2"/>
      <c r="T144" s="2">
        <v>99</v>
      </c>
      <c r="U144" s="2"/>
      <c r="V144" s="21">
        <f t="shared" si="16"/>
        <v>2.3819109368421661E-5</v>
      </c>
      <c r="W144" s="2"/>
      <c r="X144" s="2">
        <f t="shared" si="17"/>
        <v>1423</v>
      </c>
      <c r="Y144" s="2"/>
      <c r="Z144" s="21">
        <f t="shared" si="18"/>
        <v>14.373737373737374</v>
      </c>
    </row>
    <row r="145" spans="1:26" s="24" customFormat="1" hidden="1" outlineLevel="1" x14ac:dyDescent="0.25">
      <c r="A145" s="50"/>
      <c r="B145" s="11" t="str">
        <f>CONCATENATE("          ", "5085", " - ", "PURCHASES @ COST-SOFTWARE")</f>
        <v xml:space="preserve">          5085 - PURCHASES @ COST-SOFTWARE</v>
      </c>
      <c r="C145" s="11"/>
      <c r="D145" s="2">
        <v>3368</v>
      </c>
      <c r="E145" s="2"/>
      <c r="F145" s="21">
        <f t="shared" si="11"/>
        <v>1.0510151815866357E-3</v>
      </c>
      <c r="G145" s="2"/>
      <c r="H145" s="2">
        <v>2054.88</v>
      </c>
      <c r="I145" s="2"/>
      <c r="J145" s="21">
        <f t="shared" si="12"/>
        <v>6.1369648781985043E-4</v>
      </c>
      <c r="K145" s="2"/>
      <c r="L145" s="2">
        <f t="shared" si="13"/>
        <v>1313.12</v>
      </c>
      <c r="M145" s="2"/>
      <c r="N145" s="21">
        <f t="shared" si="14"/>
        <v>0.63902514988709791</v>
      </c>
      <c r="O145" s="11"/>
      <c r="P145" s="2">
        <v>3368</v>
      </c>
      <c r="Q145" s="2"/>
      <c r="R145" s="21">
        <f t="shared" si="15"/>
        <v>8.5769658949531391E-4</v>
      </c>
      <c r="S145" s="2"/>
      <c r="T145" s="2">
        <v>2054.88</v>
      </c>
      <c r="U145" s="2"/>
      <c r="V145" s="21">
        <f t="shared" si="16"/>
        <v>4.9439809554527585E-4</v>
      </c>
      <c r="W145" s="2"/>
      <c r="X145" s="2">
        <f t="shared" si="17"/>
        <v>1313.12</v>
      </c>
      <c r="Y145" s="2"/>
      <c r="Z145" s="21">
        <f t="shared" si="18"/>
        <v>0.63902514988709791</v>
      </c>
    </row>
    <row r="146" spans="1:26" s="24" customFormat="1" hidden="1" outlineLevel="1" x14ac:dyDescent="0.25">
      <c r="A146" s="50"/>
      <c r="B146" s="11" t="str">
        <f>CONCATENATE("          ", "5086", " - ", "PURCHASES @ COST-COMPUTER SUPP")</f>
        <v xml:space="preserve">          5086 - PURCHASES @ COST-COMPUTER SUPP</v>
      </c>
      <c r="C146" s="11"/>
      <c r="D146" s="2">
        <v>2837.81</v>
      </c>
      <c r="E146" s="2"/>
      <c r="F146" s="21">
        <f t="shared" si="11"/>
        <v>8.8556454645438557E-4</v>
      </c>
      <c r="G146" s="2"/>
      <c r="H146" s="2">
        <v>-298.33999999999997</v>
      </c>
      <c r="I146" s="2"/>
      <c r="J146" s="21">
        <f t="shared" si="12"/>
        <v>-8.9100195717596234E-5</v>
      </c>
      <c r="K146" s="2"/>
      <c r="L146" s="2">
        <f t="shared" si="13"/>
        <v>3136.15</v>
      </c>
      <c r="M146" s="2"/>
      <c r="N146" s="21">
        <f t="shared" si="14"/>
        <v>-10.511999731849569</v>
      </c>
      <c r="O146" s="11"/>
      <c r="P146" s="2">
        <v>6264.88</v>
      </c>
      <c r="Q146" s="2"/>
      <c r="R146" s="21">
        <f t="shared" si="15"/>
        <v>1.595417520664312E-3</v>
      </c>
      <c r="S146" s="2"/>
      <c r="T146" s="2">
        <v>6203.98</v>
      </c>
      <c r="U146" s="2"/>
      <c r="V146" s="21">
        <f t="shared" si="16"/>
        <v>1.4926593751464707E-3</v>
      </c>
      <c r="W146" s="2"/>
      <c r="X146" s="2">
        <f t="shared" si="17"/>
        <v>60.900000000000546</v>
      </c>
      <c r="Y146" s="2"/>
      <c r="Z146" s="21">
        <f t="shared" si="18"/>
        <v>9.8162792272058503E-3</v>
      </c>
    </row>
    <row r="147" spans="1:26" s="24" customFormat="1" hidden="1" outlineLevel="1" x14ac:dyDescent="0.25">
      <c r="A147" s="50"/>
      <c r="B147" s="11" t="str">
        <f>CONCATENATE("          ", "5088", " - ", "PURCHASES @ COST-MUSIC")</f>
        <v xml:space="preserve">          5088 - PURCHASES @ COST-MUSIC</v>
      </c>
      <c r="C147" s="11"/>
      <c r="D147" s="2"/>
      <c r="E147" s="2"/>
      <c r="F147" s="21">
        <f t="shared" si="11"/>
        <v>0</v>
      </c>
      <c r="G147" s="2"/>
      <c r="H147" s="2">
        <v>-160.12</v>
      </c>
      <c r="I147" s="2"/>
      <c r="J147" s="21">
        <f t="shared" si="12"/>
        <v>-4.7820350399884394E-5</v>
      </c>
      <c r="K147" s="2"/>
      <c r="L147" s="2">
        <f t="shared" si="13"/>
        <v>160.12</v>
      </c>
      <c r="M147" s="2"/>
      <c r="N147" s="21">
        <f t="shared" si="14"/>
        <v>-1</v>
      </c>
      <c r="O147" s="11"/>
      <c r="P147" s="2">
        <v>82</v>
      </c>
      <c r="Q147" s="2"/>
      <c r="R147" s="21">
        <f t="shared" si="15"/>
        <v>2.088216162072914E-5</v>
      </c>
      <c r="S147" s="2"/>
      <c r="T147" s="2">
        <v>84.74</v>
      </c>
      <c r="U147" s="2"/>
      <c r="V147" s="21">
        <f t="shared" si="16"/>
        <v>2.0388195231111631E-5</v>
      </c>
      <c r="W147" s="2"/>
      <c r="X147" s="2">
        <f t="shared" si="17"/>
        <v>-2.7399999999999949</v>
      </c>
      <c r="Y147" s="2"/>
      <c r="Z147" s="21">
        <f t="shared" si="18"/>
        <v>-3.2334198725513276E-2</v>
      </c>
    </row>
    <row r="148" spans="1:26" s="24" customFormat="1" hidden="1" outlineLevel="1" x14ac:dyDescent="0.25">
      <c r="A148" s="50"/>
      <c r="B148" s="11" t="str">
        <f>CONCATENATE("          ", "5092", " - ", "PURCHASES @ COST-GRAD MERCH")</f>
        <v xml:space="preserve">          5092 - PURCHASES @ COST-GRAD MERCH</v>
      </c>
      <c r="C148" s="11"/>
      <c r="D148" s="2">
        <v>-600.6</v>
      </c>
      <c r="E148" s="2"/>
      <c r="F148" s="21">
        <f t="shared" si="11"/>
        <v>-1.8742271913923202E-4</v>
      </c>
      <c r="G148" s="2"/>
      <c r="H148" s="2">
        <v>-1509.65</v>
      </c>
      <c r="I148" s="2"/>
      <c r="J148" s="21">
        <f t="shared" si="12"/>
        <v>-4.5086180352976193E-4</v>
      </c>
      <c r="K148" s="2"/>
      <c r="L148" s="2">
        <f t="shared" si="13"/>
        <v>909.05000000000007</v>
      </c>
      <c r="M148" s="2"/>
      <c r="N148" s="21">
        <f t="shared" si="14"/>
        <v>-0.60215944093001694</v>
      </c>
      <c r="O148" s="11"/>
      <c r="P148" s="2">
        <v>628</v>
      </c>
      <c r="Q148" s="2"/>
      <c r="R148" s="21">
        <f t="shared" si="15"/>
        <v>1.5992679875387683E-4</v>
      </c>
      <c r="S148" s="2"/>
      <c r="T148" s="2">
        <v>-2745.04</v>
      </c>
      <c r="U148" s="2"/>
      <c r="V148" s="21">
        <f t="shared" si="16"/>
        <v>-6.604485654615373E-4</v>
      </c>
      <c r="W148" s="2"/>
      <c r="X148" s="2">
        <f t="shared" si="17"/>
        <v>3373.04</v>
      </c>
      <c r="Y148" s="2"/>
      <c r="Z148" s="21">
        <f t="shared" si="18"/>
        <v>-1.2287762655553289</v>
      </c>
    </row>
    <row r="149" spans="1:26" s="24" customFormat="1" hidden="1" outlineLevel="1" x14ac:dyDescent="0.25">
      <c r="A149" s="50"/>
      <c r="B149" s="11" t="str">
        <f>CONCATENATE("          ", "5095", " - ", "PURCHASES @ COST-CUSTOMER SERV")</f>
        <v xml:space="preserve">          5095 - PURCHASES @ COST-CUSTOMER SERV</v>
      </c>
      <c r="C149" s="11"/>
      <c r="D149" s="2"/>
      <c r="E149" s="2"/>
      <c r="F149" s="21">
        <f t="shared" si="11"/>
        <v>0</v>
      </c>
      <c r="G149" s="2"/>
      <c r="H149" s="2"/>
      <c r="I149" s="2"/>
      <c r="J149" s="21">
        <f t="shared" si="12"/>
        <v>0</v>
      </c>
      <c r="K149" s="2"/>
      <c r="L149" s="2">
        <f t="shared" si="13"/>
        <v>0</v>
      </c>
      <c r="M149" s="2"/>
      <c r="N149" s="21">
        <f t="shared" si="14"/>
        <v>0</v>
      </c>
      <c r="O149" s="11"/>
      <c r="P149" s="2">
        <v>0</v>
      </c>
      <c r="Q149" s="2"/>
      <c r="R149" s="21">
        <f t="shared" si="15"/>
        <v>0</v>
      </c>
      <c r="S149" s="2"/>
      <c r="T149" s="2"/>
      <c r="U149" s="2"/>
      <c r="V149" s="21">
        <f t="shared" si="16"/>
        <v>0</v>
      </c>
      <c r="W149" s="2"/>
      <c r="X149" s="2">
        <f t="shared" si="17"/>
        <v>0</v>
      </c>
      <c r="Y149" s="2"/>
      <c r="Z149" s="21">
        <f t="shared" si="18"/>
        <v>0</v>
      </c>
    </row>
    <row r="150" spans="1:26" s="24" customFormat="1" hidden="1" outlineLevel="1" x14ac:dyDescent="0.25">
      <c r="A150" s="50"/>
      <c r="B150" s="11" t="str">
        <f>CONCATENATE("          ", "5200", " - ", "PURCHASES OFFSET")</f>
        <v xml:space="preserve">          5200 - PURCHASES OFFSET</v>
      </c>
      <c r="C150" s="11"/>
      <c r="D150" s="2">
        <v>-1879524</v>
      </c>
      <c r="E150" s="2"/>
      <c r="F150" s="21">
        <f t="shared" si="11"/>
        <v>-0.58652264197043946</v>
      </c>
      <c r="G150" s="2"/>
      <c r="H150" s="2">
        <v>-1242907</v>
      </c>
      <c r="I150" s="2"/>
      <c r="J150" s="21">
        <f t="shared" si="12"/>
        <v>-0.37119815297570019</v>
      </c>
      <c r="K150" s="2"/>
      <c r="L150" s="2">
        <f t="shared" si="13"/>
        <v>-636617</v>
      </c>
      <c r="M150" s="2"/>
      <c r="N150" s="21">
        <f t="shared" si="14"/>
        <v>0.5122000278379637</v>
      </c>
      <c r="O150" s="11"/>
      <c r="P150" s="2">
        <v>-3141833</v>
      </c>
      <c r="Q150" s="2"/>
      <c r="R150" s="21">
        <f t="shared" si="15"/>
        <v>-0.80010078647975968</v>
      </c>
      <c r="S150" s="2"/>
      <c r="T150" s="2">
        <v>-2411842</v>
      </c>
      <c r="U150" s="2"/>
      <c r="V150" s="21">
        <f t="shared" si="16"/>
        <v>-0.5802821048217458</v>
      </c>
      <c r="W150" s="2"/>
      <c r="X150" s="2">
        <f t="shared" si="17"/>
        <v>-729991</v>
      </c>
      <c r="Y150" s="2"/>
      <c r="Z150" s="21">
        <f t="shared" si="18"/>
        <v>0.30266949493374773</v>
      </c>
    </row>
    <row r="151" spans="1:26" s="24" customFormat="1" hidden="1" outlineLevel="1" x14ac:dyDescent="0.25">
      <c r="A151" s="50"/>
      <c r="B151" s="11" t="str">
        <f>CONCATENATE("          ", "5300", " - ", "COG$ OFFSET")</f>
        <v xml:space="preserve">          5300 - COG$ OFFSET</v>
      </c>
      <c r="C151" s="11"/>
      <c r="D151" s="2">
        <v>1703338</v>
      </c>
      <c r="E151" s="2"/>
      <c r="F151" s="21">
        <f t="shared" si="11"/>
        <v>0.53154219043153705</v>
      </c>
      <c r="G151" s="2"/>
      <c r="H151" s="2">
        <v>1709345</v>
      </c>
      <c r="I151" s="2"/>
      <c r="J151" s="21">
        <f t="shared" si="12"/>
        <v>0.51050135432357224</v>
      </c>
      <c r="K151" s="2"/>
      <c r="L151" s="2">
        <f t="shared" si="13"/>
        <v>-6007</v>
      </c>
      <c r="M151" s="2"/>
      <c r="N151" s="21">
        <f t="shared" si="14"/>
        <v>-3.514211583969298E-3</v>
      </c>
      <c r="O151" s="11"/>
      <c r="P151" s="2">
        <v>2226828</v>
      </c>
      <c r="Q151" s="2"/>
      <c r="R151" s="21">
        <f t="shared" si="15"/>
        <v>0.56708514875079308</v>
      </c>
      <c r="S151" s="2"/>
      <c r="T151" s="2">
        <v>2271938</v>
      </c>
      <c r="U151" s="2"/>
      <c r="V151" s="21">
        <f t="shared" si="16"/>
        <v>0.54662161313407243</v>
      </c>
      <c r="W151" s="2"/>
      <c r="X151" s="2">
        <f t="shared" si="17"/>
        <v>-45110</v>
      </c>
      <c r="Y151" s="2"/>
      <c r="Z151" s="21">
        <f t="shared" si="18"/>
        <v>-1.9855295346968095E-2</v>
      </c>
    </row>
    <row r="152" spans="1:26" s="24" customFormat="1" hidden="1" outlineLevel="1" x14ac:dyDescent="0.25">
      <c r="A152" s="50"/>
      <c r="B152" s="11" t="str">
        <f>CONCATENATE("          ", "5500", " - ", "FREIGHT-IN")</f>
        <v xml:space="preserve">          5500 - FREIGHT-IN</v>
      </c>
      <c r="C152" s="11"/>
      <c r="D152" s="2"/>
      <c r="E152" s="2"/>
      <c r="F152" s="21">
        <f t="shared" si="11"/>
        <v>0</v>
      </c>
      <c r="G152" s="2"/>
      <c r="H152" s="2">
        <v>213.97</v>
      </c>
      <c r="I152" s="2"/>
      <c r="J152" s="21">
        <f t="shared" si="12"/>
        <v>6.3902825225226477E-5</v>
      </c>
      <c r="K152" s="2"/>
      <c r="L152" s="2">
        <f t="shared" si="13"/>
        <v>-213.97</v>
      </c>
      <c r="M152" s="2"/>
      <c r="N152" s="21">
        <f t="shared" si="14"/>
        <v>-1</v>
      </c>
      <c r="O152" s="11"/>
      <c r="P152" s="2">
        <v>49</v>
      </c>
      <c r="Q152" s="2"/>
      <c r="R152" s="21">
        <f t="shared" si="15"/>
        <v>1.247836487092351E-5</v>
      </c>
      <c r="S152" s="2"/>
      <c r="T152" s="2">
        <v>213.97</v>
      </c>
      <c r="U152" s="2"/>
      <c r="V152" s="21">
        <f t="shared" si="16"/>
        <v>5.1480553854153358E-5</v>
      </c>
      <c r="W152" s="2"/>
      <c r="X152" s="2">
        <f t="shared" si="17"/>
        <v>-164.97</v>
      </c>
      <c r="Y152" s="2"/>
      <c r="Z152" s="21">
        <f t="shared" si="18"/>
        <v>-0.77099593400944055</v>
      </c>
    </row>
    <row r="153" spans="1:26" s="24" customFormat="1" hidden="1" outlineLevel="1" x14ac:dyDescent="0.25">
      <c r="A153" s="50"/>
      <c r="B153" s="11" t="str">
        <f>CONCATENATE("          ", "5501", " - ", "FREIGHT-IN-NEW TEXT")</f>
        <v xml:space="preserve">          5501 - FREIGHT-IN-NEW TEXT</v>
      </c>
      <c r="C153" s="11"/>
      <c r="D153" s="2">
        <v>11008.16</v>
      </c>
      <c r="E153" s="2"/>
      <c r="F153" s="21">
        <f t="shared" si="11"/>
        <v>3.4351969362632841E-3</v>
      </c>
      <c r="G153" s="2"/>
      <c r="H153" s="2">
        <v>6840.15</v>
      </c>
      <c r="I153" s="2"/>
      <c r="J153" s="21">
        <f t="shared" si="12"/>
        <v>2.0428326866585638E-3</v>
      </c>
      <c r="K153" s="2"/>
      <c r="L153" s="2">
        <f t="shared" si="13"/>
        <v>4168.01</v>
      </c>
      <c r="M153" s="2"/>
      <c r="N153" s="21">
        <f t="shared" si="14"/>
        <v>0.60934482430940851</v>
      </c>
      <c r="O153" s="11"/>
      <c r="P153" s="2">
        <v>12724.24</v>
      </c>
      <c r="Q153" s="2"/>
      <c r="R153" s="21">
        <f t="shared" si="15"/>
        <v>3.2403614168408116E-3</v>
      </c>
      <c r="S153" s="2"/>
      <c r="T153" s="2">
        <v>8999.08</v>
      </c>
      <c r="U153" s="2"/>
      <c r="V153" s="21">
        <f t="shared" si="16"/>
        <v>2.1651522296482423E-3</v>
      </c>
      <c r="W153" s="2"/>
      <c r="X153" s="2">
        <f t="shared" si="17"/>
        <v>3725.16</v>
      </c>
      <c r="Y153" s="2"/>
      <c r="Z153" s="21">
        <f t="shared" si="18"/>
        <v>0.41394898145143727</v>
      </c>
    </row>
    <row r="154" spans="1:26" s="24" customFormat="1" hidden="1" outlineLevel="1" x14ac:dyDescent="0.25">
      <c r="A154" s="50"/>
      <c r="B154" s="11" t="str">
        <f>CONCATENATE("          ", "5502", " - ", "FREIGHT-IN-USED TEXT")</f>
        <v xml:space="preserve">          5502 - FREIGHT-IN-USED TEXT</v>
      </c>
      <c r="C154" s="11"/>
      <c r="D154" s="2">
        <v>3985.02</v>
      </c>
      <c r="E154" s="2"/>
      <c r="F154" s="21">
        <f t="shared" si="11"/>
        <v>1.243561911795242E-3</v>
      </c>
      <c r="G154" s="2"/>
      <c r="H154" s="2">
        <v>1508.23</v>
      </c>
      <c r="I154" s="2"/>
      <c r="J154" s="21">
        <f t="shared" si="12"/>
        <v>4.5043771598562104E-4</v>
      </c>
      <c r="K154" s="2"/>
      <c r="L154" s="2">
        <f t="shared" si="13"/>
        <v>2476.79</v>
      </c>
      <c r="M154" s="2"/>
      <c r="N154" s="21">
        <f t="shared" si="14"/>
        <v>1.6421832213919627</v>
      </c>
      <c r="O154" s="11"/>
      <c r="P154" s="2">
        <v>4262.51</v>
      </c>
      <c r="Q154" s="2"/>
      <c r="R154" s="21">
        <f t="shared" si="15"/>
        <v>1.0854929601216362E-3</v>
      </c>
      <c r="S154" s="2"/>
      <c r="T154" s="2">
        <v>1794.84</v>
      </c>
      <c r="U154" s="2"/>
      <c r="V154" s="21">
        <f t="shared" si="16"/>
        <v>4.3183323493755488E-4</v>
      </c>
      <c r="W154" s="2"/>
      <c r="X154" s="2">
        <f t="shared" si="17"/>
        <v>2467.67</v>
      </c>
      <c r="Y154" s="2"/>
      <c r="Z154" s="21">
        <f t="shared" si="18"/>
        <v>1.3748690691092242</v>
      </c>
    </row>
    <row r="155" spans="1:26" s="24" customFormat="1" hidden="1" outlineLevel="1" x14ac:dyDescent="0.25">
      <c r="A155" s="50"/>
      <c r="B155" s="11" t="str">
        <f>CONCATENATE("          ", "5504", " - ", "FREIGHT-IN-DIGITAL TEXT")</f>
        <v xml:space="preserve">          5504 - FREIGHT-IN-DIGITAL TEXT</v>
      </c>
      <c r="C155" s="11"/>
      <c r="D155" s="2">
        <v>7.03</v>
      </c>
      <c r="E155" s="2"/>
      <c r="F155" s="21">
        <f t="shared" si="11"/>
        <v>2.1937757501645039E-6</v>
      </c>
      <c r="G155" s="2"/>
      <c r="H155" s="2">
        <v>2.5</v>
      </c>
      <c r="I155" s="2"/>
      <c r="J155" s="21">
        <f t="shared" si="12"/>
        <v>7.4663300024800769E-7</v>
      </c>
      <c r="K155" s="2"/>
      <c r="L155" s="2">
        <f t="shared" si="13"/>
        <v>4.53</v>
      </c>
      <c r="M155" s="2"/>
      <c r="N155" s="21">
        <f t="shared" si="14"/>
        <v>1.8120000000000001</v>
      </c>
      <c r="O155" s="11"/>
      <c r="P155" s="2">
        <v>7.03</v>
      </c>
      <c r="Q155" s="2"/>
      <c r="R155" s="21">
        <f t="shared" si="15"/>
        <v>1.7902633682161691E-6</v>
      </c>
      <c r="S155" s="2"/>
      <c r="T155" s="2">
        <v>2.5</v>
      </c>
      <c r="U155" s="2"/>
      <c r="V155" s="21">
        <f t="shared" si="16"/>
        <v>6.0149266081872885E-7</v>
      </c>
      <c r="W155" s="2"/>
      <c r="X155" s="2">
        <f t="shared" si="17"/>
        <v>4.53</v>
      </c>
      <c r="Y155" s="2"/>
      <c r="Z155" s="21">
        <f t="shared" si="18"/>
        <v>1.8120000000000001</v>
      </c>
    </row>
    <row r="156" spans="1:26" s="24" customFormat="1" hidden="1" outlineLevel="1" x14ac:dyDescent="0.25">
      <c r="A156" s="50"/>
      <c r="B156" s="11" t="str">
        <f>CONCATENATE("          ", "5513", " - ", "FREIGHT-IN-TRADE BOOKS")</f>
        <v xml:space="preserve">          5513 - FREIGHT-IN-TRADE BOOKS</v>
      </c>
      <c r="C156" s="11"/>
      <c r="D156" s="2"/>
      <c r="E156" s="2"/>
      <c r="F156" s="21">
        <f t="shared" si="11"/>
        <v>0</v>
      </c>
      <c r="G156" s="2"/>
      <c r="H156" s="2"/>
      <c r="I156" s="2"/>
      <c r="J156" s="21">
        <f t="shared" si="12"/>
        <v>0</v>
      </c>
      <c r="K156" s="2"/>
      <c r="L156" s="2">
        <f t="shared" si="13"/>
        <v>0</v>
      </c>
      <c r="M156" s="2"/>
      <c r="N156" s="21">
        <f t="shared" si="14"/>
        <v>0</v>
      </c>
      <c r="O156" s="11"/>
      <c r="P156" s="2"/>
      <c r="Q156" s="2"/>
      <c r="R156" s="21">
        <f t="shared" si="15"/>
        <v>0</v>
      </c>
      <c r="S156" s="2"/>
      <c r="T156" s="2">
        <v>7.27</v>
      </c>
      <c r="U156" s="2"/>
      <c r="V156" s="21">
        <f t="shared" si="16"/>
        <v>1.7491406576608633E-6</v>
      </c>
      <c r="W156" s="2"/>
      <c r="X156" s="2">
        <f t="shared" si="17"/>
        <v>-7.27</v>
      </c>
      <c r="Y156" s="2"/>
      <c r="Z156" s="21">
        <f t="shared" si="18"/>
        <v>-1</v>
      </c>
    </row>
    <row r="157" spans="1:26" s="24" customFormat="1" hidden="1" outlineLevel="1" x14ac:dyDescent="0.25">
      <c r="A157" s="50"/>
      <c r="B157" s="11" t="str">
        <f>CONCATENATE("          ", "5526", " - ", "FREIGHT-IN-WRITING INSTRUMENTS")</f>
        <v xml:space="preserve">          5526 - FREIGHT-IN-WRITING INSTRUMENTS</v>
      </c>
      <c r="C157" s="11"/>
      <c r="D157" s="2">
        <v>17.46</v>
      </c>
      <c r="E157" s="2"/>
      <c r="F157" s="21">
        <f t="shared" si="11"/>
        <v>5.4485525743772743E-6</v>
      </c>
      <c r="G157" s="2"/>
      <c r="H157" s="2">
        <v>8.58</v>
      </c>
      <c r="I157" s="2"/>
      <c r="J157" s="21">
        <f t="shared" si="12"/>
        <v>2.5624444568511624E-6</v>
      </c>
      <c r="K157" s="2"/>
      <c r="L157" s="2">
        <f t="shared" si="13"/>
        <v>8.8800000000000008</v>
      </c>
      <c r="M157" s="2"/>
      <c r="N157" s="21">
        <f t="shared" si="14"/>
        <v>1.034965034965035</v>
      </c>
      <c r="O157" s="11"/>
      <c r="P157" s="2">
        <v>56.57</v>
      </c>
      <c r="Q157" s="2"/>
      <c r="R157" s="21">
        <f t="shared" si="15"/>
        <v>1.4406144913227408E-5</v>
      </c>
      <c r="S157" s="2"/>
      <c r="T157" s="2">
        <v>42.74</v>
      </c>
      <c r="U157" s="2"/>
      <c r="V157" s="21">
        <f t="shared" si="16"/>
        <v>1.0283118529356988E-5</v>
      </c>
      <c r="W157" s="2"/>
      <c r="X157" s="2">
        <f t="shared" si="17"/>
        <v>13.829999999999998</v>
      </c>
      <c r="Y157" s="2"/>
      <c r="Z157" s="21">
        <f t="shared" si="18"/>
        <v>0.32358446420215248</v>
      </c>
    </row>
    <row r="158" spans="1:26" s="24" customFormat="1" hidden="1" outlineLevel="1" x14ac:dyDescent="0.25">
      <c r="A158" s="50"/>
      <c r="B158" s="11" t="str">
        <f>CONCATENATE("          ", "5527", " - ", "FREIGHT-IN-SCHOOL SUPPLIES")</f>
        <v xml:space="preserve">          5527 - FREIGHT-IN-SCHOOL SUPPLIES</v>
      </c>
      <c r="C158" s="11"/>
      <c r="D158" s="2">
        <v>10.49</v>
      </c>
      <c r="E158" s="2"/>
      <c r="F158" s="21">
        <f t="shared" si="11"/>
        <v>3.273500372578328E-6</v>
      </c>
      <c r="G158" s="2"/>
      <c r="H158" s="2"/>
      <c r="I158" s="2"/>
      <c r="J158" s="21">
        <f t="shared" si="12"/>
        <v>0</v>
      </c>
      <c r="K158" s="2"/>
      <c r="L158" s="2">
        <f t="shared" si="13"/>
        <v>10.49</v>
      </c>
      <c r="M158" s="2"/>
      <c r="N158" s="21">
        <f t="shared" si="14"/>
        <v>0</v>
      </c>
      <c r="O158" s="11"/>
      <c r="P158" s="2">
        <v>260.51</v>
      </c>
      <c r="Q158" s="2"/>
      <c r="R158" s="21">
        <f t="shared" si="15"/>
        <v>6.6341608827026196E-5</v>
      </c>
      <c r="S158" s="2"/>
      <c r="T158" s="2">
        <v>280.67</v>
      </c>
      <c r="U158" s="2"/>
      <c r="V158" s="21">
        <f t="shared" si="16"/>
        <v>6.7528378044797054E-5</v>
      </c>
      <c r="W158" s="2"/>
      <c r="X158" s="2">
        <f t="shared" si="17"/>
        <v>-20.160000000000025</v>
      </c>
      <c r="Y158" s="2"/>
      <c r="Z158" s="21">
        <f t="shared" si="18"/>
        <v>-7.182812555670369E-2</v>
      </c>
    </row>
    <row r="159" spans="1:26" s="24" customFormat="1" hidden="1" outlineLevel="1" x14ac:dyDescent="0.25">
      <c r="A159" s="50"/>
      <c r="B159" s="11" t="str">
        <f>CONCATENATE("          ", "5528", " - ", "FREIGHT-IN-ART/TECH")</f>
        <v xml:space="preserve">          5528 - FREIGHT-IN-ART/TECH</v>
      </c>
      <c r="C159" s="11"/>
      <c r="D159" s="2">
        <v>255.45</v>
      </c>
      <c r="E159" s="2"/>
      <c r="F159" s="21">
        <f t="shared" si="11"/>
        <v>7.971550716636166E-5</v>
      </c>
      <c r="G159" s="2"/>
      <c r="H159" s="2">
        <v>81.37</v>
      </c>
      <c r="I159" s="2"/>
      <c r="J159" s="21">
        <f t="shared" si="12"/>
        <v>2.4301410892072154E-5</v>
      </c>
      <c r="K159" s="2"/>
      <c r="L159" s="2">
        <f t="shared" si="13"/>
        <v>174.07999999999998</v>
      </c>
      <c r="M159" s="2"/>
      <c r="N159" s="21">
        <f t="shared" si="14"/>
        <v>2.1393634017451144</v>
      </c>
      <c r="O159" s="11"/>
      <c r="P159" s="2">
        <v>299.8</v>
      </c>
      <c r="Q159" s="2"/>
      <c r="R159" s="21">
        <f t="shared" si="15"/>
        <v>7.6347220169446293E-5</v>
      </c>
      <c r="S159" s="2"/>
      <c r="T159" s="2">
        <v>227.26</v>
      </c>
      <c r="U159" s="2"/>
      <c r="V159" s="21">
        <f t="shared" si="16"/>
        <v>5.4678088839065723E-5</v>
      </c>
      <c r="W159" s="2"/>
      <c r="X159" s="2">
        <f t="shared" si="17"/>
        <v>72.54000000000002</v>
      </c>
      <c r="Y159" s="2"/>
      <c r="Z159" s="21">
        <f t="shared" si="18"/>
        <v>0.31919387485699208</v>
      </c>
    </row>
    <row r="160" spans="1:26" s="24" customFormat="1" hidden="1" outlineLevel="1" x14ac:dyDescent="0.25">
      <c r="A160" s="50"/>
      <c r="B160" s="11" t="str">
        <f>CONCATENATE("          ", "5540", " - ", "FREIGHT-IN-LOGO CLOTHING")</f>
        <v xml:space="preserve">          5540 - FREIGHT-IN-LOGO CLOTHING</v>
      </c>
      <c r="C160" s="11"/>
      <c r="D160" s="2">
        <v>1936.72</v>
      </c>
      <c r="E160" s="2"/>
      <c r="F160" s="21">
        <f t="shared" si="11"/>
        <v>6.0437117650904667E-4</v>
      </c>
      <c r="G160" s="2"/>
      <c r="H160" s="2">
        <v>1830.62</v>
      </c>
      <c r="I160" s="2"/>
      <c r="J160" s="21">
        <f t="shared" si="12"/>
        <v>5.4672052116560307E-4</v>
      </c>
      <c r="K160" s="2"/>
      <c r="L160" s="2">
        <f t="shared" si="13"/>
        <v>106.10000000000014</v>
      </c>
      <c r="M160" s="2"/>
      <c r="N160" s="21">
        <f t="shared" si="14"/>
        <v>5.7958505861402228E-2</v>
      </c>
      <c r="O160" s="11"/>
      <c r="P160" s="2">
        <v>2331.94</v>
      </c>
      <c r="Q160" s="2"/>
      <c r="R160" s="21">
        <f t="shared" si="15"/>
        <v>5.9385302402247702E-4</v>
      </c>
      <c r="S160" s="2"/>
      <c r="T160" s="2">
        <v>2920.15</v>
      </c>
      <c r="U160" s="2"/>
      <c r="V160" s="21">
        <f t="shared" si="16"/>
        <v>7.0257951739592433E-4</v>
      </c>
      <c r="W160" s="2"/>
      <c r="X160" s="2">
        <f t="shared" si="17"/>
        <v>-588.21</v>
      </c>
      <c r="Y160" s="2"/>
      <c r="Z160" s="21">
        <f t="shared" si="18"/>
        <v>-0.20143143331678168</v>
      </c>
    </row>
    <row r="161" spans="1:26" s="24" customFormat="1" hidden="1" outlineLevel="1" x14ac:dyDescent="0.25">
      <c r="A161" s="50"/>
      <c r="B161" s="11" t="str">
        <f>CONCATENATE("          ", "5541", " - ", "FREIGHT-IN-LOGO GIFTS")</f>
        <v xml:space="preserve">          5541 - FREIGHT-IN-LOGO GIFTS</v>
      </c>
      <c r="C161" s="11"/>
      <c r="D161" s="2">
        <v>405.92</v>
      </c>
      <c r="E161" s="2"/>
      <c r="F161" s="21">
        <f t="shared" si="11"/>
        <v>1.2667104587578599E-4</v>
      </c>
      <c r="G161" s="2"/>
      <c r="H161" s="2">
        <v>456.13</v>
      </c>
      <c r="I161" s="2"/>
      <c r="J161" s="21">
        <f t="shared" si="12"/>
        <v>1.3622468416124949E-4</v>
      </c>
      <c r="K161" s="2"/>
      <c r="L161" s="2">
        <f t="shared" si="13"/>
        <v>-50.20999999999998</v>
      </c>
      <c r="M161" s="2"/>
      <c r="N161" s="21">
        <f t="shared" si="14"/>
        <v>-0.11007826716067784</v>
      </c>
      <c r="O161" s="11"/>
      <c r="P161" s="2">
        <v>720.41</v>
      </c>
      <c r="Q161" s="2"/>
      <c r="R161" s="21">
        <f t="shared" si="15"/>
        <v>1.8345997625840828E-4</v>
      </c>
      <c r="S161" s="2"/>
      <c r="T161" s="2">
        <v>1241.53</v>
      </c>
      <c r="U161" s="2"/>
      <c r="V161" s="21">
        <f t="shared" si="16"/>
        <v>2.9870847327451052E-4</v>
      </c>
      <c r="W161" s="2"/>
      <c r="X161" s="2">
        <f t="shared" si="17"/>
        <v>-521.12</v>
      </c>
      <c r="Y161" s="2"/>
      <c r="Z161" s="21">
        <f t="shared" si="18"/>
        <v>-0.41974015931954928</v>
      </c>
    </row>
    <row r="162" spans="1:26" s="24" customFormat="1" hidden="1" outlineLevel="1" x14ac:dyDescent="0.25">
      <c r="A162" s="50"/>
      <c r="B162" s="11" t="str">
        <f>CONCATENATE("          ", "5542", " - ", "FREIGHT-IN-EVERYDAY GIFTS")</f>
        <v xml:space="preserve">          5542 - FREIGHT-IN-EVERYDAY GIFTS</v>
      </c>
      <c r="C162" s="11"/>
      <c r="D162" s="2">
        <v>83.05</v>
      </c>
      <c r="E162" s="2"/>
      <c r="F162" s="21">
        <f t="shared" si="11"/>
        <v>2.5916511529326039E-5</v>
      </c>
      <c r="G162" s="2"/>
      <c r="H162" s="2">
        <v>422.79</v>
      </c>
      <c r="I162" s="2"/>
      <c r="J162" s="21">
        <f t="shared" si="12"/>
        <v>1.2626758646994206E-4</v>
      </c>
      <c r="K162" s="2"/>
      <c r="L162" s="2">
        <f t="shared" si="13"/>
        <v>-339.74</v>
      </c>
      <c r="M162" s="2"/>
      <c r="N162" s="21">
        <f t="shared" si="14"/>
        <v>-0.8035667825634476</v>
      </c>
      <c r="O162" s="11"/>
      <c r="P162" s="2">
        <v>112.77</v>
      </c>
      <c r="Q162" s="2"/>
      <c r="R162" s="21">
        <f t="shared" si="15"/>
        <v>2.8718065438653965E-5</v>
      </c>
      <c r="S162" s="2"/>
      <c r="T162" s="2">
        <v>422.79</v>
      </c>
      <c r="U162" s="2"/>
      <c r="V162" s="21">
        <f t="shared" si="16"/>
        <v>1.0172203282702014E-4</v>
      </c>
      <c r="W162" s="2"/>
      <c r="X162" s="2">
        <f t="shared" si="17"/>
        <v>-310.02000000000004</v>
      </c>
      <c r="Y162" s="2"/>
      <c r="Z162" s="21">
        <f t="shared" si="18"/>
        <v>-0.73327183708223942</v>
      </c>
    </row>
    <row r="163" spans="1:26" s="24" customFormat="1" hidden="1" outlineLevel="1" x14ac:dyDescent="0.25">
      <c r="A163" s="50"/>
      <c r="B163" s="11" t="str">
        <f>CONCATENATE("          ", "5543", " - ", "FREIGHT-IN-CARDS")</f>
        <v xml:space="preserve">          5543 - FREIGHT-IN-CARDS</v>
      </c>
      <c r="C163" s="11"/>
      <c r="D163" s="2">
        <v>4.58</v>
      </c>
      <c r="E163" s="2"/>
      <c r="F163" s="21">
        <f t="shared" si="11"/>
        <v>1.4292308585709001E-6</v>
      </c>
      <c r="G163" s="2"/>
      <c r="H163" s="2"/>
      <c r="I163" s="2"/>
      <c r="J163" s="21">
        <f t="shared" si="12"/>
        <v>0</v>
      </c>
      <c r="K163" s="2"/>
      <c r="L163" s="2">
        <f t="shared" si="13"/>
        <v>4.58</v>
      </c>
      <c r="M163" s="2"/>
      <c r="N163" s="21">
        <f t="shared" si="14"/>
        <v>0</v>
      </c>
      <c r="O163" s="11"/>
      <c r="P163" s="2">
        <v>4.58</v>
      </c>
      <c r="Q163" s="2"/>
      <c r="R163" s="21">
        <f t="shared" si="15"/>
        <v>1.1663451246699935E-6</v>
      </c>
      <c r="S163" s="2"/>
      <c r="T163" s="2"/>
      <c r="U163" s="2"/>
      <c r="V163" s="21">
        <f t="shared" si="16"/>
        <v>0</v>
      </c>
      <c r="W163" s="2"/>
      <c r="X163" s="2">
        <f t="shared" si="17"/>
        <v>4.58</v>
      </c>
      <c r="Y163" s="2"/>
      <c r="Z163" s="21">
        <f t="shared" si="18"/>
        <v>0</v>
      </c>
    </row>
    <row r="164" spans="1:26" s="24" customFormat="1" hidden="1" outlineLevel="1" x14ac:dyDescent="0.25">
      <c r="A164" s="50"/>
      <c r="B164" s="11" t="str">
        <f>CONCATENATE("          ", "5544", " - ", "FREIGHT-IN-ACCESSORIES")</f>
        <v xml:space="preserve">          5544 - FREIGHT-IN-ACCESSORIES</v>
      </c>
      <c r="C164" s="11"/>
      <c r="D164" s="2">
        <v>84.93</v>
      </c>
      <c r="E164" s="2"/>
      <c r="F164" s="21">
        <f t="shared" si="11"/>
        <v>2.6503182711446847E-5</v>
      </c>
      <c r="G164" s="2"/>
      <c r="H164" s="2">
        <v>123.59</v>
      </c>
      <c r="I164" s="2"/>
      <c r="J164" s="21">
        <f t="shared" si="12"/>
        <v>3.6910549000260506E-5</v>
      </c>
      <c r="K164" s="2"/>
      <c r="L164" s="2">
        <f t="shared" si="13"/>
        <v>-38.659999999999997</v>
      </c>
      <c r="M164" s="2"/>
      <c r="N164" s="21">
        <f t="shared" si="14"/>
        <v>-0.31280847965045711</v>
      </c>
      <c r="O164" s="11"/>
      <c r="P164" s="2">
        <v>101.66</v>
      </c>
      <c r="Q164" s="2"/>
      <c r="R164" s="21">
        <f t="shared" si="15"/>
        <v>2.5888787199552736E-5</v>
      </c>
      <c r="S164" s="2"/>
      <c r="T164" s="2">
        <v>152.85</v>
      </c>
      <c r="U164" s="2"/>
      <c r="V164" s="21">
        <f t="shared" si="16"/>
        <v>3.6775261282457075E-5</v>
      </c>
      <c r="W164" s="2"/>
      <c r="X164" s="2">
        <f t="shared" si="17"/>
        <v>-51.19</v>
      </c>
      <c r="Y164" s="2"/>
      <c r="Z164" s="21">
        <f t="shared" si="18"/>
        <v>-0.33490350016355902</v>
      </c>
    </row>
    <row r="165" spans="1:26" s="24" customFormat="1" hidden="1" outlineLevel="1" x14ac:dyDescent="0.25">
      <c r="A165" s="50"/>
      <c r="B165" s="11" t="str">
        <f>CONCATENATE("          ", "5545", " - ", "FREIGHT-IN-SPECIAL ORDERS")</f>
        <v xml:space="preserve">          5545 - FREIGHT-IN-SPECIAL ORDERS</v>
      </c>
      <c r="C165" s="11"/>
      <c r="D165" s="2">
        <v>8.8699999999999992</v>
      </c>
      <c r="E165" s="2"/>
      <c r="F165" s="21">
        <f t="shared" si="11"/>
        <v>2.7679645667082716E-6</v>
      </c>
      <c r="G165" s="2"/>
      <c r="H165" s="2">
        <v>849.93</v>
      </c>
      <c r="I165" s="2"/>
      <c r="J165" s="21">
        <f t="shared" si="12"/>
        <v>2.5383431436031565E-4</v>
      </c>
      <c r="K165" s="2"/>
      <c r="L165" s="2">
        <f t="shared" si="13"/>
        <v>-841.06</v>
      </c>
      <c r="M165" s="2"/>
      <c r="N165" s="21">
        <f t="shared" si="14"/>
        <v>-0.9895638464344122</v>
      </c>
      <c r="O165" s="11"/>
      <c r="P165" s="2">
        <v>235.95</v>
      </c>
      <c r="Q165" s="2"/>
      <c r="R165" s="21">
        <f t="shared" si="15"/>
        <v>6.0087146761110245E-5</v>
      </c>
      <c r="S165" s="2"/>
      <c r="T165" s="2">
        <v>1155.04</v>
      </c>
      <c r="U165" s="2"/>
      <c r="V165" s="21">
        <f t="shared" si="16"/>
        <v>2.7789923318082579E-4</v>
      </c>
      <c r="W165" s="2"/>
      <c r="X165" s="2">
        <f t="shared" si="17"/>
        <v>-919.08999999999992</v>
      </c>
      <c r="Y165" s="2"/>
      <c r="Z165" s="21">
        <f t="shared" si="18"/>
        <v>-0.79572136029921037</v>
      </c>
    </row>
    <row r="166" spans="1:26" s="24" customFormat="1" hidden="1" outlineLevel="1" x14ac:dyDescent="0.25">
      <c r="A166" s="50"/>
      <c r="B166" s="11" t="str">
        <f>CONCATENATE("          ", "5583", " - ", "FREIGHT-IN-COMPUTER EQUIPMENT")</f>
        <v xml:space="preserve">          5583 - FREIGHT-IN-COMPUTER EQUIPMENT</v>
      </c>
      <c r="C166" s="11"/>
      <c r="D166" s="2">
        <v>26.15</v>
      </c>
      <c r="E166" s="2"/>
      <c r="F166" s="21">
        <f t="shared" si="11"/>
        <v>8.1603464959888731E-6</v>
      </c>
      <c r="G166" s="2"/>
      <c r="H166" s="2">
        <v>8.27</v>
      </c>
      <c r="I166" s="2"/>
      <c r="J166" s="21">
        <f t="shared" si="12"/>
        <v>2.4698619648204089E-6</v>
      </c>
      <c r="K166" s="2"/>
      <c r="L166" s="2">
        <f t="shared" si="13"/>
        <v>17.88</v>
      </c>
      <c r="M166" s="2"/>
      <c r="N166" s="21">
        <f t="shared" si="14"/>
        <v>2.1620314389359128</v>
      </c>
      <c r="O166" s="11"/>
      <c r="P166" s="2">
        <v>33.14</v>
      </c>
      <c r="Q166" s="2"/>
      <c r="R166" s="21">
        <f t="shared" si="15"/>
        <v>8.4394492208654113E-6</v>
      </c>
      <c r="S166" s="2"/>
      <c r="T166" s="2">
        <v>8.27</v>
      </c>
      <c r="U166" s="2"/>
      <c r="V166" s="21">
        <f t="shared" si="16"/>
        <v>1.9897377219883546E-6</v>
      </c>
      <c r="W166" s="2"/>
      <c r="X166" s="2">
        <f t="shared" si="17"/>
        <v>24.87</v>
      </c>
      <c r="Y166" s="2"/>
      <c r="Z166" s="21">
        <f t="shared" si="18"/>
        <v>3.0072551390568321</v>
      </c>
    </row>
    <row r="167" spans="1:26" s="24" customFormat="1" hidden="1" outlineLevel="1" x14ac:dyDescent="0.25">
      <c r="A167" s="50"/>
      <c r="B167" s="11" t="str">
        <f>CONCATENATE("          ", "5586", " - ", "FREIGHT-IN-COMPUTER SUPPLIES")</f>
        <v xml:space="preserve">          5586 - FREIGHT-IN-COMPUTER SUPPLIES</v>
      </c>
      <c r="C167" s="11"/>
      <c r="D167" s="2">
        <v>7.36</v>
      </c>
      <c r="E167" s="2"/>
      <c r="F167" s="21">
        <f t="shared" si="11"/>
        <v>2.296755266175071E-6</v>
      </c>
      <c r="G167" s="2"/>
      <c r="H167" s="2">
        <v>27.98</v>
      </c>
      <c r="I167" s="2"/>
      <c r="J167" s="21">
        <f t="shared" si="12"/>
        <v>8.3563165387757013E-6</v>
      </c>
      <c r="K167" s="2"/>
      <c r="L167" s="2">
        <f t="shared" si="13"/>
        <v>-20.62</v>
      </c>
      <c r="M167" s="2"/>
      <c r="N167" s="21">
        <f t="shared" si="14"/>
        <v>-0.73695496783416725</v>
      </c>
      <c r="O167" s="11"/>
      <c r="P167" s="2">
        <v>37.03</v>
      </c>
      <c r="Q167" s="2"/>
      <c r="R167" s="21">
        <f t="shared" si="15"/>
        <v>9.430078595312197E-6</v>
      </c>
      <c r="S167" s="2"/>
      <c r="T167" s="2">
        <v>48.69</v>
      </c>
      <c r="U167" s="2"/>
      <c r="V167" s="21">
        <f t="shared" si="16"/>
        <v>1.1714671062105561E-5</v>
      </c>
      <c r="W167" s="2"/>
      <c r="X167" s="2">
        <f t="shared" si="17"/>
        <v>-11.659999999999997</v>
      </c>
      <c r="Y167" s="2"/>
      <c r="Z167" s="21">
        <f t="shared" si="18"/>
        <v>-0.23947422468679394</v>
      </c>
    </row>
    <row r="168" spans="1:26" s="24" customFormat="1" hidden="1" outlineLevel="1" x14ac:dyDescent="0.25">
      <c r="A168" s="50"/>
      <c r="B168" s="11" t="str">
        <f>CONCATENATE("          ", "5592", " - ", "FREIGHT-IN-GRAD MERCH")</f>
        <v xml:space="preserve">          5592 - FREIGHT-IN-GRAD MERCH</v>
      </c>
      <c r="C168" s="11"/>
      <c r="D168" s="2">
        <v>59.57</v>
      </c>
      <c r="E168" s="2"/>
      <c r="F168" s="21">
        <f t="shared" si="11"/>
        <v>1.858936293560448E-5</v>
      </c>
      <c r="G168" s="2"/>
      <c r="H168" s="2"/>
      <c r="I168" s="2"/>
      <c r="J168" s="21">
        <f t="shared" si="12"/>
        <v>0</v>
      </c>
      <c r="K168" s="2"/>
      <c r="L168" s="2">
        <f t="shared" si="13"/>
        <v>59.57</v>
      </c>
      <c r="M168" s="2"/>
      <c r="N168" s="21">
        <f t="shared" si="14"/>
        <v>0</v>
      </c>
      <c r="O168" s="11"/>
      <c r="P168" s="2">
        <v>59.57</v>
      </c>
      <c r="Q168" s="2"/>
      <c r="R168" s="21">
        <f t="shared" si="15"/>
        <v>1.5170126435937011E-5</v>
      </c>
      <c r="S168" s="2"/>
      <c r="T168" s="2">
        <v>108.69</v>
      </c>
      <c r="U168" s="2"/>
      <c r="V168" s="21">
        <f t="shared" si="16"/>
        <v>2.6150494921755053E-5</v>
      </c>
      <c r="W168" s="2"/>
      <c r="X168" s="2">
        <f t="shared" si="17"/>
        <v>-49.12</v>
      </c>
      <c r="Y168" s="2"/>
      <c r="Z168" s="21">
        <f t="shared" si="18"/>
        <v>-0.45192750023001194</v>
      </c>
    </row>
    <row r="169" spans="1:26" x14ac:dyDescent="0.25">
      <c r="A169" s="9"/>
      <c r="B169" s="10"/>
      <c r="C169" s="10"/>
      <c r="D169" s="3"/>
      <c r="E169" s="3"/>
      <c r="F169" s="8"/>
      <c r="G169" s="3"/>
      <c r="H169" s="3"/>
      <c r="I169" s="3"/>
      <c r="J169" s="8"/>
      <c r="K169" s="3"/>
      <c r="L169" s="3"/>
      <c r="M169" s="3"/>
      <c r="N169" s="8"/>
      <c r="O169" s="10"/>
      <c r="P169" s="3"/>
      <c r="Q169" s="3"/>
      <c r="R169" s="8"/>
      <c r="S169" s="3"/>
      <c r="T169" s="3"/>
      <c r="U169" s="3"/>
      <c r="V169" s="8"/>
      <c r="W169" s="3"/>
      <c r="X169" s="3"/>
      <c r="Y169" s="3"/>
      <c r="Z169" s="8"/>
    </row>
    <row r="170" spans="1:26" s="23" customFormat="1" x14ac:dyDescent="0.25">
      <c r="A170" s="10"/>
      <c r="B170" s="26" t="s">
        <v>6</v>
      </c>
      <c r="C170" s="26"/>
      <c r="D170" s="20">
        <f>D12-D115</f>
        <v>979168.08000000007</v>
      </c>
      <c r="E170" s="13"/>
      <c r="F170" s="19">
        <f>IF(D$12=0,0,D170/D$12)</f>
        <v>0.30555834839817031</v>
      </c>
      <c r="G170" s="13"/>
      <c r="H170" s="20">
        <f>H12-H115</f>
        <v>1039884.46</v>
      </c>
      <c r="I170" s="13"/>
      <c r="J170" s="19">
        <f>IF(H$12=0,0,H170/H$12)</f>
        <v>0.31056482171243172</v>
      </c>
      <c r="K170" s="15"/>
      <c r="L170" s="20">
        <f>+D170-H170</f>
        <v>-60716.379999999888</v>
      </c>
      <c r="M170" s="15"/>
      <c r="N170" s="19">
        <f>IF(H170=0,0,L170/H170)</f>
        <v>-5.8387621255538223E-2</v>
      </c>
      <c r="O170" s="25"/>
      <c r="P170" s="20">
        <f>P12-P115</f>
        <v>1165201.2100000009</v>
      </c>
      <c r="Q170" s="13"/>
      <c r="R170" s="19">
        <f>IF(P$12=0,0,P170/P$12)</f>
        <v>0.29673073155962409</v>
      </c>
      <c r="S170" s="13"/>
      <c r="T170" s="20">
        <f>T12-T115</f>
        <v>1265322.7000000002</v>
      </c>
      <c r="U170" s="13"/>
      <c r="V170" s="19">
        <f>IF(T$12=0,0,T170/T$12)</f>
        <v>0.30443292704693531</v>
      </c>
      <c r="W170" s="15"/>
      <c r="X170" s="20">
        <f>+P170-T170</f>
        <v>-100121.48999999929</v>
      </c>
      <c r="Y170" s="15"/>
      <c r="Z170" s="19">
        <f>IF(T170=0,0,X170/T170)</f>
        <v>-7.912723766040021E-2</v>
      </c>
    </row>
    <row r="171" spans="1:26" x14ac:dyDescent="0.25">
      <c r="A171" s="9"/>
      <c r="B171" s="10"/>
      <c r="C171" s="9"/>
      <c r="D171" s="1"/>
      <c r="E171" s="1"/>
      <c r="F171" s="5"/>
      <c r="G171" s="1"/>
      <c r="H171" s="1"/>
      <c r="I171" s="1"/>
      <c r="J171" s="5"/>
      <c r="K171" s="1"/>
      <c r="L171" s="1"/>
      <c r="M171" s="1"/>
      <c r="N171" s="5"/>
      <c r="O171" s="37"/>
      <c r="P171" s="1"/>
      <c r="Q171" s="1"/>
      <c r="R171" s="5"/>
      <c r="S171" s="1"/>
      <c r="T171" s="1"/>
      <c r="U171" s="1"/>
      <c r="V171" s="5"/>
      <c r="W171" s="1"/>
      <c r="X171" s="1"/>
      <c r="Y171" s="1"/>
      <c r="Z171" s="5"/>
    </row>
    <row r="172" spans="1:26" s="23" customFormat="1" x14ac:dyDescent="0.25">
      <c r="A172" s="10"/>
      <c r="B172" s="25" t="s">
        <v>9</v>
      </c>
      <c r="C172" s="10"/>
      <c r="D172" s="22">
        <f>SUM(OSRRefD22x_0)</f>
        <v>475210.08999999997</v>
      </c>
      <c r="E172" s="22"/>
      <c r="F172" s="33">
        <f t="shared" ref="F172:F182" si="19">IF(D$12=0,0,D172/D$12)</f>
        <v>0.14829365173193335</v>
      </c>
      <c r="G172" s="22"/>
      <c r="H172" s="22">
        <f>SUM(OSRRefH22x_0)</f>
        <v>478551.70000000007</v>
      </c>
      <c r="I172" s="22"/>
      <c r="J172" s="33">
        <f t="shared" ref="J172:J182" si="20">IF(H$12=0,0,H172/H$12)</f>
        <v>0.14292099661791383</v>
      </c>
      <c r="K172" s="4"/>
      <c r="L172" s="22">
        <f t="shared" ref="L172:L182" si="21">+D172-H172</f>
        <v>-3341.6100000001024</v>
      </c>
      <c r="M172" s="4"/>
      <c r="N172" s="33">
        <f t="shared" ref="N172:N182" si="22">IF(H172=0,0,L172/H172)</f>
        <v>-6.9827565130373623E-3</v>
      </c>
      <c r="O172" s="10"/>
      <c r="P172" s="22">
        <f>SUM(OSRRefP22x_0)</f>
        <v>856004.31000000017</v>
      </c>
      <c r="Q172" s="22"/>
      <c r="R172" s="33">
        <f t="shared" ref="R172:R182" si="23">IF(P$12=0,0,P172/P$12)</f>
        <v>0.21799049206659429</v>
      </c>
      <c r="S172" s="22"/>
      <c r="T172" s="22">
        <f>SUM(OSRRefT22x_0)</f>
        <v>917500.4</v>
      </c>
      <c r="U172" s="22"/>
      <c r="V172" s="33">
        <f t="shared" ref="V172:V182" si="24">IF(T$12=0,0,T172/T$12)</f>
        <v>0.2207479027592992</v>
      </c>
      <c r="W172" s="4"/>
      <c r="X172" s="22">
        <f t="shared" ref="X172:X182" si="25">+P172-T172</f>
        <v>-61496.089999999851</v>
      </c>
      <c r="Y172" s="4"/>
      <c r="Z172" s="33">
        <f t="shared" ref="Z172:Z182" si="26">IF(T172=0,0,X172/T172)</f>
        <v>-6.702568195065621E-2</v>
      </c>
    </row>
    <row r="173" spans="1:26" s="27" customFormat="1" outlineLevel="1" collapsed="1" x14ac:dyDescent="0.25">
      <c r="A173" s="28"/>
      <c r="B173" s="14" t="str">
        <f>CONCATENATE("     ","*Benefits                                         ")</f>
        <v xml:space="preserve">     *Benefits                                         </v>
      </c>
      <c r="C173" s="14"/>
      <c r="D173" s="1">
        <f>SUM(OSRRefD22_0x_0)</f>
        <v>55205.07</v>
      </c>
      <c r="E173" s="1"/>
      <c r="F173" s="5">
        <f t="shared" si="19"/>
        <v>1.7227246636149923E-2</v>
      </c>
      <c r="G173" s="1"/>
      <c r="H173" s="1">
        <f>SUM(OSRRefH22_0x_0)</f>
        <v>55540.850000000006</v>
      </c>
      <c r="I173" s="1"/>
      <c r="J173" s="5">
        <f t="shared" si="20"/>
        <v>1.6587452588729824E-2</v>
      </c>
      <c r="K173" s="1"/>
      <c r="L173" s="1">
        <f t="shared" si="21"/>
        <v>-335.78000000000611</v>
      </c>
      <c r="M173" s="1"/>
      <c r="N173" s="5">
        <f t="shared" si="22"/>
        <v>-6.0456402809824852E-3</v>
      </c>
      <c r="O173" s="14"/>
      <c r="P173" s="1">
        <f>SUM(OSRRefP22_0x_0)</f>
        <v>113075.18000000001</v>
      </c>
      <c r="Q173" s="1"/>
      <c r="R173" s="5">
        <f t="shared" si="23"/>
        <v>2.8795782732354138E-2</v>
      </c>
      <c r="S173" s="1"/>
      <c r="T173" s="1">
        <f>SUM(OSRRefT22_0x_0)</f>
        <v>107449.96999999999</v>
      </c>
      <c r="U173" s="1"/>
      <c r="V173" s="5">
        <f t="shared" si="24"/>
        <v>2.585214734407703E-2</v>
      </c>
      <c r="W173" s="1"/>
      <c r="X173" s="1">
        <f t="shared" si="25"/>
        <v>5625.210000000021</v>
      </c>
      <c r="Y173" s="1"/>
      <c r="Z173" s="5">
        <f t="shared" si="26"/>
        <v>5.2351899214118175E-2</v>
      </c>
    </row>
    <row r="174" spans="1:26" s="24" customFormat="1" hidden="1" outlineLevel="2" x14ac:dyDescent="0.25">
      <c r="A174" s="29"/>
      <c r="B174" s="11" t="str">
        <f>CONCATENATE("          ", "6111", " - ", "F.I.C.A.")</f>
        <v xml:space="preserve">          6111 - F.I.C.A.</v>
      </c>
      <c r="C174" s="11"/>
      <c r="D174" s="7">
        <v>14741.15</v>
      </c>
      <c r="E174" s="2"/>
      <c r="F174" s="6">
        <f t="shared" si="19"/>
        <v>4.6001105831490006E-3</v>
      </c>
      <c r="G174" s="2"/>
      <c r="H174" s="7">
        <v>14320.16</v>
      </c>
      <c r="I174" s="2"/>
      <c r="J174" s="6">
        <f t="shared" si="20"/>
        <v>4.276761609932604E-3</v>
      </c>
      <c r="K174" s="2"/>
      <c r="L174" s="7">
        <f t="shared" si="21"/>
        <v>420.98999999999978</v>
      </c>
      <c r="M174" s="2"/>
      <c r="N174" s="6">
        <f t="shared" si="22"/>
        <v>2.9398414542854256E-2</v>
      </c>
      <c r="O174" s="11"/>
      <c r="P174" s="7">
        <v>26075.64</v>
      </c>
      <c r="Q174" s="2"/>
      <c r="R174" s="6">
        <f t="shared" si="23"/>
        <v>6.6404357176091415E-3</v>
      </c>
      <c r="S174" s="2"/>
      <c r="T174" s="7">
        <v>25467.62</v>
      </c>
      <c r="U174" s="2"/>
      <c r="V174" s="6">
        <f t="shared" si="24"/>
        <v>6.1274346074081092E-3</v>
      </c>
      <c r="W174" s="2"/>
      <c r="X174" s="7">
        <f t="shared" si="25"/>
        <v>608.02000000000044</v>
      </c>
      <c r="Y174" s="2"/>
      <c r="Z174" s="6">
        <f t="shared" si="26"/>
        <v>2.3874237168608627E-2</v>
      </c>
    </row>
    <row r="175" spans="1:26" s="24" customFormat="1" hidden="1" outlineLevel="2" x14ac:dyDescent="0.25">
      <c r="A175" s="29"/>
      <c r="B175" s="11" t="str">
        <f>CONCATENATE("          ", "6112", " - ", "COMPENSATION INSURANCE")</f>
        <v xml:space="preserve">          6112 - COMPENSATION INSURANCE</v>
      </c>
      <c r="C175" s="11"/>
      <c r="D175" s="7">
        <v>3044.49</v>
      </c>
      <c r="E175" s="2"/>
      <c r="F175" s="6">
        <f t="shared" si="19"/>
        <v>9.5006092939094308E-4</v>
      </c>
      <c r="G175" s="2"/>
      <c r="H175" s="7">
        <v>1780.37</v>
      </c>
      <c r="I175" s="2"/>
      <c r="J175" s="6">
        <f t="shared" si="20"/>
        <v>5.3171319786061814E-4</v>
      </c>
      <c r="K175" s="2"/>
      <c r="L175" s="7">
        <f t="shared" si="21"/>
        <v>1264.1199999999999</v>
      </c>
      <c r="M175" s="2"/>
      <c r="N175" s="6">
        <f t="shared" si="22"/>
        <v>0.7100321843212366</v>
      </c>
      <c r="O175" s="11"/>
      <c r="P175" s="7">
        <v>5134.4799999999996</v>
      </c>
      <c r="Q175" s="2"/>
      <c r="R175" s="6">
        <f t="shared" si="23"/>
        <v>1.3075492829073335E-3</v>
      </c>
      <c r="S175" s="2"/>
      <c r="T175" s="7">
        <v>3782.44</v>
      </c>
      <c r="U175" s="2"/>
      <c r="V175" s="6">
        <f t="shared" si="24"/>
        <v>9.1004395999487702E-4</v>
      </c>
      <c r="W175" s="2"/>
      <c r="X175" s="7">
        <f t="shared" si="25"/>
        <v>1352.0399999999995</v>
      </c>
      <c r="Y175" s="2"/>
      <c r="Z175" s="6">
        <f t="shared" si="26"/>
        <v>0.35745180359767753</v>
      </c>
    </row>
    <row r="176" spans="1:26" s="24" customFormat="1" hidden="1" outlineLevel="2" x14ac:dyDescent="0.25">
      <c r="A176" s="29"/>
      <c r="B176" s="11" t="str">
        <f>CONCATENATE("          ", "6113", " - ", "GROUP INSURANCE")</f>
        <v xml:space="preserve">          6113 - GROUP INSURANCE</v>
      </c>
      <c r="C176" s="11"/>
      <c r="D176" s="7">
        <v>19962.98</v>
      </c>
      <c r="E176" s="2"/>
      <c r="F176" s="6">
        <f t="shared" si="19"/>
        <v>6.2296303591776658E-3</v>
      </c>
      <c r="G176" s="2"/>
      <c r="H176" s="7">
        <v>21759.870000000003</v>
      </c>
      <c r="I176" s="2"/>
      <c r="J176" s="6">
        <f t="shared" si="20"/>
        <v>6.4986548092426464E-3</v>
      </c>
      <c r="K176" s="2"/>
      <c r="L176" s="7">
        <f t="shared" si="21"/>
        <v>-1796.8900000000031</v>
      </c>
      <c r="M176" s="2"/>
      <c r="N176" s="6">
        <f t="shared" si="22"/>
        <v>-8.2578158784956113E-2</v>
      </c>
      <c r="O176" s="11"/>
      <c r="P176" s="7">
        <v>39458.310000000005</v>
      </c>
      <c r="Q176" s="2"/>
      <c r="R176" s="6">
        <f t="shared" si="23"/>
        <v>1.0048473252449182E-2</v>
      </c>
      <c r="S176" s="2"/>
      <c r="T176" s="7">
        <v>29708.48</v>
      </c>
      <c r="U176" s="2"/>
      <c r="V176" s="6">
        <f t="shared" si="24"/>
        <v>7.1477730736319951E-3</v>
      </c>
      <c r="W176" s="2"/>
      <c r="X176" s="7">
        <f t="shared" si="25"/>
        <v>9749.8300000000054</v>
      </c>
      <c r="Y176" s="2"/>
      <c r="Z176" s="6">
        <f t="shared" si="26"/>
        <v>0.32818340083370157</v>
      </c>
    </row>
    <row r="177" spans="1:26" s="24" customFormat="1" hidden="1" outlineLevel="2" x14ac:dyDescent="0.25">
      <c r="A177" s="29"/>
      <c r="B177" s="11" t="str">
        <f>CONCATENATE("          ", "6114", " - ", "STATE UNEMPLOYMENT INSURANCE")</f>
        <v xml:space="preserve">          6114 - STATE UNEMPLOYMENT INSURANCE</v>
      </c>
      <c r="C177" s="11"/>
      <c r="D177" s="7">
        <v>501.07</v>
      </c>
      <c r="E177" s="2"/>
      <c r="F177" s="6">
        <f t="shared" si="19"/>
        <v>1.5636347299216615E-4</v>
      </c>
      <c r="G177" s="2"/>
      <c r="H177" s="7">
        <v>487.77</v>
      </c>
      <c r="I177" s="2"/>
      <c r="J177" s="6">
        <f t="shared" si="20"/>
        <v>1.4567407141238828E-4</v>
      </c>
      <c r="K177" s="2"/>
      <c r="L177" s="7">
        <f t="shared" si="21"/>
        <v>13.300000000000011</v>
      </c>
      <c r="M177" s="2"/>
      <c r="N177" s="6">
        <f t="shared" si="22"/>
        <v>2.7266949586895486E-2</v>
      </c>
      <c r="O177" s="11"/>
      <c r="P177" s="7">
        <v>885.03</v>
      </c>
      <c r="Q177" s="2"/>
      <c r="R177" s="6">
        <f t="shared" si="23"/>
        <v>2.2538218901455988E-4</v>
      </c>
      <c r="S177" s="2"/>
      <c r="T177" s="7">
        <v>1055</v>
      </c>
      <c r="U177" s="2"/>
      <c r="V177" s="6">
        <f t="shared" si="24"/>
        <v>2.5382990286550356E-4</v>
      </c>
      <c r="W177" s="2"/>
      <c r="X177" s="7">
        <f t="shared" si="25"/>
        <v>-169.97000000000003</v>
      </c>
      <c r="Y177" s="2"/>
      <c r="Z177" s="6">
        <f t="shared" si="26"/>
        <v>-0.16110900473933651</v>
      </c>
    </row>
    <row r="178" spans="1:26" s="24" customFormat="1" hidden="1" outlineLevel="2" x14ac:dyDescent="0.25">
      <c r="A178" s="29"/>
      <c r="B178" s="11" t="str">
        <f>CONCATENATE("          ", "6115", " - ", "P.E.R.S.")</f>
        <v xml:space="preserve">          6115 - P.E.R.S.</v>
      </c>
      <c r="C178" s="11"/>
      <c r="D178" s="7">
        <v>6374.08</v>
      </c>
      <c r="E178" s="2"/>
      <c r="F178" s="6">
        <f t="shared" si="19"/>
        <v>1.9890899194322277E-3</v>
      </c>
      <c r="G178" s="2"/>
      <c r="H178" s="7">
        <v>5770.27</v>
      </c>
      <c r="I178" s="2"/>
      <c r="J178" s="6">
        <f t="shared" si="20"/>
        <v>1.7233096009364286E-3</v>
      </c>
      <c r="K178" s="2"/>
      <c r="L178" s="7">
        <f t="shared" si="21"/>
        <v>603.80999999999949</v>
      </c>
      <c r="M178" s="2"/>
      <c r="N178" s="6">
        <f t="shared" si="22"/>
        <v>0.1046415505686908</v>
      </c>
      <c r="O178" s="11"/>
      <c r="P178" s="7">
        <v>12671.97</v>
      </c>
      <c r="Q178" s="2"/>
      <c r="R178" s="6">
        <f t="shared" si="23"/>
        <v>3.2270503121101346E-3</v>
      </c>
      <c r="S178" s="2"/>
      <c r="T178" s="7">
        <v>14341.67</v>
      </c>
      <c r="U178" s="2"/>
      <c r="V178" s="6">
        <f t="shared" si="24"/>
        <v>3.4505636995536553E-3</v>
      </c>
      <c r="W178" s="2"/>
      <c r="X178" s="7">
        <f t="shared" si="25"/>
        <v>-1669.7000000000007</v>
      </c>
      <c r="Y178" s="2"/>
      <c r="Z178" s="6">
        <f t="shared" si="26"/>
        <v>-0.11642298281859788</v>
      </c>
    </row>
    <row r="179" spans="1:26" s="24" customFormat="1" hidden="1" outlineLevel="2" x14ac:dyDescent="0.25">
      <c r="A179" s="29"/>
      <c r="B179" s="11" t="str">
        <f>CONCATENATE("          ", "6117", " - ", "RETIREMENT STAFF HOURLY")</f>
        <v xml:space="preserve">          6117 - RETIREMENT STAFF HOURLY</v>
      </c>
      <c r="C179" s="11"/>
      <c r="D179" s="7">
        <v>205.54</v>
      </c>
      <c r="E179" s="2"/>
      <c r="F179" s="6">
        <f t="shared" si="19"/>
        <v>6.4140635517611971E-5</v>
      </c>
      <c r="G179" s="2"/>
      <c r="H179" s="7">
        <v>459.32</v>
      </c>
      <c r="I179" s="2"/>
      <c r="J179" s="6">
        <f t="shared" si="20"/>
        <v>1.3717738786956594E-4</v>
      </c>
      <c r="K179" s="2"/>
      <c r="L179" s="7">
        <f t="shared" si="21"/>
        <v>-253.78</v>
      </c>
      <c r="M179" s="2"/>
      <c r="N179" s="6">
        <f t="shared" si="22"/>
        <v>-0.55251240964904647</v>
      </c>
      <c r="O179" s="11"/>
      <c r="P179" s="7">
        <v>566.35</v>
      </c>
      <c r="Q179" s="2"/>
      <c r="R179" s="6">
        <f t="shared" si="23"/>
        <v>1.442269784621945E-4</v>
      </c>
      <c r="S179" s="2"/>
      <c r="T179" s="7">
        <v>895.64</v>
      </c>
      <c r="U179" s="2"/>
      <c r="V179" s="6">
        <f t="shared" si="24"/>
        <v>2.154883546942745E-4</v>
      </c>
      <c r="W179" s="2"/>
      <c r="X179" s="7">
        <f t="shared" si="25"/>
        <v>-329.28999999999996</v>
      </c>
      <c r="Y179" s="2"/>
      <c r="Z179" s="6">
        <f t="shared" si="26"/>
        <v>-0.3676588808003215</v>
      </c>
    </row>
    <row r="180" spans="1:26" s="24" customFormat="1" hidden="1" outlineLevel="2" x14ac:dyDescent="0.25">
      <c r="A180" s="29"/>
      <c r="B180" s="11" t="str">
        <f>CONCATENATE("          ", "6118", " - ", "VACATION")</f>
        <v xml:space="preserve">          6118 - VACATION</v>
      </c>
      <c r="C180" s="11"/>
      <c r="D180" s="7">
        <v>4856.16</v>
      </c>
      <c r="E180" s="2"/>
      <c r="F180" s="6">
        <f t="shared" si="19"/>
        <v>1.5154091105147734E-3</v>
      </c>
      <c r="G180" s="2"/>
      <c r="H180" s="7">
        <v>5132.72</v>
      </c>
      <c r="I180" s="2"/>
      <c r="J180" s="6">
        <f t="shared" si="20"/>
        <v>1.5329032532131815E-3</v>
      </c>
      <c r="K180" s="2"/>
      <c r="L180" s="7">
        <f t="shared" si="21"/>
        <v>-276.5600000000004</v>
      </c>
      <c r="M180" s="2"/>
      <c r="N180" s="6">
        <f t="shared" si="22"/>
        <v>-5.3881762496298335E-2</v>
      </c>
      <c r="O180" s="11"/>
      <c r="P180" s="7">
        <v>12504.39</v>
      </c>
      <c r="Q180" s="2"/>
      <c r="R180" s="6">
        <f t="shared" si="23"/>
        <v>3.184374304251576E-3</v>
      </c>
      <c r="S180" s="2"/>
      <c r="T180" s="7">
        <v>14227.59</v>
      </c>
      <c r="U180" s="2"/>
      <c r="V180" s="6">
        <f t="shared" si="24"/>
        <v>3.4231163864551751E-3</v>
      </c>
      <c r="W180" s="2"/>
      <c r="X180" s="7">
        <f t="shared" si="25"/>
        <v>-1723.2000000000007</v>
      </c>
      <c r="Y180" s="2"/>
      <c r="Z180" s="6">
        <f t="shared" si="26"/>
        <v>-0.12111678787482635</v>
      </c>
    </row>
    <row r="181" spans="1:26" s="24" customFormat="1" hidden="1" outlineLevel="2" x14ac:dyDescent="0.25">
      <c r="A181" s="29"/>
      <c r="B181" s="11" t="str">
        <f>CONCATENATE("          ", "6119", " - ", "SICK LEAVE")</f>
        <v xml:space="preserve">          6119 - SICK LEAVE</v>
      </c>
      <c r="C181" s="11"/>
      <c r="D181" s="7">
        <v>3452.28</v>
      </c>
      <c r="E181" s="2"/>
      <c r="F181" s="6">
        <f t="shared" si="19"/>
        <v>1.0773155258574558E-3</v>
      </c>
      <c r="G181" s="2"/>
      <c r="H181" s="7">
        <v>3455.89</v>
      </c>
      <c r="I181" s="2"/>
      <c r="J181" s="6">
        <f t="shared" si="20"/>
        <v>1.0321126076908349E-3</v>
      </c>
      <c r="K181" s="2"/>
      <c r="L181" s="7">
        <f t="shared" si="21"/>
        <v>-3.6099999999996726</v>
      </c>
      <c r="M181" s="2"/>
      <c r="N181" s="6">
        <f t="shared" si="22"/>
        <v>-1.0445934332399679E-3</v>
      </c>
      <c r="O181" s="11"/>
      <c r="P181" s="7">
        <v>11831.98</v>
      </c>
      <c r="Q181" s="2"/>
      <c r="R181" s="6">
        <f t="shared" si="23"/>
        <v>3.0131380323565214E-3</v>
      </c>
      <c r="S181" s="2"/>
      <c r="T181" s="7">
        <v>13434.74</v>
      </c>
      <c r="U181" s="2"/>
      <c r="V181" s="6">
        <f t="shared" si="24"/>
        <v>3.2323590040031235E-3</v>
      </c>
      <c r="W181" s="2"/>
      <c r="X181" s="7">
        <f t="shared" si="25"/>
        <v>-1602.7600000000002</v>
      </c>
      <c r="Y181" s="2"/>
      <c r="Z181" s="6">
        <f t="shared" si="26"/>
        <v>-0.11929966638729148</v>
      </c>
    </row>
    <row r="182" spans="1:26" s="24" customFormat="1" hidden="1" outlineLevel="2" x14ac:dyDescent="0.25">
      <c r="A182" s="29"/>
      <c r="B182" s="11" t="str">
        <f>CONCATENATE("          ", "6156", " - ", "EMPLOYEE MEALS")</f>
        <v xml:space="preserve">          6156 - EMPLOYEE MEALS</v>
      </c>
      <c r="C182" s="11"/>
      <c r="D182" s="7">
        <v>2067.3200000000002</v>
      </c>
      <c r="E182" s="2"/>
      <c r="F182" s="6">
        <f t="shared" si="19"/>
        <v>6.4512610011807723E-4</v>
      </c>
      <c r="G182" s="2"/>
      <c r="H182" s="7">
        <v>2374.48</v>
      </c>
      <c r="I182" s="2"/>
      <c r="J182" s="6">
        <f t="shared" si="20"/>
        <v>7.0914605057155564E-4</v>
      </c>
      <c r="K182" s="2"/>
      <c r="L182" s="7">
        <f t="shared" si="21"/>
        <v>-307.15999999999985</v>
      </c>
      <c r="M182" s="2"/>
      <c r="N182" s="6">
        <f t="shared" si="22"/>
        <v>-0.12935884909538081</v>
      </c>
      <c r="O182" s="11"/>
      <c r="P182" s="7">
        <v>3947.03</v>
      </c>
      <c r="Q182" s="2"/>
      <c r="R182" s="6">
        <f t="shared" si="23"/>
        <v>1.0051526631934945E-3</v>
      </c>
      <c r="S182" s="2"/>
      <c r="T182" s="7">
        <v>4536.79</v>
      </c>
      <c r="U182" s="2"/>
      <c r="V182" s="6">
        <f t="shared" si="24"/>
        <v>1.0915383554703202E-3</v>
      </c>
      <c r="W182" s="2"/>
      <c r="X182" s="7">
        <f t="shared" si="25"/>
        <v>-589.75999999999976</v>
      </c>
      <c r="Y182" s="2"/>
      <c r="Z182" s="6">
        <f t="shared" si="26"/>
        <v>-0.12999499646225629</v>
      </c>
    </row>
    <row r="183" spans="1:26" s="27" customFormat="1" outlineLevel="1" collapsed="1" x14ac:dyDescent="0.25">
      <c r="A183" s="28"/>
      <c r="B183" s="14" t="str">
        <f>CONCATENATE("     ","*Payroll                                          ")</f>
        <v xml:space="preserve">     *Payroll                                          </v>
      </c>
      <c r="C183" s="14"/>
      <c r="D183" s="1">
        <f>SUM(OSRRefD22_1x_0)</f>
        <v>233208.95</v>
      </c>
      <c r="E183" s="1"/>
      <c r="F183" s="5">
        <f t="shared" ref="F183:F190" si="27">IF(D$12=0,0,D183/D$12)</f>
        <v>7.2774984243431914E-2</v>
      </c>
      <c r="G183" s="1"/>
      <c r="H183" s="1">
        <f>SUM(OSRRefH22_1x_0)</f>
        <v>224807.7</v>
      </c>
      <c r="I183" s="1"/>
      <c r="J183" s="5">
        <f t="shared" ref="J183:J190" si="28">IF(H$12=0,0,H183/H$12)</f>
        <v>6.7139539011941612E-2</v>
      </c>
      <c r="K183" s="1"/>
      <c r="L183" s="1">
        <f t="shared" ref="L183:L190" si="29">+D183-H183</f>
        <v>8401.25</v>
      </c>
      <c r="M183" s="1"/>
      <c r="N183" s="5">
        <f t="shared" ref="N183:N190" si="30">IF(H183=0,0,L183/H183)</f>
        <v>3.737082849030527E-2</v>
      </c>
      <c r="O183" s="14"/>
      <c r="P183" s="1">
        <f>SUM(OSRRefP22_1x_0)</f>
        <v>411420.26</v>
      </c>
      <c r="Q183" s="1"/>
      <c r="R183" s="5">
        <f t="shared" ref="R183:R190" si="31">IF(P$12=0,0,P183/P$12)</f>
        <v>0.10477249223612688</v>
      </c>
      <c r="S183" s="1"/>
      <c r="T183" s="1">
        <f>SUM(OSRRefT22_1x_0)</f>
        <v>404299.9800000001</v>
      </c>
      <c r="U183" s="1"/>
      <c r="V183" s="5">
        <f t="shared" ref="V183:V190" si="32">IF(T$12=0,0,T183/T$12)</f>
        <v>9.7273388295663551E-2</v>
      </c>
      <c r="W183" s="1"/>
      <c r="X183" s="1">
        <f t="shared" ref="X183:X190" si="33">+P183-T183</f>
        <v>7120.2799999999115</v>
      </c>
      <c r="Y183" s="1"/>
      <c r="Z183" s="5">
        <f t="shared" ref="Z183:Z190" si="34">IF(T183=0,0,X183/T183)</f>
        <v>1.761137856103755E-2</v>
      </c>
    </row>
    <row r="184" spans="1:26" s="24" customFormat="1" hidden="1" outlineLevel="2" x14ac:dyDescent="0.25">
      <c r="A184" s="29"/>
      <c r="B184" s="11" t="str">
        <f>CONCATENATE("          ", "6001", " - ", "ADMINISTRATIVE SALARIES")</f>
        <v xml:space="preserve">          6001 - ADMINISTRATIVE SALARIES</v>
      </c>
      <c r="C184" s="11"/>
      <c r="D184" s="7">
        <v>10181.280000000001</v>
      </c>
      <c r="E184" s="2"/>
      <c r="F184" s="6">
        <f t="shared" si="27"/>
        <v>3.1771614750547459E-3</v>
      </c>
      <c r="G184" s="2"/>
      <c r="H184" s="7">
        <v>10405</v>
      </c>
      <c r="I184" s="2"/>
      <c r="J184" s="6">
        <f t="shared" si="28"/>
        <v>3.1074865470322077E-3</v>
      </c>
      <c r="K184" s="2"/>
      <c r="L184" s="7">
        <f t="shared" si="29"/>
        <v>-223.71999999999935</v>
      </c>
      <c r="M184" s="2"/>
      <c r="N184" s="6">
        <f t="shared" si="30"/>
        <v>-2.1501201345506905E-2</v>
      </c>
      <c r="O184" s="11"/>
      <c r="P184" s="7">
        <v>23041.56</v>
      </c>
      <c r="Q184" s="2"/>
      <c r="R184" s="6">
        <f t="shared" si="31"/>
        <v>5.8677753648015583E-3</v>
      </c>
      <c r="S184" s="2"/>
      <c r="T184" s="7">
        <v>23411</v>
      </c>
      <c r="U184" s="2"/>
      <c r="V184" s="6">
        <f t="shared" si="32"/>
        <v>5.6326178729709043E-3</v>
      </c>
      <c r="W184" s="2"/>
      <c r="X184" s="7">
        <f t="shared" si="33"/>
        <v>-369.43999999999869</v>
      </c>
      <c r="Y184" s="2"/>
      <c r="Z184" s="6">
        <f t="shared" si="34"/>
        <v>-1.5780615949767148E-2</v>
      </c>
    </row>
    <row r="185" spans="1:26" s="24" customFormat="1" hidden="1" outlineLevel="2" x14ac:dyDescent="0.25">
      <c r="A185" s="29"/>
      <c r="B185" s="11" t="str">
        <f>CONCATENATE("          ", "6002", " - ", "STAFF SALARIES")</f>
        <v xml:space="preserve">          6002 - STAFF SALARIES</v>
      </c>
      <c r="C185" s="11"/>
      <c r="D185" s="7">
        <v>59133.149999999994</v>
      </c>
      <c r="E185" s="2"/>
      <c r="F185" s="6">
        <f t="shared" si="27"/>
        <v>1.845303990054625E-2</v>
      </c>
      <c r="G185" s="2"/>
      <c r="H185" s="7">
        <v>54097.16</v>
      </c>
      <c r="I185" s="2"/>
      <c r="J185" s="6">
        <f t="shared" si="28"/>
        <v>1.6156289950278603E-2</v>
      </c>
      <c r="K185" s="2"/>
      <c r="L185" s="7">
        <f t="shared" si="29"/>
        <v>5035.9899999999907</v>
      </c>
      <c r="M185" s="2"/>
      <c r="N185" s="6">
        <f t="shared" si="30"/>
        <v>9.3091578190056382E-2</v>
      </c>
      <c r="O185" s="11"/>
      <c r="P185" s="7">
        <v>126412.16</v>
      </c>
      <c r="Q185" s="2"/>
      <c r="R185" s="6">
        <f t="shared" si="31"/>
        <v>3.219218482860331E-2</v>
      </c>
      <c r="S185" s="2"/>
      <c r="T185" s="7">
        <v>119953.83</v>
      </c>
      <c r="U185" s="2"/>
      <c r="V185" s="6">
        <f t="shared" si="32"/>
        <v>2.8860539352838981E-2</v>
      </c>
      <c r="W185" s="2"/>
      <c r="X185" s="7">
        <f t="shared" si="33"/>
        <v>6458.3300000000017</v>
      </c>
      <c r="Y185" s="2"/>
      <c r="Z185" s="6">
        <f t="shared" si="34"/>
        <v>5.3840131657321835E-2</v>
      </c>
    </row>
    <row r="186" spans="1:26" s="24" customFormat="1" hidden="1" outlineLevel="2" x14ac:dyDescent="0.25">
      <c r="A186" s="29"/>
      <c r="B186" s="11" t="str">
        <f>CONCATENATE("          ", "6004", " - ", "STAFF HOURLY")</f>
        <v xml:space="preserve">          6004 - STAFF HOURLY</v>
      </c>
      <c r="C186" s="11"/>
      <c r="D186" s="7">
        <v>2830.32</v>
      </c>
      <c r="E186" s="2"/>
      <c r="F186" s="6">
        <f t="shared" si="27"/>
        <v>8.8322722350008529E-4</v>
      </c>
      <c r="G186" s="2"/>
      <c r="H186" s="7">
        <v>6032.47</v>
      </c>
      <c r="I186" s="2"/>
      <c r="J186" s="6">
        <f t="shared" si="28"/>
        <v>1.8016164700024396E-3</v>
      </c>
      <c r="K186" s="2"/>
      <c r="L186" s="7">
        <f t="shared" si="29"/>
        <v>-3202.15</v>
      </c>
      <c r="M186" s="2"/>
      <c r="N186" s="6">
        <f t="shared" si="30"/>
        <v>-0.53081905090286396</v>
      </c>
      <c r="O186" s="11"/>
      <c r="P186" s="7">
        <v>4836.25</v>
      </c>
      <c r="Q186" s="2"/>
      <c r="R186" s="6">
        <f t="shared" si="31"/>
        <v>1.2316018797347719E-3</v>
      </c>
      <c r="S186" s="2"/>
      <c r="T186" s="7">
        <v>11401.51</v>
      </c>
      <c r="U186" s="2"/>
      <c r="V186" s="6">
        <f t="shared" si="32"/>
        <v>2.7431698349005378E-3</v>
      </c>
      <c r="W186" s="2"/>
      <c r="X186" s="7">
        <f t="shared" si="33"/>
        <v>-6565.26</v>
      </c>
      <c r="Y186" s="2"/>
      <c r="Z186" s="6">
        <f t="shared" si="34"/>
        <v>-0.57582372861138564</v>
      </c>
    </row>
    <row r="187" spans="1:26" s="24" customFormat="1" hidden="1" outlineLevel="2" x14ac:dyDescent="0.25">
      <c r="A187" s="29"/>
      <c r="B187" s="11" t="str">
        <f>CONCATENATE("          ", "6005", " - ", "TEMPORARY WAGES-HOURLY")</f>
        <v xml:space="preserve">          6005 - TEMPORARY WAGES-HOURLY</v>
      </c>
      <c r="C187" s="11"/>
      <c r="D187" s="7">
        <v>20201.240000000002</v>
      </c>
      <c r="E187" s="2"/>
      <c r="F187" s="6">
        <f t="shared" si="27"/>
        <v>6.3039815697372957E-3</v>
      </c>
      <c r="G187" s="2"/>
      <c r="H187" s="7">
        <v>20971.54</v>
      </c>
      <c r="I187" s="2"/>
      <c r="J187" s="6">
        <f t="shared" si="28"/>
        <v>6.2632175320084414E-3</v>
      </c>
      <c r="K187" s="2"/>
      <c r="L187" s="7">
        <f t="shared" si="29"/>
        <v>-770.29999999999927</v>
      </c>
      <c r="M187" s="2"/>
      <c r="N187" s="6">
        <f t="shared" si="30"/>
        <v>-3.6730731267231649E-2</v>
      </c>
      <c r="O187" s="11"/>
      <c r="P187" s="7">
        <v>40013.58</v>
      </c>
      <c r="Q187" s="2"/>
      <c r="R187" s="6">
        <f t="shared" si="31"/>
        <v>1.0189878592487501E-2</v>
      </c>
      <c r="S187" s="2"/>
      <c r="T187" s="7">
        <v>36548.950000000004</v>
      </c>
      <c r="U187" s="2"/>
      <c r="V187" s="6">
        <f t="shared" si="32"/>
        <v>8.7935700742522716E-3</v>
      </c>
      <c r="W187" s="2"/>
      <c r="X187" s="7">
        <f t="shared" si="33"/>
        <v>3464.6299999999974</v>
      </c>
      <c r="Y187" s="2"/>
      <c r="Z187" s="6">
        <f t="shared" si="34"/>
        <v>9.4794241695041775E-2</v>
      </c>
    </row>
    <row r="188" spans="1:26" s="24" customFormat="1" hidden="1" outlineLevel="2" x14ac:dyDescent="0.25">
      <c r="A188" s="29"/>
      <c r="B188" s="11" t="str">
        <f>CONCATENATE("          ", "6006", " - ", "TEMPORARY PART TIME")</f>
        <v xml:space="preserve">          6006 - TEMPORARY PART TIME</v>
      </c>
      <c r="C188" s="11"/>
      <c r="D188" s="7">
        <v>6585.94</v>
      </c>
      <c r="E188" s="2"/>
      <c r="F188" s="6">
        <f t="shared" si="27"/>
        <v>2.0552027687110118E-3</v>
      </c>
      <c r="G188" s="2"/>
      <c r="H188" s="7">
        <v>9437.84</v>
      </c>
      <c r="I188" s="2"/>
      <c r="J188" s="6">
        <f t="shared" si="28"/>
        <v>2.8186411180242624E-3</v>
      </c>
      <c r="K188" s="2"/>
      <c r="L188" s="7">
        <f t="shared" si="29"/>
        <v>-2851.9000000000005</v>
      </c>
      <c r="M188" s="2"/>
      <c r="N188" s="6">
        <f t="shared" si="30"/>
        <v>-0.30217719308655377</v>
      </c>
      <c r="O188" s="11"/>
      <c r="P188" s="7">
        <v>11225.82</v>
      </c>
      <c r="Q188" s="2"/>
      <c r="R188" s="6">
        <f t="shared" si="31"/>
        <v>2.8587730190879706E-3</v>
      </c>
      <c r="S188" s="2"/>
      <c r="T188" s="7">
        <v>19488.289999999997</v>
      </c>
      <c r="U188" s="2"/>
      <c r="V188" s="6">
        <f t="shared" si="32"/>
        <v>4.6888253627628091E-3</v>
      </c>
      <c r="W188" s="2"/>
      <c r="X188" s="7">
        <f t="shared" si="33"/>
        <v>-8262.4699999999975</v>
      </c>
      <c r="Y188" s="2"/>
      <c r="Z188" s="6">
        <f t="shared" si="34"/>
        <v>-0.42397101028361128</v>
      </c>
    </row>
    <row r="189" spans="1:26" s="24" customFormat="1" hidden="1" outlineLevel="2" x14ac:dyDescent="0.25">
      <c r="A189" s="29"/>
      <c r="B189" s="11" t="str">
        <f>CONCATENATE("          ", "6007", " - ", "STUDENT HOURLY")</f>
        <v xml:space="preserve">          6007 - STUDENT HOURLY</v>
      </c>
      <c r="C189" s="11"/>
      <c r="D189" s="7">
        <v>132630.02000000002</v>
      </c>
      <c r="E189" s="2"/>
      <c r="F189" s="6">
        <f t="shared" si="27"/>
        <v>4.1388409903247964E-2</v>
      </c>
      <c r="G189" s="2"/>
      <c r="H189" s="7">
        <v>120769.94</v>
      </c>
      <c r="I189" s="2"/>
      <c r="J189" s="6">
        <f t="shared" si="28"/>
        <v>3.606832905678875E-2</v>
      </c>
      <c r="K189" s="2"/>
      <c r="L189" s="7">
        <f t="shared" si="29"/>
        <v>11860.080000000016</v>
      </c>
      <c r="M189" s="2"/>
      <c r="N189" s="6">
        <f t="shared" si="30"/>
        <v>9.8203907363040965E-2</v>
      </c>
      <c r="O189" s="11"/>
      <c r="P189" s="7">
        <v>203928.88999999998</v>
      </c>
      <c r="Q189" s="2"/>
      <c r="R189" s="6">
        <f t="shared" si="31"/>
        <v>5.1932634635559687E-2</v>
      </c>
      <c r="S189" s="2"/>
      <c r="T189" s="7">
        <v>188936.90000000002</v>
      </c>
      <c r="U189" s="2"/>
      <c r="V189" s="6">
        <f t="shared" si="32"/>
        <v>4.5457663483136838E-2</v>
      </c>
      <c r="W189" s="2"/>
      <c r="X189" s="7">
        <f t="shared" si="33"/>
        <v>14991.989999999962</v>
      </c>
      <c r="Y189" s="2"/>
      <c r="Z189" s="6">
        <f t="shared" si="34"/>
        <v>7.9349190126438832E-2</v>
      </c>
    </row>
    <row r="190" spans="1:26" s="24" customFormat="1" hidden="1" outlineLevel="2" x14ac:dyDescent="0.25">
      <c r="A190" s="29"/>
      <c r="B190" s="11" t="str">
        <f>CONCATENATE("          ", "6008", " - ", "STUDENT HOURLY-FICA EXEMPT")</f>
        <v xml:space="preserve">          6008 - STUDENT HOURLY-FICA EXEMPT</v>
      </c>
      <c r="C190" s="11"/>
      <c r="D190" s="7">
        <v>1647</v>
      </c>
      <c r="E190" s="2"/>
      <c r="F190" s="6">
        <f t="shared" si="27"/>
        <v>5.1396140263455738E-4</v>
      </c>
      <c r="G190" s="2"/>
      <c r="H190" s="7">
        <v>3093.75</v>
      </c>
      <c r="I190" s="2"/>
      <c r="J190" s="6">
        <f t="shared" si="28"/>
        <v>9.239583378069094E-4</v>
      </c>
      <c r="K190" s="2"/>
      <c r="L190" s="7">
        <f t="shared" si="29"/>
        <v>-1446.75</v>
      </c>
      <c r="M190" s="2"/>
      <c r="N190" s="6">
        <f t="shared" si="30"/>
        <v>-0.46763636363636363</v>
      </c>
      <c r="O190" s="11"/>
      <c r="P190" s="7">
        <v>1962</v>
      </c>
      <c r="Q190" s="2"/>
      <c r="R190" s="6">
        <f t="shared" si="31"/>
        <v>4.9964391585208018E-4</v>
      </c>
      <c r="S190" s="2"/>
      <c r="T190" s="7">
        <v>4559.5</v>
      </c>
      <c r="U190" s="2"/>
      <c r="V190" s="6">
        <f t="shared" si="32"/>
        <v>1.0970023148011976E-3</v>
      </c>
      <c r="W190" s="2"/>
      <c r="X190" s="7">
        <f t="shared" si="33"/>
        <v>-2597.5</v>
      </c>
      <c r="Y190" s="2"/>
      <c r="Z190" s="6">
        <f t="shared" si="34"/>
        <v>-0.56968965895383261</v>
      </c>
    </row>
    <row r="191" spans="1:26" s="27" customFormat="1" outlineLevel="1" collapsed="1" x14ac:dyDescent="0.25">
      <c r="A191" s="28"/>
      <c r="B191" s="14" t="str">
        <f>CONCATENATE("     ","Advertising/Promo                                 ")</f>
        <v xml:space="preserve">     Advertising/Promo                                 </v>
      </c>
      <c r="C191" s="14"/>
      <c r="D191" s="1">
        <f>SUM(OSRRefD22_2x_0)</f>
        <v>7001.29</v>
      </c>
      <c r="E191" s="1"/>
      <c r="F191" s="5">
        <f t="shared" ref="F191:F199" si="35">IF(D$12=0,0,D191/D$12)</f>
        <v>2.1848165322715845E-3</v>
      </c>
      <c r="G191" s="1"/>
      <c r="H191" s="1">
        <f>SUM(OSRRefH22_2x_0)</f>
        <v>3543.37</v>
      </c>
      <c r="I191" s="1"/>
      <c r="J191" s="5">
        <f t="shared" ref="J191:J199" si="36">IF(H$12=0,0,H191/H$12)</f>
        <v>1.0582387896355132E-3</v>
      </c>
      <c r="K191" s="1"/>
      <c r="L191" s="1">
        <f t="shared" ref="L191:L199" si="37">+D191-H191</f>
        <v>3457.92</v>
      </c>
      <c r="M191" s="1"/>
      <c r="N191" s="5">
        <f t="shared" ref="N191:N199" si="38">IF(H191=0,0,L191/H191)</f>
        <v>0.97588453929451346</v>
      </c>
      <c r="O191" s="14"/>
      <c r="P191" s="1">
        <f>SUM(OSRRefP22_2x_0)</f>
        <v>7892.66</v>
      </c>
      <c r="Q191" s="1"/>
      <c r="R191" s="5">
        <f t="shared" ref="R191:R199" si="39">IF(P$12=0,0,P191/P$12)</f>
        <v>2.0099488016763908E-3</v>
      </c>
      <c r="S191" s="1"/>
      <c r="T191" s="1">
        <f>SUM(OSRRefT22_2x_0)</f>
        <v>8938.61</v>
      </c>
      <c r="U191" s="1"/>
      <c r="V191" s="5">
        <f t="shared" ref="V191:V199" si="40">IF(T$12=0,0,T191/T$12)</f>
        <v>2.1506033251683593E-3</v>
      </c>
      <c r="W191" s="1"/>
      <c r="X191" s="1">
        <f t="shared" ref="X191:X199" si="41">+P191-T191</f>
        <v>-1045.9500000000007</v>
      </c>
      <c r="Y191" s="1"/>
      <c r="Z191" s="5">
        <f t="shared" ref="Z191:Z199" si="42">IF(T191=0,0,X191/T191)</f>
        <v>-0.11701483787747767</v>
      </c>
    </row>
    <row r="192" spans="1:26" s="24" customFormat="1" hidden="1" outlineLevel="2" x14ac:dyDescent="0.25">
      <c r="A192" s="29"/>
      <c r="B192" s="11" t="str">
        <f>CONCATENATE("          ", "6362", " - ", "ADVERTISING EXPENSE")</f>
        <v xml:space="preserve">          6362 - ADVERTISING EXPENSE</v>
      </c>
      <c r="C192" s="11"/>
      <c r="D192" s="7">
        <v>7001.29</v>
      </c>
      <c r="E192" s="2"/>
      <c r="F192" s="6">
        <f t="shared" si="35"/>
        <v>2.1848165322715845E-3</v>
      </c>
      <c r="G192" s="2"/>
      <c r="H192" s="7">
        <v>3543.37</v>
      </c>
      <c r="I192" s="2"/>
      <c r="J192" s="6">
        <f t="shared" si="36"/>
        <v>1.0582387896355132E-3</v>
      </c>
      <c r="K192" s="2"/>
      <c r="L192" s="7">
        <f t="shared" si="37"/>
        <v>3457.92</v>
      </c>
      <c r="M192" s="2"/>
      <c r="N192" s="6">
        <f t="shared" si="38"/>
        <v>0.97588453929451346</v>
      </c>
      <c r="O192" s="11"/>
      <c r="P192" s="7">
        <v>7892.66</v>
      </c>
      <c r="Q192" s="2"/>
      <c r="R192" s="6">
        <f t="shared" si="39"/>
        <v>2.0099488016763908E-3</v>
      </c>
      <c r="S192" s="2"/>
      <c r="T192" s="7">
        <v>8938.61</v>
      </c>
      <c r="U192" s="2"/>
      <c r="V192" s="6">
        <f t="shared" si="40"/>
        <v>2.1506033251683593E-3</v>
      </c>
      <c r="W192" s="2"/>
      <c r="X192" s="7">
        <f t="shared" si="41"/>
        <v>-1045.9500000000007</v>
      </c>
      <c r="Y192" s="2"/>
      <c r="Z192" s="6">
        <f t="shared" si="42"/>
        <v>-0.11701483787747767</v>
      </c>
    </row>
    <row r="193" spans="1:26" s="27" customFormat="1" outlineLevel="1" collapsed="1" x14ac:dyDescent="0.25">
      <c r="A193" s="28"/>
      <c r="B193" s="14" t="str">
        <f>CONCATENATE("     ","Bad Debts/Over/Short                              ")</f>
        <v xml:space="preserve">     Bad Debts/Over/Short                              </v>
      </c>
      <c r="C193" s="14"/>
      <c r="D193" s="1">
        <f>SUM(OSRRefD22_3x_0)</f>
        <v>-63.63</v>
      </c>
      <c r="E193" s="1"/>
      <c r="F193" s="5">
        <f t="shared" si="35"/>
        <v>-1.9856323041673883E-5</v>
      </c>
      <c r="G193" s="1"/>
      <c r="H193" s="1">
        <f>SUM(OSRRefH22_3x_0)</f>
        <v>62.21</v>
      </c>
      <c r="I193" s="1"/>
      <c r="J193" s="5">
        <f t="shared" si="36"/>
        <v>1.8579215578171423E-5</v>
      </c>
      <c r="K193" s="1"/>
      <c r="L193" s="1">
        <f t="shared" si="37"/>
        <v>-125.84</v>
      </c>
      <c r="M193" s="1"/>
      <c r="N193" s="5">
        <f t="shared" si="38"/>
        <v>-2.0228259122327601</v>
      </c>
      <c r="O193" s="14"/>
      <c r="P193" s="1">
        <f>SUM(OSRRefP22_3x_0)</f>
        <v>-82.33</v>
      </c>
      <c r="Q193" s="1"/>
      <c r="R193" s="5">
        <f t="shared" si="39"/>
        <v>-2.0966199588227197E-5</v>
      </c>
      <c r="S193" s="1"/>
      <c r="T193" s="1">
        <f>SUM(OSRRefT22_3x_0)</f>
        <v>39.29</v>
      </c>
      <c r="U193" s="1"/>
      <c r="V193" s="5">
        <f t="shared" si="40"/>
        <v>9.4530586574271422E-6</v>
      </c>
      <c r="W193" s="1"/>
      <c r="X193" s="1">
        <f t="shared" si="41"/>
        <v>-121.62</v>
      </c>
      <c r="Y193" s="1"/>
      <c r="Z193" s="5">
        <f t="shared" si="42"/>
        <v>-3.0954441333672693</v>
      </c>
    </row>
    <row r="194" spans="1:26" s="24" customFormat="1" hidden="1" outlineLevel="2" x14ac:dyDescent="0.25">
      <c r="A194" s="29"/>
      <c r="B194" s="11" t="str">
        <f>CONCATENATE("          ", "6272", " - ", "CASH (OVER/SHORT)")</f>
        <v xml:space="preserve">          6272 - CASH (OVER/SHORT)</v>
      </c>
      <c r="C194" s="11"/>
      <c r="D194" s="7">
        <v>-63.63</v>
      </c>
      <c r="E194" s="2"/>
      <c r="F194" s="6">
        <f t="shared" si="35"/>
        <v>-1.9856323041673883E-5</v>
      </c>
      <c r="G194" s="2"/>
      <c r="H194" s="7">
        <v>62.21</v>
      </c>
      <c r="I194" s="2"/>
      <c r="J194" s="6">
        <f t="shared" si="36"/>
        <v>1.8579215578171423E-5</v>
      </c>
      <c r="K194" s="2"/>
      <c r="L194" s="7">
        <f t="shared" si="37"/>
        <v>-125.84</v>
      </c>
      <c r="M194" s="2"/>
      <c r="N194" s="6">
        <f t="shared" si="38"/>
        <v>-2.0228259122327601</v>
      </c>
      <c r="O194" s="11"/>
      <c r="P194" s="7">
        <v>-82.33</v>
      </c>
      <c r="Q194" s="2"/>
      <c r="R194" s="6">
        <f t="shared" si="39"/>
        <v>-2.0966199588227197E-5</v>
      </c>
      <c r="S194" s="2"/>
      <c r="T194" s="7">
        <v>39.29</v>
      </c>
      <c r="U194" s="2"/>
      <c r="V194" s="6">
        <f t="shared" si="40"/>
        <v>9.4530586574271422E-6</v>
      </c>
      <c r="W194" s="2"/>
      <c r="X194" s="7">
        <f t="shared" si="41"/>
        <v>-121.62</v>
      </c>
      <c r="Y194" s="2"/>
      <c r="Z194" s="6">
        <f t="shared" si="42"/>
        <v>-3.0954441333672693</v>
      </c>
    </row>
    <row r="195" spans="1:26" s="27" customFormat="1" outlineLevel="1" collapsed="1" x14ac:dyDescent="0.25">
      <c r="A195" s="28"/>
      <c r="B195" s="14" t="str">
        <f>CONCATENATE("     ","Bank/card Fees                                    ")</f>
        <v xml:space="preserve">     Bank/card Fees                                    </v>
      </c>
      <c r="C195" s="14"/>
      <c r="D195" s="1">
        <f>SUM(OSRRefD22_4x_0)</f>
        <v>33669.619999999995</v>
      </c>
      <c r="E195" s="1"/>
      <c r="F195" s="5">
        <f t="shared" si="35"/>
        <v>1.0506912641999114E-2</v>
      </c>
      <c r="G195" s="1"/>
      <c r="H195" s="1">
        <f>SUM(OSRRefH22_4x_0)</f>
        <v>29763.820000000003</v>
      </c>
      <c r="I195" s="1"/>
      <c r="J195" s="5">
        <f t="shared" si="36"/>
        <v>8.8890600901766637E-3</v>
      </c>
      <c r="K195" s="1"/>
      <c r="L195" s="1">
        <f t="shared" si="37"/>
        <v>3905.799999999992</v>
      </c>
      <c r="M195" s="1"/>
      <c r="N195" s="5">
        <f t="shared" si="38"/>
        <v>0.13122643531643424</v>
      </c>
      <c r="O195" s="14"/>
      <c r="P195" s="1">
        <f>SUM(OSRRefP22_4x_0)</f>
        <v>39455.51</v>
      </c>
      <c r="Q195" s="1"/>
      <c r="R195" s="5">
        <f t="shared" si="39"/>
        <v>1.0047760203027986E-2</v>
      </c>
      <c r="S195" s="1"/>
      <c r="T195" s="1">
        <f>SUM(OSRRefT22_4x_0)</f>
        <v>36037.25</v>
      </c>
      <c r="U195" s="1"/>
      <c r="V195" s="5">
        <f t="shared" si="40"/>
        <v>8.6704565564358939E-3</v>
      </c>
      <c r="W195" s="1"/>
      <c r="X195" s="1">
        <f t="shared" si="41"/>
        <v>3418.260000000002</v>
      </c>
      <c r="Y195" s="1"/>
      <c r="Z195" s="5">
        <f t="shared" si="42"/>
        <v>9.4853519622057791E-2</v>
      </c>
    </row>
    <row r="196" spans="1:26" s="24" customFormat="1" hidden="1" outlineLevel="2" x14ac:dyDescent="0.25">
      <c r="A196" s="29"/>
      <c r="B196" s="11" t="str">
        <f>CONCATENATE("          ", "6381", " - ", "BANK/CREDIT CARD FEES")</f>
        <v xml:space="preserve">          6381 - BANK/CREDIT CARD FEES</v>
      </c>
      <c r="C196" s="11"/>
      <c r="D196" s="7">
        <v>33669.619999999995</v>
      </c>
      <c r="E196" s="2"/>
      <c r="F196" s="6">
        <f t="shared" si="35"/>
        <v>1.0506912641999114E-2</v>
      </c>
      <c r="G196" s="2"/>
      <c r="H196" s="7">
        <v>29763.820000000003</v>
      </c>
      <c r="I196" s="2"/>
      <c r="J196" s="6">
        <f t="shared" si="36"/>
        <v>8.8890600901766637E-3</v>
      </c>
      <c r="K196" s="2"/>
      <c r="L196" s="7">
        <f t="shared" si="37"/>
        <v>3905.799999999992</v>
      </c>
      <c r="M196" s="2"/>
      <c r="N196" s="6">
        <f t="shared" si="38"/>
        <v>0.13122643531643424</v>
      </c>
      <c r="O196" s="11"/>
      <c r="P196" s="7">
        <v>39455.51</v>
      </c>
      <c r="Q196" s="2"/>
      <c r="R196" s="6">
        <f t="shared" si="39"/>
        <v>1.0047760203027986E-2</v>
      </c>
      <c r="S196" s="2"/>
      <c r="T196" s="7">
        <v>36037.25</v>
      </c>
      <c r="U196" s="2"/>
      <c r="V196" s="6">
        <f t="shared" si="40"/>
        <v>8.6704565564358939E-3</v>
      </c>
      <c r="W196" s="2"/>
      <c r="X196" s="7">
        <f t="shared" si="41"/>
        <v>3418.260000000002</v>
      </c>
      <c r="Y196" s="2"/>
      <c r="Z196" s="6">
        <f t="shared" si="42"/>
        <v>9.4853519622057791E-2</v>
      </c>
    </row>
    <row r="197" spans="1:26" s="27" customFormat="1" outlineLevel="1" collapsed="1" x14ac:dyDescent="0.25">
      <c r="A197" s="28"/>
      <c r="B197" s="14" t="str">
        <f>CONCATENATE("     ","Depreciation                                      ")</f>
        <v xml:space="preserve">     Depreciation                                      </v>
      </c>
      <c r="C197" s="14"/>
      <c r="D197" s="1">
        <f>SUM(OSRRefD22_5x_0)</f>
        <v>29887.870000000003</v>
      </c>
      <c r="E197" s="1"/>
      <c r="F197" s="5">
        <f t="shared" si="35"/>
        <v>9.3267829914749894E-3</v>
      </c>
      <c r="G197" s="1"/>
      <c r="H197" s="1">
        <f>SUM(OSRRefH22_5x_0)</f>
        <v>29610.510000000002</v>
      </c>
      <c r="I197" s="1"/>
      <c r="J197" s="5">
        <f t="shared" si="36"/>
        <v>8.843273568069453E-3</v>
      </c>
      <c r="K197" s="1"/>
      <c r="L197" s="1">
        <f t="shared" si="37"/>
        <v>277.36000000000058</v>
      </c>
      <c r="M197" s="1"/>
      <c r="N197" s="5">
        <f t="shared" si="38"/>
        <v>9.366944372116541E-3</v>
      </c>
      <c r="O197" s="14"/>
      <c r="P197" s="1">
        <f>SUM(OSRRefP22_5x_0)</f>
        <v>59775.740000000005</v>
      </c>
      <c r="Q197" s="1"/>
      <c r="R197" s="5">
        <f t="shared" si="39"/>
        <v>1.5222520288764436E-2</v>
      </c>
      <c r="S197" s="1"/>
      <c r="T197" s="1">
        <f>SUM(OSRRefT22_5x_0)</f>
        <v>59221.020000000004</v>
      </c>
      <c r="U197" s="1"/>
      <c r="V197" s="5">
        <f t="shared" si="40"/>
        <v>1.4248403558479663E-2</v>
      </c>
      <c r="W197" s="1"/>
      <c r="X197" s="1">
        <f t="shared" si="41"/>
        <v>554.72000000000116</v>
      </c>
      <c r="Y197" s="1"/>
      <c r="Z197" s="5">
        <f t="shared" si="42"/>
        <v>9.366944372116541E-3</v>
      </c>
    </row>
    <row r="198" spans="1:26" s="24" customFormat="1" hidden="1" outlineLevel="2" x14ac:dyDescent="0.25">
      <c r="A198" s="29"/>
      <c r="B198" s="11" t="str">
        <f>CONCATENATE("          ", "6321", " - ", "BUILDING DEPRECIATION")</f>
        <v xml:space="preserve">          6321 - BUILDING DEPRECIATION</v>
      </c>
      <c r="C198" s="11"/>
      <c r="D198" s="7">
        <v>16396.52</v>
      </c>
      <c r="E198" s="2"/>
      <c r="F198" s="6">
        <f t="shared" si="35"/>
        <v>5.1166839207805537E-3</v>
      </c>
      <c r="G198" s="2"/>
      <c r="H198" s="7">
        <v>16453.38</v>
      </c>
      <c r="I198" s="2"/>
      <c r="J198" s="6">
        <f t="shared" si="36"/>
        <v>4.913854589448226E-3</v>
      </c>
      <c r="K198" s="2"/>
      <c r="L198" s="7">
        <f t="shared" si="37"/>
        <v>-56.860000000000582</v>
      </c>
      <c r="M198" s="2"/>
      <c r="N198" s="6">
        <f t="shared" si="38"/>
        <v>-3.4558248821822978E-3</v>
      </c>
      <c r="O198" s="11"/>
      <c r="P198" s="7">
        <v>32793.040000000001</v>
      </c>
      <c r="Q198" s="2"/>
      <c r="R198" s="6">
        <f t="shared" si="39"/>
        <v>8.3510922111589697E-3</v>
      </c>
      <c r="S198" s="2"/>
      <c r="T198" s="7">
        <v>32906.76</v>
      </c>
      <c r="U198" s="2"/>
      <c r="V198" s="6">
        <f t="shared" si="40"/>
        <v>7.917269852529326E-3</v>
      </c>
      <c r="W198" s="2"/>
      <c r="X198" s="7">
        <f t="shared" si="41"/>
        <v>-113.72000000000116</v>
      </c>
      <c r="Y198" s="2"/>
      <c r="Z198" s="6">
        <f t="shared" si="42"/>
        <v>-3.4558248821822978E-3</v>
      </c>
    </row>
    <row r="199" spans="1:26" s="24" customFormat="1" hidden="1" outlineLevel="2" x14ac:dyDescent="0.25">
      <c r="A199" s="29"/>
      <c r="B199" s="11" t="str">
        <f>CONCATENATE("          ", "6322", " - ", "EQUIPMENT DEPRECIATION EXPENSE")</f>
        <v xml:space="preserve">          6322 - EQUIPMENT DEPRECIATION EXPENSE</v>
      </c>
      <c r="C199" s="11"/>
      <c r="D199" s="7">
        <v>13491.35</v>
      </c>
      <c r="E199" s="2"/>
      <c r="F199" s="6">
        <f t="shared" si="35"/>
        <v>4.2100990706944357E-3</v>
      </c>
      <c r="G199" s="2"/>
      <c r="H199" s="7">
        <v>13157.13</v>
      </c>
      <c r="I199" s="2"/>
      <c r="J199" s="6">
        <f t="shared" si="36"/>
        <v>3.9294189786212271E-3</v>
      </c>
      <c r="K199" s="2"/>
      <c r="L199" s="7">
        <f t="shared" si="37"/>
        <v>334.22000000000116</v>
      </c>
      <c r="M199" s="2"/>
      <c r="N199" s="6">
        <f t="shared" si="38"/>
        <v>2.5402196375653444E-2</v>
      </c>
      <c r="O199" s="11"/>
      <c r="P199" s="7">
        <v>26982.7</v>
      </c>
      <c r="Q199" s="2"/>
      <c r="R199" s="6">
        <f t="shared" si="39"/>
        <v>6.8714280776054661E-3</v>
      </c>
      <c r="S199" s="2"/>
      <c r="T199" s="7">
        <v>26314.26</v>
      </c>
      <c r="U199" s="2"/>
      <c r="V199" s="6">
        <f t="shared" si="40"/>
        <v>6.3311337059503365E-3</v>
      </c>
      <c r="W199" s="2"/>
      <c r="X199" s="7">
        <f t="shared" si="41"/>
        <v>668.44000000000233</v>
      </c>
      <c r="Y199" s="2"/>
      <c r="Z199" s="6">
        <f t="shared" si="42"/>
        <v>2.5402196375653444E-2</v>
      </c>
    </row>
    <row r="200" spans="1:26" s="27" customFormat="1" outlineLevel="1" collapsed="1" x14ac:dyDescent="0.25">
      <c r="A200" s="28"/>
      <c r="B200" s="14" t="str">
        <f>CONCATENATE("     ","Discounts and Markdowns                           ")</f>
        <v xml:space="preserve">     Discounts and Markdowns                           </v>
      </c>
      <c r="C200" s="14"/>
      <c r="D200" s="1">
        <f>SUM(OSRRefD22_6x_0)</f>
        <v>91708.719999999987</v>
      </c>
      <c r="E200" s="1"/>
      <c r="F200" s="5">
        <f t="shared" ref="F200:F202" si="43">IF(D$12=0,0,D200/D$12)</f>
        <v>2.8618544241056389E-2</v>
      </c>
      <c r="G200" s="1"/>
      <c r="H200" s="1">
        <f>SUM(OSRRefH22_6x_0)</f>
        <v>75597.78</v>
      </c>
      <c r="I200" s="1"/>
      <c r="J200" s="5">
        <f t="shared" ref="J200:J202" si="44">IF(H$12=0,0,H200/H$12)</f>
        <v>2.2577518917395529E-2</v>
      </c>
      <c r="K200" s="1"/>
      <c r="L200" s="1">
        <f t="shared" ref="L200:L202" si="45">+D200-H200</f>
        <v>16110.939999999988</v>
      </c>
      <c r="M200" s="1"/>
      <c r="N200" s="5">
        <f t="shared" ref="N200:N202" si="46">IF(H200=0,0,L200/H200)</f>
        <v>0.21311393006514195</v>
      </c>
      <c r="O200" s="14"/>
      <c r="P200" s="1">
        <f>SUM(OSRRefP22_6x_0)</f>
        <v>129102.58</v>
      </c>
      <c r="Q200" s="1"/>
      <c r="R200" s="5">
        <f t="shared" ref="R200:R202" si="47">IF(P$12=0,0,P200/P$12)</f>
        <v>3.2877328551379432E-2</v>
      </c>
      <c r="S200" s="1"/>
      <c r="T200" s="1">
        <f>SUM(OSRRefT22_6x_0)</f>
        <v>105602.79000000001</v>
      </c>
      <c r="U200" s="1"/>
      <c r="V200" s="5">
        <f t="shared" ref="V200:V202" si="48">IF(T$12=0,0,T200/T$12)</f>
        <v>2.5407721258792579E-2</v>
      </c>
      <c r="W200" s="1"/>
      <c r="X200" s="1">
        <f t="shared" ref="X200:X202" si="49">+P200-T200</f>
        <v>23499.789999999994</v>
      </c>
      <c r="Y200" s="1"/>
      <c r="Z200" s="5">
        <f t="shared" ref="Z200:Z202" si="50">IF(T200=0,0,X200/T200)</f>
        <v>0.22253001080747953</v>
      </c>
    </row>
    <row r="201" spans="1:26" s="24" customFormat="1" hidden="1" outlineLevel="2" x14ac:dyDescent="0.25">
      <c r="A201" s="29"/>
      <c r="B201" s="11" t="str">
        <f>CONCATENATE("          ", "6382", " - ", "DISCOUNTS/MARK DOWNS")</f>
        <v xml:space="preserve">          6382 - DISCOUNTS/MARK DOWNS</v>
      </c>
      <c r="C201" s="11"/>
      <c r="D201" s="7">
        <v>92514.569999999992</v>
      </c>
      <c r="E201" s="2"/>
      <c r="F201" s="6">
        <f t="shared" si="43"/>
        <v>2.8870017098562802E-2</v>
      </c>
      <c r="G201" s="2"/>
      <c r="H201" s="7">
        <v>76088.259999999995</v>
      </c>
      <c r="I201" s="2"/>
      <c r="J201" s="6">
        <f t="shared" si="44"/>
        <v>2.2724002338980188E-2</v>
      </c>
      <c r="K201" s="2"/>
      <c r="L201" s="7">
        <f t="shared" si="45"/>
        <v>16426.309999999998</v>
      </c>
      <c r="M201" s="2"/>
      <c r="N201" s="6">
        <f t="shared" si="46"/>
        <v>0.21588494729673144</v>
      </c>
      <c r="O201" s="11"/>
      <c r="P201" s="7">
        <v>130352.14</v>
      </c>
      <c r="Q201" s="2"/>
      <c r="R201" s="6">
        <f t="shared" si="47"/>
        <v>3.3195542135218435E-2</v>
      </c>
      <c r="S201" s="2"/>
      <c r="T201" s="7">
        <v>107003.43000000001</v>
      </c>
      <c r="U201" s="2"/>
      <c r="V201" s="6">
        <f t="shared" si="48"/>
        <v>2.5744711130972237E-2</v>
      </c>
      <c r="W201" s="2"/>
      <c r="X201" s="7">
        <f t="shared" si="49"/>
        <v>23348.709999999992</v>
      </c>
      <c r="Y201" s="2"/>
      <c r="Z201" s="6">
        <f t="shared" si="50"/>
        <v>0.21820524818690382</v>
      </c>
    </row>
    <row r="202" spans="1:26" s="24" customFormat="1" hidden="1" outlineLevel="2" x14ac:dyDescent="0.25">
      <c r="A202" s="29"/>
      <c r="B202" s="11" t="str">
        <f>CONCATENATE("          ", "9175", " - ", "EARNED DISCOUNTS")</f>
        <v xml:space="preserve">          9175 - EARNED DISCOUNTS</v>
      </c>
      <c r="C202" s="11"/>
      <c r="D202" s="7">
        <v>-805.85</v>
      </c>
      <c r="E202" s="2"/>
      <c r="F202" s="6">
        <f t="shared" si="43"/>
        <v>-2.5147285750641048E-4</v>
      </c>
      <c r="G202" s="2"/>
      <c r="H202" s="7">
        <v>-490.48</v>
      </c>
      <c r="I202" s="2"/>
      <c r="J202" s="6">
        <f t="shared" si="44"/>
        <v>-1.4648342158465712E-4</v>
      </c>
      <c r="K202" s="2"/>
      <c r="L202" s="7">
        <f t="shared" si="45"/>
        <v>-315.37</v>
      </c>
      <c r="M202" s="2"/>
      <c r="N202" s="6">
        <f t="shared" si="46"/>
        <v>0.64298238460283808</v>
      </c>
      <c r="O202" s="11"/>
      <c r="P202" s="7">
        <v>-1249.56</v>
      </c>
      <c r="Q202" s="2"/>
      <c r="R202" s="6">
        <f t="shared" si="47"/>
        <v>-3.182135838390037E-4</v>
      </c>
      <c r="S202" s="2"/>
      <c r="T202" s="7">
        <v>-1400.64</v>
      </c>
      <c r="U202" s="2"/>
      <c r="V202" s="6">
        <f t="shared" si="48"/>
        <v>-3.3698987217965776E-4</v>
      </c>
      <c r="W202" s="2"/>
      <c r="X202" s="7">
        <f t="shared" si="49"/>
        <v>151.08000000000015</v>
      </c>
      <c r="Y202" s="2"/>
      <c r="Z202" s="6">
        <f t="shared" si="50"/>
        <v>-0.10786497601096652</v>
      </c>
    </row>
    <row r="203" spans="1:26" s="27" customFormat="1" outlineLevel="1" collapsed="1" x14ac:dyDescent="0.25">
      <c r="A203" s="28"/>
      <c r="B203" s="14" t="str">
        <f>CONCATENATE("     ","Donations                                         ")</f>
        <v xml:space="preserve">     Donations                                         </v>
      </c>
      <c r="C203" s="14"/>
      <c r="D203" s="1">
        <f>SUM(OSRRefD22_7x_0)</f>
        <v>2691.56</v>
      </c>
      <c r="E203" s="1"/>
      <c r="F203" s="5">
        <f t="shared" ref="F203:F211" si="51">IF(D$12=0,0,D203/D$12)</f>
        <v>8.3992589731333891E-4</v>
      </c>
      <c r="G203" s="1"/>
      <c r="H203" s="1">
        <f>SUM(OSRRefH22_7x_0)</f>
        <v>859.6</v>
      </c>
      <c r="I203" s="1"/>
      <c r="J203" s="5">
        <f t="shared" ref="J203:J211" si="52">IF(H$12=0,0,H203/H$12)</f>
        <v>2.5672229080527496E-4</v>
      </c>
      <c r="K203" s="1"/>
      <c r="L203" s="1">
        <f t="shared" ref="L203:L211" si="53">+D203-H203</f>
        <v>1831.96</v>
      </c>
      <c r="M203" s="1"/>
      <c r="N203" s="5">
        <f t="shared" ref="N203:N211" si="54">IF(H203=0,0,L203/H203)</f>
        <v>2.1311772917636111</v>
      </c>
      <c r="O203" s="14"/>
      <c r="P203" s="1">
        <f>SUM(OSRRefP22_7x_0)</f>
        <v>3616.98</v>
      </c>
      <c r="Q203" s="1"/>
      <c r="R203" s="5">
        <f t="shared" ref="R203:R211" si="55">IF(P$12=0,0,P203/P$12)</f>
        <v>9.2110196267005957E-4</v>
      </c>
      <c r="S203" s="1"/>
      <c r="T203" s="1">
        <f>SUM(OSRRefT22_7x_0)</f>
        <v>2295.81</v>
      </c>
      <c r="U203" s="1"/>
      <c r="V203" s="5">
        <f t="shared" ref="V203:V211" si="56">IF(T$12=0,0,T203/T$12)</f>
        <v>5.5236514625369825E-4</v>
      </c>
      <c r="W203" s="1"/>
      <c r="X203" s="1">
        <f t="shared" ref="X203:X211" si="57">+P203-T203</f>
        <v>1321.17</v>
      </c>
      <c r="Y203" s="1"/>
      <c r="Z203" s="5">
        <f t="shared" ref="Z203:Z211" si="58">IF(T203=0,0,X203/T203)</f>
        <v>0.57547009552184203</v>
      </c>
    </row>
    <row r="204" spans="1:26" s="24" customFormat="1" hidden="1" outlineLevel="2" x14ac:dyDescent="0.25">
      <c r="A204" s="29"/>
      <c r="B204" s="11" t="str">
        <f>CONCATENATE("          ", "6399", " - ", "DONATION-ON CAMPUS")</f>
        <v xml:space="preserve">          6399 - DONATION-ON CAMPUS</v>
      </c>
      <c r="C204" s="11"/>
      <c r="D204" s="7">
        <v>2691.56</v>
      </c>
      <c r="E204" s="2"/>
      <c r="F204" s="6">
        <f t="shared" si="51"/>
        <v>8.3992589731333891E-4</v>
      </c>
      <c r="G204" s="2"/>
      <c r="H204" s="7">
        <v>859.6</v>
      </c>
      <c r="I204" s="2"/>
      <c r="J204" s="6">
        <f t="shared" si="52"/>
        <v>2.5672229080527496E-4</v>
      </c>
      <c r="K204" s="2"/>
      <c r="L204" s="7">
        <f t="shared" si="53"/>
        <v>1831.96</v>
      </c>
      <c r="M204" s="2"/>
      <c r="N204" s="6">
        <f t="shared" si="54"/>
        <v>2.1311772917636111</v>
      </c>
      <c r="O204" s="11"/>
      <c r="P204" s="7">
        <v>3616.98</v>
      </c>
      <c r="Q204" s="2"/>
      <c r="R204" s="6">
        <f t="shared" si="55"/>
        <v>9.2110196267005957E-4</v>
      </c>
      <c r="S204" s="2"/>
      <c r="T204" s="7">
        <v>2295.81</v>
      </c>
      <c r="U204" s="2"/>
      <c r="V204" s="6">
        <f t="shared" si="56"/>
        <v>5.5236514625369825E-4</v>
      </c>
      <c r="W204" s="2"/>
      <c r="X204" s="7">
        <f t="shared" si="57"/>
        <v>1321.17</v>
      </c>
      <c r="Y204" s="2"/>
      <c r="Z204" s="6">
        <f t="shared" si="58"/>
        <v>0.57547009552184203</v>
      </c>
    </row>
    <row r="205" spans="1:26" s="27" customFormat="1" outlineLevel="1" collapsed="1" x14ac:dyDescent="0.25">
      <c r="A205" s="28"/>
      <c r="B205" s="14" t="str">
        <f>CONCATENATE("     ","Employees' Appreciation                           ")</f>
        <v xml:space="preserve">     Employees' Appreciation                           </v>
      </c>
      <c r="C205" s="14"/>
      <c r="D205" s="1">
        <f>SUM(OSRRefD22_8x_0)</f>
        <v>57.33</v>
      </c>
      <c r="E205" s="1"/>
      <c r="F205" s="5">
        <f t="shared" si="51"/>
        <v>1.7890350463290329E-5</v>
      </c>
      <c r="G205" s="1"/>
      <c r="H205" s="1">
        <f>SUM(OSRRefH22_8x_0)</f>
        <v>507.83</v>
      </c>
      <c r="I205" s="1"/>
      <c r="J205" s="5">
        <f t="shared" si="52"/>
        <v>1.5166505460637828E-4</v>
      </c>
      <c r="K205" s="1"/>
      <c r="L205" s="1">
        <f t="shared" si="53"/>
        <v>-450.5</v>
      </c>
      <c r="M205" s="1"/>
      <c r="N205" s="5">
        <f t="shared" si="54"/>
        <v>-0.88710789043577576</v>
      </c>
      <c r="O205" s="14"/>
      <c r="P205" s="1">
        <f>SUM(OSRRefP22_8x_0)</f>
        <v>450.87</v>
      </c>
      <c r="Q205" s="1"/>
      <c r="R205" s="5">
        <f t="shared" si="55"/>
        <v>1.1481878304802618E-4</v>
      </c>
      <c r="S205" s="1"/>
      <c r="T205" s="1">
        <f>SUM(OSRRefT22_8x_0)</f>
        <v>823.05</v>
      </c>
      <c r="U205" s="1"/>
      <c r="V205" s="5">
        <f t="shared" si="56"/>
        <v>1.9802341379474188E-4</v>
      </c>
      <c r="W205" s="1"/>
      <c r="X205" s="1">
        <f t="shared" si="57"/>
        <v>-372.17999999999995</v>
      </c>
      <c r="Y205" s="1"/>
      <c r="Z205" s="5">
        <f t="shared" si="58"/>
        <v>-0.45219609987242571</v>
      </c>
    </row>
    <row r="206" spans="1:26" s="24" customFormat="1" hidden="1" outlineLevel="2" x14ac:dyDescent="0.25">
      <c r="A206" s="29"/>
      <c r="B206" s="11" t="str">
        <f>CONCATENATE("          ", "6277", " - ", "EMPLOYEE APPRECIATION")</f>
        <v xml:space="preserve">          6277 - EMPLOYEE APPRECIATION</v>
      </c>
      <c r="C206" s="11"/>
      <c r="D206" s="7">
        <v>57.33</v>
      </c>
      <c r="E206" s="2"/>
      <c r="F206" s="6">
        <f t="shared" si="51"/>
        <v>1.7890350463290329E-5</v>
      </c>
      <c r="G206" s="2"/>
      <c r="H206" s="7">
        <v>507.83</v>
      </c>
      <c r="I206" s="2"/>
      <c r="J206" s="6">
        <f t="shared" si="52"/>
        <v>1.5166505460637828E-4</v>
      </c>
      <c r="K206" s="2"/>
      <c r="L206" s="7">
        <f t="shared" si="53"/>
        <v>-450.5</v>
      </c>
      <c r="M206" s="2"/>
      <c r="N206" s="6">
        <f t="shared" si="54"/>
        <v>-0.88710789043577576</v>
      </c>
      <c r="O206" s="11"/>
      <c r="P206" s="7">
        <v>450.87</v>
      </c>
      <c r="Q206" s="2"/>
      <c r="R206" s="6">
        <f t="shared" si="55"/>
        <v>1.1481878304802618E-4</v>
      </c>
      <c r="S206" s="2"/>
      <c r="T206" s="7">
        <v>823.05</v>
      </c>
      <c r="U206" s="2"/>
      <c r="V206" s="6">
        <f t="shared" si="56"/>
        <v>1.9802341379474188E-4</v>
      </c>
      <c r="W206" s="2"/>
      <c r="X206" s="7">
        <f t="shared" si="57"/>
        <v>-372.17999999999995</v>
      </c>
      <c r="Y206" s="2"/>
      <c r="Z206" s="6">
        <f t="shared" si="58"/>
        <v>-0.45219609987242571</v>
      </c>
    </row>
    <row r="207" spans="1:26" s="27" customFormat="1" outlineLevel="1" collapsed="1" x14ac:dyDescent="0.25">
      <c r="A207" s="28"/>
      <c r="B207" s="14" t="str">
        <f>CONCATENATE("     ","Equipment Rental                                  ")</f>
        <v xml:space="preserve">     Equipment Rental                                  </v>
      </c>
      <c r="C207" s="14"/>
      <c r="D207" s="1">
        <f>SUM(OSRRefD22_9x_0)</f>
        <v>1296.9000000000001</v>
      </c>
      <c r="E207" s="1"/>
      <c r="F207" s="5">
        <f t="shared" si="51"/>
        <v>4.047094979215285E-4</v>
      </c>
      <c r="G207" s="1"/>
      <c r="H207" s="1">
        <f>SUM(OSRRefH22_9x_0)</f>
        <v>3400.41</v>
      </c>
      <c r="I207" s="1"/>
      <c r="J207" s="5">
        <f t="shared" si="52"/>
        <v>1.0155433281493311E-3</v>
      </c>
      <c r="K207" s="1"/>
      <c r="L207" s="1">
        <f t="shared" si="53"/>
        <v>-2103.5099999999998</v>
      </c>
      <c r="M207" s="1"/>
      <c r="N207" s="5">
        <f t="shared" si="54"/>
        <v>-0.61860481530168421</v>
      </c>
      <c r="O207" s="14"/>
      <c r="P207" s="1">
        <f>SUM(OSRRefP22_9x_0)</f>
        <v>2593.8000000000002</v>
      </c>
      <c r="Q207" s="1"/>
      <c r="R207" s="5">
        <f t="shared" si="55"/>
        <v>6.6053842453472249E-4</v>
      </c>
      <c r="S207" s="1"/>
      <c r="T207" s="1">
        <f>SUM(OSRRefT22_9x_0)</f>
        <v>6802.1</v>
      </c>
      <c r="U207" s="1"/>
      <c r="V207" s="5">
        <f t="shared" si="56"/>
        <v>1.6365652912620301E-3</v>
      </c>
      <c r="W207" s="1"/>
      <c r="X207" s="1">
        <f t="shared" si="57"/>
        <v>-4208.3</v>
      </c>
      <c r="Y207" s="1"/>
      <c r="Z207" s="5">
        <f t="shared" si="58"/>
        <v>-0.61867658517222623</v>
      </c>
    </row>
    <row r="208" spans="1:26" s="24" customFormat="1" hidden="1" outlineLevel="2" x14ac:dyDescent="0.25">
      <c r="A208" s="29"/>
      <c r="B208" s="11" t="str">
        <f>CONCATENATE("          ", "6351", " - ", "EQUIPMENT RENTAL")</f>
        <v xml:space="preserve">          6351 - EQUIPMENT RENTAL</v>
      </c>
      <c r="C208" s="11"/>
      <c r="D208" s="7">
        <v>1296.9000000000001</v>
      </c>
      <c r="E208" s="2"/>
      <c r="F208" s="6">
        <f t="shared" si="51"/>
        <v>4.047094979215285E-4</v>
      </c>
      <c r="G208" s="2"/>
      <c r="H208" s="7">
        <v>3400.41</v>
      </c>
      <c r="I208" s="2"/>
      <c r="J208" s="6">
        <f t="shared" si="52"/>
        <v>1.0155433281493311E-3</v>
      </c>
      <c r="K208" s="2"/>
      <c r="L208" s="7">
        <f t="shared" si="53"/>
        <v>-2103.5099999999998</v>
      </c>
      <c r="M208" s="2"/>
      <c r="N208" s="6">
        <f t="shared" si="54"/>
        <v>-0.61860481530168421</v>
      </c>
      <c r="O208" s="11"/>
      <c r="P208" s="7">
        <v>2593.8000000000002</v>
      </c>
      <c r="Q208" s="2"/>
      <c r="R208" s="6">
        <f t="shared" si="55"/>
        <v>6.6053842453472249E-4</v>
      </c>
      <c r="S208" s="2"/>
      <c r="T208" s="7">
        <v>6802.1</v>
      </c>
      <c r="U208" s="2"/>
      <c r="V208" s="6">
        <f t="shared" si="56"/>
        <v>1.6365652912620301E-3</v>
      </c>
      <c r="W208" s="2"/>
      <c r="X208" s="7">
        <f t="shared" si="57"/>
        <v>-4208.3</v>
      </c>
      <c r="Y208" s="2"/>
      <c r="Z208" s="6">
        <f t="shared" si="58"/>
        <v>-0.61867658517222623</v>
      </c>
    </row>
    <row r="209" spans="1:26" s="27" customFormat="1" outlineLevel="1" collapsed="1" x14ac:dyDescent="0.25">
      <c r="A209" s="28"/>
      <c r="B209" s="14" t="str">
        <f>CONCATENATE("     ","Freight out/Postage                               ")</f>
        <v xml:space="preserve">     Freight out/Postage                               </v>
      </c>
      <c r="C209" s="14"/>
      <c r="D209" s="1">
        <f>SUM(OSRRefD22_10x_0)</f>
        <v>-12904.009999999998</v>
      </c>
      <c r="E209" s="1"/>
      <c r="F209" s="5">
        <f t="shared" si="51"/>
        <v>-4.0268142557439912E-3</v>
      </c>
      <c r="G209" s="1"/>
      <c r="H209" s="1">
        <f>SUM(OSRRefH22_10x_0)</f>
        <v>-8582.9500000000007</v>
      </c>
      <c r="I209" s="1"/>
      <c r="J209" s="5">
        <f t="shared" si="52"/>
        <v>-2.5633254837914552E-3</v>
      </c>
      <c r="K209" s="1"/>
      <c r="L209" s="1">
        <f t="shared" si="53"/>
        <v>-4321.0599999999977</v>
      </c>
      <c r="M209" s="1"/>
      <c r="N209" s="5">
        <f t="shared" si="54"/>
        <v>0.50344695005796347</v>
      </c>
      <c r="O209" s="14"/>
      <c r="P209" s="1">
        <f>SUM(OSRRefP22_10x_0)</f>
        <v>-15135.839999999998</v>
      </c>
      <c r="Q209" s="1"/>
      <c r="R209" s="5">
        <f t="shared" si="55"/>
        <v>-3.854500696896304E-3</v>
      </c>
      <c r="S209" s="1"/>
      <c r="T209" s="1">
        <f>SUM(OSRRefT22_10x_0)</f>
        <v>-8570.34</v>
      </c>
      <c r="U209" s="1"/>
      <c r="V209" s="5">
        <f t="shared" si="56"/>
        <v>-2.0619986442884739E-3</v>
      </c>
      <c r="W209" s="1"/>
      <c r="X209" s="1">
        <f t="shared" si="57"/>
        <v>-6565.4999999999982</v>
      </c>
      <c r="Y209" s="1"/>
      <c r="Z209" s="5">
        <f t="shared" si="58"/>
        <v>0.76607229118097975</v>
      </c>
    </row>
    <row r="210" spans="1:26" s="24" customFormat="1" hidden="1" outlineLevel="2" x14ac:dyDescent="0.25">
      <c r="A210" s="29"/>
      <c r="B210" s="11" t="str">
        <f>CONCATENATE("          ", "6305", " - ", "FREIGHT OUT")</f>
        <v xml:space="preserve">          6305 - FREIGHT OUT</v>
      </c>
      <c r="C210" s="11"/>
      <c r="D210" s="7">
        <v>2860.04</v>
      </c>
      <c r="E210" s="2"/>
      <c r="F210" s="6">
        <f t="shared" si="51"/>
        <v>8.9250162112382476E-4</v>
      </c>
      <c r="G210" s="2"/>
      <c r="H210" s="7">
        <v>3049.09</v>
      </c>
      <c r="I210" s="2"/>
      <c r="J210" s="6">
        <f t="shared" si="52"/>
        <v>9.1062048589047912E-4</v>
      </c>
      <c r="K210" s="2"/>
      <c r="L210" s="7">
        <f t="shared" si="53"/>
        <v>-189.05000000000018</v>
      </c>
      <c r="M210" s="2"/>
      <c r="N210" s="6">
        <f t="shared" si="54"/>
        <v>-6.2002105546245002E-2</v>
      </c>
      <c r="O210" s="11"/>
      <c r="P210" s="7">
        <v>4277.76</v>
      </c>
      <c r="Q210" s="2"/>
      <c r="R210" s="6">
        <f t="shared" si="55"/>
        <v>1.0893765328620767E-3</v>
      </c>
      <c r="S210" s="2"/>
      <c r="T210" s="7">
        <v>5588.6</v>
      </c>
      <c r="U210" s="2"/>
      <c r="V210" s="6">
        <f t="shared" si="56"/>
        <v>1.3446007537006191E-3</v>
      </c>
      <c r="W210" s="2"/>
      <c r="X210" s="7">
        <f t="shared" si="57"/>
        <v>-1310.8400000000001</v>
      </c>
      <c r="Y210" s="2"/>
      <c r="Z210" s="6">
        <f t="shared" si="58"/>
        <v>-0.23455606055183767</v>
      </c>
    </row>
    <row r="211" spans="1:26" s="24" customFormat="1" hidden="1" outlineLevel="2" x14ac:dyDescent="0.25">
      <c r="A211" s="29"/>
      <c r="B211" s="11" t="str">
        <f>CONCATENATE("          ", "6307", " - ", "POSTAGE")</f>
        <v xml:space="preserve">          6307 - POSTAGE</v>
      </c>
      <c r="C211" s="11"/>
      <c r="D211" s="7">
        <v>-15764.049999999997</v>
      </c>
      <c r="E211" s="2"/>
      <c r="F211" s="6">
        <f t="shared" si="51"/>
        <v>-4.9193158768678158E-3</v>
      </c>
      <c r="G211" s="2"/>
      <c r="H211" s="7">
        <v>-11632.04</v>
      </c>
      <c r="I211" s="2"/>
      <c r="J211" s="6">
        <f t="shared" si="52"/>
        <v>-3.4739459696819341E-3</v>
      </c>
      <c r="K211" s="2"/>
      <c r="L211" s="7">
        <f t="shared" si="53"/>
        <v>-4132.0099999999966</v>
      </c>
      <c r="M211" s="2"/>
      <c r="N211" s="6">
        <f t="shared" si="54"/>
        <v>0.35522659825791486</v>
      </c>
      <c r="O211" s="11"/>
      <c r="P211" s="7">
        <v>-19413.599999999999</v>
      </c>
      <c r="Q211" s="2"/>
      <c r="R211" s="6">
        <f t="shared" si="55"/>
        <v>-4.9438772297583809E-3</v>
      </c>
      <c r="S211" s="2"/>
      <c r="T211" s="7">
        <v>-14158.94</v>
      </c>
      <c r="U211" s="2"/>
      <c r="V211" s="6">
        <f t="shared" si="56"/>
        <v>-3.4065993979890928E-3</v>
      </c>
      <c r="W211" s="2"/>
      <c r="X211" s="7">
        <f t="shared" si="57"/>
        <v>-5254.659999999998</v>
      </c>
      <c r="Y211" s="2"/>
      <c r="Z211" s="6">
        <f t="shared" si="58"/>
        <v>0.37111958946079282</v>
      </c>
    </row>
    <row r="212" spans="1:26" s="27" customFormat="1" outlineLevel="1" collapsed="1" x14ac:dyDescent="0.25">
      <c r="A212" s="28"/>
      <c r="B212" s="14" t="str">
        <f>CONCATENATE("     ","General                                           ")</f>
        <v xml:space="preserve">     General                                           </v>
      </c>
      <c r="C212" s="14"/>
      <c r="D212" s="1">
        <f>SUM(OSRRefD22_11x_0)</f>
        <v>-15111.76</v>
      </c>
      <c r="E212" s="1"/>
      <c r="F212" s="5">
        <f t="shared" ref="F212:F225" si="59">IF(D$12=0,0,D212/D$12)</f>
        <v>-4.7157628208116566E-3</v>
      </c>
      <c r="G212" s="1"/>
      <c r="H212" s="1">
        <f>SUM(OSRRefH22_11x_0)</f>
        <v>84.56</v>
      </c>
      <c r="I212" s="1"/>
      <c r="J212" s="5">
        <f t="shared" ref="J212:J225" si="60">IF(H$12=0,0,H212/H$12)</f>
        <v>2.5254114600388613E-5</v>
      </c>
      <c r="K212" s="1"/>
      <c r="L212" s="1">
        <f t="shared" ref="L212:L225" si="61">+D212-H212</f>
        <v>-15196.32</v>
      </c>
      <c r="M212" s="1"/>
      <c r="N212" s="5">
        <f t="shared" ref="N212:N225" si="62">IF(H212=0,0,L212/H212)</f>
        <v>-179.71050141911067</v>
      </c>
      <c r="O212" s="14"/>
      <c r="P212" s="1">
        <f>SUM(OSRRefP22_11x_0)</f>
        <v>-14335.58</v>
      </c>
      <c r="Q212" s="1"/>
      <c r="R212" s="5">
        <f t="shared" ref="R212:R225" si="63">IF(P$12=0,0,P212/P$12)</f>
        <v>-3.6507060791084421E-3</v>
      </c>
      <c r="S212" s="1"/>
      <c r="T212" s="1">
        <f>SUM(OSRRefT22_11x_0)</f>
        <v>-375.62</v>
      </c>
      <c r="U212" s="1"/>
      <c r="V212" s="5">
        <f t="shared" ref="V212:V225" si="64">IF(T$12=0,0,T212/T$12)</f>
        <v>-9.0373069302692366E-5</v>
      </c>
      <c r="W212" s="1"/>
      <c r="X212" s="1">
        <f t="shared" ref="X212:X225" si="65">+P212-T212</f>
        <v>-13959.96</v>
      </c>
      <c r="Y212" s="1"/>
      <c r="Z212" s="5">
        <f t="shared" ref="Z212:Z225" si="66">IF(T212=0,0,X212/T212)</f>
        <v>37.165113678717852</v>
      </c>
    </row>
    <row r="213" spans="1:26" s="24" customFormat="1" hidden="1" outlineLevel="2" x14ac:dyDescent="0.25">
      <c r="A213" s="29"/>
      <c r="B213" s="11" t="str">
        <f>CONCATENATE("          ", "6279", " - ", "GENERAL EXPENSE")</f>
        <v xml:space="preserve">          6279 - GENERAL EXPENSE</v>
      </c>
      <c r="C213" s="11"/>
      <c r="D213" s="7">
        <v>-15111.76</v>
      </c>
      <c r="E213" s="2"/>
      <c r="F213" s="6">
        <f t="shared" si="59"/>
        <v>-4.7157628208116566E-3</v>
      </c>
      <c r="G213" s="2"/>
      <c r="H213" s="7">
        <v>84.56</v>
      </c>
      <c r="I213" s="2"/>
      <c r="J213" s="6">
        <f t="shared" si="60"/>
        <v>2.5254114600388613E-5</v>
      </c>
      <c r="K213" s="2"/>
      <c r="L213" s="7">
        <f t="shared" si="61"/>
        <v>-15196.32</v>
      </c>
      <c r="M213" s="2"/>
      <c r="N213" s="6">
        <f t="shared" si="62"/>
        <v>-179.71050141911067</v>
      </c>
      <c r="O213" s="11"/>
      <c r="P213" s="7">
        <v>-14335.58</v>
      </c>
      <c r="Q213" s="2"/>
      <c r="R213" s="6">
        <f t="shared" si="63"/>
        <v>-3.6507060791084421E-3</v>
      </c>
      <c r="S213" s="2"/>
      <c r="T213" s="7">
        <v>-375.62</v>
      </c>
      <c r="U213" s="2"/>
      <c r="V213" s="6">
        <f t="shared" si="64"/>
        <v>-9.0373069302692366E-5</v>
      </c>
      <c r="W213" s="2"/>
      <c r="X213" s="7">
        <f t="shared" si="65"/>
        <v>-13959.96</v>
      </c>
      <c r="Y213" s="2"/>
      <c r="Z213" s="6">
        <f t="shared" si="66"/>
        <v>37.165113678717852</v>
      </c>
    </row>
    <row r="214" spans="1:26" s="27" customFormat="1" outlineLevel="1" collapsed="1" x14ac:dyDescent="0.25">
      <c r="A214" s="28"/>
      <c r="B214" s="14" t="str">
        <f>CONCATENATE("     ","Insurance                                         ")</f>
        <v xml:space="preserve">     Insurance                                         </v>
      </c>
      <c r="C214" s="14"/>
      <c r="D214" s="1">
        <f>SUM(OSRRefD22_12x_0)</f>
        <v>4044.74</v>
      </c>
      <c r="E214" s="1"/>
      <c r="F214" s="5">
        <f t="shared" si="59"/>
        <v>1.2621980836017605E-3</v>
      </c>
      <c r="G214" s="1"/>
      <c r="H214" s="1">
        <f>SUM(OSRRefH22_12x_0)</f>
        <v>3809.97</v>
      </c>
      <c r="I214" s="1"/>
      <c r="J214" s="5">
        <f t="shared" si="60"/>
        <v>1.1378597327819605E-3</v>
      </c>
      <c r="K214" s="1"/>
      <c r="L214" s="1">
        <f t="shared" si="61"/>
        <v>234.76999999999998</v>
      </c>
      <c r="M214" s="1"/>
      <c r="N214" s="5">
        <f t="shared" si="62"/>
        <v>6.1619907768302638E-2</v>
      </c>
      <c r="O214" s="14"/>
      <c r="P214" s="1">
        <f>SUM(OSRRefP22_12x_0)</f>
        <v>8089.48</v>
      </c>
      <c r="Q214" s="1"/>
      <c r="R214" s="5">
        <f t="shared" si="63"/>
        <v>2.060071082776292E-3</v>
      </c>
      <c r="S214" s="1"/>
      <c r="T214" s="1">
        <f>SUM(OSRRefT22_12x_0)</f>
        <v>7619.94</v>
      </c>
      <c r="U214" s="1"/>
      <c r="V214" s="5">
        <f t="shared" si="64"/>
        <v>1.8333351943516257E-3</v>
      </c>
      <c r="W214" s="1"/>
      <c r="X214" s="1">
        <f t="shared" si="65"/>
        <v>469.53999999999996</v>
      </c>
      <c r="Y214" s="1"/>
      <c r="Z214" s="5">
        <f t="shared" si="66"/>
        <v>6.1619907768302638E-2</v>
      </c>
    </row>
    <row r="215" spans="1:26" s="24" customFormat="1" hidden="1" outlineLevel="2" x14ac:dyDescent="0.25">
      <c r="A215" s="29"/>
      <c r="B215" s="11" t="str">
        <f>CONCATENATE("          ", "6314", " - ", "LIABILITY INSURANCE")</f>
        <v xml:space="preserve">          6314 - LIABILITY INSURANCE</v>
      </c>
      <c r="C215" s="11"/>
      <c r="D215" s="7">
        <v>4044.74</v>
      </c>
      <c r="E215" s="2"/>
      <c r="F215" s="6">
        <f t="shared" si="59"/>
        <v>1.2621980836017605E-3</v>
      </c>
      <c r="G215" s="2"/>
      <c r="H215" s="7">
        <v>3809.97</v>
      </c>
      <c r="I215" s="2"/>
      <c r="J215" s="6">
        <f t="shared" si="60"/>
        <v>1.1378597327819605E-3</v>
      </c>
      <c r="K215" s="2"/>
      <c r="L215" s="7">
        <f t="shared" si="61"/>
        <v>234.76999999999998</v>
      </c>
      <c r="M215" s="2"/>
      <c r="N215" s="6">
        <f t="shared" si="62"/>
        <v>6.1619907768302638E-2</v>
      </c>
      <c r="O215" s="11"/>
      <c r="P215" s="7">
        <v>8089.48</v>
      </c>
      <c r="Q215" s="2"/>
      <c r="R215" s="6">
        <f t="shared" si="63"/>
        <v>2.060071082776292E-3</v>
      </c>
      <c r="S215" s="2"/>
      <c r="T215" s="7">
        <v>7619.94</v>
      </c>
      <c r="U215" s="2"/>
      <c r="V215" s="6">
        <f t="shared" si="64"/>
        <v>1.8333351943516257E-3</v>
      </c>
      <c r="W215" s="2"/>
      <c r="X215" s="7">
        <f t="shared" si="65"/>
        <v>469.53999999999996</v>
      </c>
      <c r="Y215" s="2"/>
      <c r="Z215" s="6">
        <f t="shared" si="66"/>
        <v>6.1619907768302638E-2</v>
      </c>
    </row>
    <row r="216" spans="1:26" s="27" customFormat="1" outlineLevel="1" collapsed="1" x14ac:dyDescent="0.25">
      <c r="A216" s="28"/>
      <c r="B216" s="14" t="str">
        <f>CONCATENATE("     ","Inventory Adjustment                              ")</f>
        <v xml:space="preserve">     Inventory Adjustment                              </v>
      </c>
      <c r="C216" s="14"/>
      <c r="D216" s="1">
        <f>SUM(OSRRefD22_13x_0)</f>
        <v>4250</v>
      </c>
      <c r="E216" s="1"/>
      <c r="F216" s="5">
        <f t="shared" si="59"/>
        <v>1.326251342560333E-3</v>
      </c>
      <c r="G216" s="1"/>
      <c r="H216" s="1">
        <f>SUM(OSRRefH22_13x_0)</f>
        <v>10000</v>
      </c>
      <c r="I216" s="1"/>
      <c r="J216" s="5">
        <f t="shared" si="60"/>
        <v>2.9865320009920308E-3</v>
      </c>
      <c r="K216" s="1"/>
      <c r="L216" s="1">
        <f t="shared" si="61"/>
        <v>-5750</v>
      </c>
      <c r="M216" s="1"/>
      <c r="N216" s="5">
        <f t="shared" si="62"/>
        <v>-0.57499999999999996</v>
      </c>
      <c r="O216" s="14"/>
      <c r="P216" s="1">
        <f>SUM(OSRRefP22_13x_0)</f>
        <v>8400</v>
      </c>
      <c r="Q216" s="1"/>
      <c r="R216" s="5">
        <f t="shared" si="63"/>
        <v>2.1391482635868876E-3</v>
      </c>
      <c r="S216" s="1"/>
      <c r="T216" s="1">
        <f>SUM(OSRRefT22_13x_0)</f>
        <v>20000</v>
      </c>
      <c r="U216" s="1"/>
      <c r="V216" s="5">
        <f t="shared" si="64"/>
        <v>4.81194128654983E-3</v>
      </c>
      <c r="W216" s="1"/>
      <c r="X216" s="1">
        <f t="shared" si="65"/>
        <v>-11600</v>
      </c>
      <c r="Y216" s="1"/>
      <c r="Z216" s="5">
        <f t="shared" si="66"/>
        <v>-0.57999999999999996</v>
      </c>
    </row>
    <row r="217" spans="1:26" s="24" customFormat="1" hidden="1" outlineLevel="2" x14ac:dyDescent="0.25">
      <c r="A217" s="29"/>
      <c r="B217" s="11" t="str">
        <f>CONCATENATE("          ", "6408", " - ", "INVENTORY ADJUSTMENT")</f>
        <v xml:space="preserve">          6408 - INVENTORY ADJUSTMENT</v>
      </c>
      <c r="C217" s="11"/>
      <c r="D217" s="7">
        <v>4250</v>
      </c>
      <c r="E217" s="2"/>
      <c r="F217" s="6">
        <f t="shared" si="59"/>
        <v>1.326251342560333E-3</v>
      </c>
      <c r="G217" s="2"/>
      <c r="H217" s="7">
        <v>10000</v>
      </c>
      <c r="I217" s="2"/>
      <c r="J217" s="6">
        <f t="shared" si="60"/>
        <v>2.9865320009920308E-3</v>
      </c>
      <c r="K217" s="2"/>
      <c r="L217" s="7">
        <f t="shared" si="61"/>
        <v>-5750</v>
      </c>
      <c r="M217" s="2"/>
      <c r="N217" s="6">
        <f t="shared" si="62"/>
        <v>-0.57499999999999996</v>
      </c>
      <c r="O217" s="11"/>
      <c r="P217" s="7">
        <v>8400</v>
      </c>
      <c r="Q217" s="2"/>
      <c r="R217" s="6">
        <f t="shared" si="63"/>
        <v>2.1391482635868876E-3</v>
      </c>
      <c r="S217" s="2"/>
      <c r="T217" s="7">
        <v>20000</v>
      </c>
      <c r="U217" s="2"/>
      <c r="V217" s="6">
        <f t="shared" si="64"/>
        <v>4.81194128654983E-3</v>
      </c>
      <c r="W217" s="2"/>
      <c r="X217" s="7">
        <f t="shared" si="65"/>
        <v>-11600</v>
      </c>
      <c r="Y217" s="2"/>
      <c r="Z217" s="6">
        <f t="shared" si="66"/>
        <v>-0.57999999999999996</v>
      </c>
    </row>
    <row r="218" spans="1:26" s="27" customFormat="1" outlineLevel="1" collapsed="1" x14ac:dyDescent="0.25">
      <c r="A218" s="28"/>
      <c r="B218" s="14" t="str">
        <f>CONCATENATE("     ","Professional Services                             ")</f>
        <v xml:space="preserve">     Professional Services                             </v>
      </c>
      <c r="C218" s="14"/>
      <c r="D218" s="1">
        <f>SUM(OSRRefD22_14x_0)</f>
        <v>0</v>
      </c>
      <c r="E218" s="1"/>
      <c r="F218" s="5">
        <f t="shared" si="59"/>
        <v>0</v>
      </c>
      <c r="G218" s="1"/>
      <c r="H218" s="1">
        <f>SUM(OSRRefH22_14x_0)</f>
        <v>0</v>
      </c>
      <c r="I218" s="1"/>
      <c r="J218" s="5">
        <f t="shared" si="60"/>
        <v>0</v>
      </c>
      <c r="K218" s="1"/>
      <c r="L218" s="1">
        <f t="shared" si="61"/>
        <v>0</v>
      </c>
      <c r="M218" s="1"/>
      <c r="N218" s="5">
        <f t="shared" si="62"/>
        <v>0</v>
      </c>
      <c r="O218" s="14"/>
      <c r="P218" s="1">
        <f>SUM(OSRRefP22_14x_0)</f>
        <v>6158.41</v>
      </c>
      <c r="Q218" s="1"/>
      <c r="R218" s="5">
        <f t="shared" si="63"/>
        <v>1.568303816423348E-3</v>
      </c>
      <c r="S218" s="1"/>
      <c r="T218" s="1">
        <f>SUM(OSRRefT22_14x_0)</f>
        <v>8276.43</v>
      </c>
      <c r="U218" s="1"/>
      <c r="V218" s="5">
        <f t="shared" si="64"/>
        <v>1.9912847611119806E-3</v>
      </c>
      <c r="W218" s="1"/>
      <c r="X218" s="1">
        <f t="shared" si="65"/>
        <v>-2118.0200000000004</v>
      </c>
      <c r="Y218" s="1"/>
      <c r="Z218" s="5">
        <f t="shared" si="66"/>
        <v>-0.25590985485287743</v>
      </c>
    </row>
    <row r="219" spans="1:26" s="24" customFormat="1" hidden="1" outlineLevel="2" x14ac:dyDescent="0.25">
      <c r="A219" s="29"/>
      <c r="B219" s="11" t="str">
        <f>CONCATENATE("          ", "6336", " - ", "PROFESSIONAL SERVICES")</f>
        <v xml:space="preserve">          6336 - PROFESSIONAL SERVICES</v>
      </c>
      <c r="C219" s="11"/>
      <c r="D219" s="7"/>
      <c r="E219" s="2"/>
      <c r="F219" s="6">
        <f t="shared" si="59"/>
        <v>0</v>
      </c>
      <c r="G219" s="2"/>
      <c r="H219" s="7"/>
      <c r="I219" s="2"/>
      <c r="J219" s="6">
        <f t="shared" si="60"/>
        <v>0</v>
      </c>
      <c r="K219" s="2"/>
      <c r="L219" s="7">
        <f t="shared" si="61"/>
        <v>0</v>
      </c>
      <c r="M219" s="2"/>
      <c r="N219" s="6">
        <f t="shared" si="62"/>
        <v>0</v>
      </c>
      <c r="O219" s="11"/>
      <c r="P219" s="7">
        <v>6158.41</v>
      </c>
      <c r="Q219" s="2"/>
      <c r="R219" s="6">
        <f t="shared" si="63"/>
        <v>1.568303816423348E-3</v>
      </c>
      <c r="S219" s="2"/>
      <c r="T219" s="7">
        <v>8276.43</v>
      </c>
      <c r="U219" s="2"/>
      <c r="V219" s="6">
        <f t="shared" si="64"/>
        <v>1.9912847611119806E-3</v>
      </c>
      <c r="W219" s="2"/>
      <c r="X219" s="7">
        <f t="shared" si="65"/>
        <v>-2118.0200000000004</v>
      </c>
      <c r="Y219" s="2"/>
      <c r="Z219" s="6">
        <f t="shared" si="66"/>
        <v>-0.25590985485287743</v>
      </c>
    </row>
    <row r="220" spans="1:26" s="27" customFormat="1" outlineLevel="1" collapsed="1" x14ac:dyDescent="0.25">
      <c r="A220" s="28"/>
      <c r="B220" s="14" t="str">
        <f>CONCATENATE("     ","Rent                                              ")</f>
        <v xml:space="preserve">     Rent                                              </v>
      </c>
      <c r="C220" s="14"/>
      <c r="D220" s="1">
        <f>SUM(OSRRefD22_15x_0)</f>
        <v>6100</v>
      </c>
      <c r="E220" s="1"/>
      <c r="F220" s="5">
        <f t="shared" si="59"/>
        <v>1.9035607504983604E-3</v>
      </c>
      <c r="G220" s="1"/>
      <c r="H220" s="1">
        <f>SUM(OSRRefH22_15x_0)</f>
        <v>6900</v>
      </c>
      <c r="I220" s="1"/>
      <c r="J220" s="5">
        <f t="shared" si="60"/>
        <v>2.0607070806845009E-3</v>
      </c>
      <c r="K220" s="1"/>
      <c r="L220" s="1">
        <f t="shared" si="61"/>
        <v>-800</v>
      </c>
      <c r="M220" s="1"/>
      <c r="N220" s="5">
        <f t="shared" si="62"/>
        <v>-0.11594202898550725</v>
      </c>
      <c r="O220" s="14"/>
      <c r="P220" s="1">
        <f>SUM(OSRRefP22_15x_0)</f>
        <v>12200</v>
      </c>
      <c r="Q220" s="1"/>
      <c r="R220" s="5">
        <f t="shared" si="63"/>
        <v>3.1068581923523841E-3</v>
      </c>
      <c r="S220" s="1"/>
      <c r="T220" s="1">
        <f>SUM(OSRRefT22_15x_0)</f>
        <v>13101.08</v>
      </c>
      <c r="U220" s="1"/>
      <c r="V220" s="5">
        <f t="shared" si="64"/>
        <v>3.1520813875196125E-3</v>
      </c>
      <c r="W220" s="1"/>
      <c r="X220" s="1">
        <f t="shared" si="65"/>
        <v>-901.07999999999993</v>
      </c>
      <c r="Y220" s="1"/>
      <c r="Z220" s="5">
        <f t="shared" si="66"/>
        <v>-6.8779062489504675E-2</v>
      </c>
    </row>
    <row r="221" spans="1:26" s="24" customFormat="1" hidden="1" outlineLevel="2" x14ac:dyDescent="0.25">
      <c r="A221" s="29"/>
      <c r="B221" s="11" t="str">
        <f>CONCATENATE("          ", "6273", " - ", "RENT")</f>
        <v xml:space="preserve">          6273 - RENT</v>
      </c>
      <c r="C221" s="11"/>
      <c r="D221" s="7">
        <v>6100</v>
      </c>
      <c r="E221" s="2"/>
      <c r="F221" s="6">
        <f t="shared" si="59"/>
        <v>1.9035607504983604E-3</v>
      </c>
      <c r="G221" s="2"/>
      <c r="H221" s="7">
        <v>6900</v>
      </c>
      <c r="I221" s="2"/>
      <c r="J221" s="6">
        <f t="shared" si="60"/>
        <v>2.0607070806845009E-3</v>
      </c>
      <c r="K221" s="2"/>
      <c r="L221" s="7">
        <f t="shared" si="61"/>
        <v>-800</v>
      </c>
      <c r="M221" s="2"/>
      <c r="N221" s="6">
        <f t="shared" si="62"/>
        <v>-0.11594202898550725</v>
      </c>
      <c r="O221" s="11"/>
      <c r="P221" s="7">
        <v>12200</v>
      </c>
      <c r="Q221" s="2"/>
      <c r="R221" s="6">
        <f t="shared" si="63"/>
        <v>3.1068581923523841E-3</v>
      </c>
      <c r="S221" s="2"/>
      <c r="T221" s="7">
        <v>13101.08</v>
      </c>
      <c r="U221" s="2"/>
      <c r="V221" s="6">
        <f t="shared" si="64"/>
        <v>3.1520813875196125E-3</v>
      </c>
      <c r="W221" s="2"/>
      <c r="X221" s="7">
        <f t="shared" si="65"/>
        <v>-901.07999999999993</v>
      </c>
      <c r="Y221" s="2"/>
      <c r="Z221" s="6">
        <f t="shared" si="66"/>
        <v>-6.8779062489504675E-2</v>
      </c>
    </row>
    <row r="222" spans="1:26" s="27" customFormat="1" outlineLevel="1" collapsed="1" x14ac:dyDescent="0.25">
      <c r="A222" s="28"/>
      <c r="B222" s="14" t="str">
        <f>CONCATENATE("     ","Repair and Maintenance                            ")</f>
        <v xml:space="preserve">     Repair and Maintenance                            </v>
      </c>
      <c r="C222" s="14"/>
      <c r="D222" s="1">
        <f>SUM(OSRRefD22_16x_0)</f>
        <v>14932.49</v>
      </c>
      <c r="E222" s="1"/>
      <c r="F222" s="5">
        <f t="shared" si="59"/>
        <v>4.6598199788867641E-3</v>
      </c>
      <c r="G222" s="1"/>
      <c r="H222" s="1">
        <f>SUM(OSRRefH22_16x_0)</f>
        <v>17879.88</v>
      </c>
      <c r="I222" s="1"/>
      <c r="J222" s="5">
        <f t="shared" si="60"/>
        <v>5.3398833793897394E-3</v>
      </c>
      <c r="K222" s="1"/>
      <c r="L222" s="1">
        <f t="shared" si="61"/>
        <v>-2947.3900000000012</v>
      </c>
      <c r="M222" s="1"/>
      <c r="N222" s="5">
        <f t="shared" si="62"/>
        <v>-0.16484394749852913</v>
      </c>
      <c r="O222" s="14"/>
      <c r="P222" s="1">
        <f>SUM(OSRRefP22_16x_0)</f>
        <v>37677.800000000003</v>
      </c>
      <c r="Q222" s="1"/>
      <c r="R222" s="5">
        <f t="shared" si="63"/>
        <v>9.5950476721159573E-3</v>
      </c>
      <c r="S222" s="1"/>
      <c r="T222" s="1">
        <f>SUM(OSRRefT22_16x_0)</f>
        <v>75335.95</v>
      </c>
      <c r="U222" s="1"/>
      <c r="V222" s="5">
        <f t="shared" si="64"/>
        <v>1.8125608408322683E-2</v>
      </c>
      <c r="W222" s="1"/>
      <c r="X222" s="1">
        <f t="shared" si="65"/>
        <v>-37658.149999999994</v>
      </c>
      <c r="Y222" s="1"/>
      <c r="Z222" s="5">
        <f t="shared" si="66"/>
        <v>-0.49986958417594779</v>
      </c>
    </row>
    <row r="223" spans="1:26" s="24" customFormat="1" hidden="1" outlineLevel="2" x14ac:dyDescent="0.25">
      <c r="A223" s="29"/>
      <c r="B223" s="11" t="str">
        <f>CONCATENATE("          ", "6371", " - ", "COMPUTER SOFTWARE MAINTENANCE")</f>
        <v xml:space="preserve">          6371 - COMPUTER SOFTWARE MAINTENANCE</v>
      </c>
      <c r="C223" s="11"/>
      <c r="D223" s="7">
        <v>7887.25</v>
      </c>
      <c r="E223" s="2"/>
      <c r="F223" s="6">
        <f t="shared" si="59"/>
        <v>2.461288447437409E-3</v>
      </c>
      <c r="G223" s="2"/>
      <c r="H223" s="7">
        <v>1832.8</v>
      </c>
      <c r="I223" s="2"/>
      <c r="J223" s="6">
        <f t="shared" si="60"/>
        <v>5.4737158514181939E-4</v>
      </c>
      <c r="K223" s="2"/>
      <c r="L223" s="7">
        <f t="shared" si="61"/>
        <v>6054.45</v>
      </c>
      <c r="M223" s="2"/>
      <c r="N223" s="6">
        <f t="shared" si="62"/>
        <v>3.3033882584024443</v>
      </c>
      <c r="O223" s="11"/>
      <c r="P223" s="7">
        <v>8488.25</v>
      </c>
      <c r="Q223" s="2"/>
      <c r="R223" s="6">
        <f t="shared" si="63"/>
        <v>2.1616220533799283E-3</v>
      </c>
      <c r="S223" s="2"/>
      <c r="T223" s="7">
        <v>44163.38</v>
      </c>
      <c r="U223" s="2"/>
      <c r="V223" s="6">
        <f t="shared" si="64"/>
        <v>1.0625579578779451E-2</v>
      </c>
      <c r="W223" s="2"/>
      <c r="X223" s="7">
        <f t="shared" si="65"/>
        <v>-35675.129999999997</v>
      </c>
      <c r="Y223" s="2"/>
      <c r="Z223" s="6">
        <f t="shared" si="66"/>
        <v>-0.80779890488454464</v>
      </c>
    </row>
    <row r="224" spans="1:26" s="24" customFormat="1" hidden="1" outlineLevel="2" x14ac:dyDescent="0.25">
      <c r="A224" s="29"/>
      <c r="B224" s="11" t="str">
        <f>CONCATENATE("          ", "6373", " - ", "MAINTENANCE CONTRACTS")</f>
        <v xml:space="preserve">          6373 - MAINTENANCE CONTRACTS</v>
      </c>
      <c r="C224" s="11"/>
      <c r="D224" s="7">
        <v>5896.58</v>
      </c>
      <c r="E224" s="2"/>
      <c r="F224" s="6">
        <f t="shared" si="59"/>
        <v>1.8400816803563315E-3</v>
      </c>
      <c r="G224" s="2"/>
      <c r="H224" s="7">
        <v>10968.79</v>
      </c>
      <c r="I224" s="2"/>
      <c r="J224" s="6">
        <f t="shared" si="60"/>
        <v>3.2758642347161379E-3</v>
      </c>
      <c r="K224" s="2"/>
      <c r="L224" s="7">
        <f t="shared" si="61"/>
        <v>-5072.2100000000009</v>
      </c>
      <c r="M224" s="2"/>
      <c r="N224" s="6">
        <f t="shared" si="62"/>
        <v>-0.46242201737839822</v>
      </c>
      <c r="O224" s="11"/>
      <c r="P224" s="7">
        <v>12375.44</v>
      </c>
      <c r="Q224" s="2"/>
      <c r="R224" s="6">
        <f t="shared" si="63"/>
        <v>3.1515358318004419E-3</v>
      </c>
      <c r="S224" s="2"/>
      <c r="T224" s="7">
        <v>21090.73</v>
      </c>
      <c r="U224" s="2"/>
      <c r="V224" s="6">
        <f t="shared" si="64"/>
        <v>5.074367722523755E-3</v>
      </c>
      <c r="W224" s="2"/>
      <c r="X224" s="7">
        <f t="shared" si="65"/>
        <v>-8715.2899999999991</v>
      </c>
      <c r="Y224" s="2"/>
      <c r="Z224" s="6">
        <f t="shared" si="66"/>
        <v>-0.41322846577619643</v>
      </c>
    </row>
    <row r="225" spans="1:26" s="24" customFormat="1" hidden="1" outlineLevel="2" x14ac:dyDescent="0.25">
      <c r="A225" s="29"/>
      <c r="B225" s="11" t="str">
        <f>CONCATENATE("          ", "6375", " - ", "OUTSIDE REPAIRS &amp; MAINTENANCE")</f>
        <v xml:space="preserve">          6375 - OUTSIDE REPAIRS &amp; MAINTENANCE</v>
      </c>
      <c r="C225" s="11"/>
      <c r="D225" s="7">
        <v>1148.6600000000001</v>
      </c>
      <c r="E225" s="2"/>
      <c r="F225" s="6">
        <f t="shared" si="59"/>
        <v>3.5844985109302407E-4</v>
      </c>
      <c r="G225" s="2"/>
      <c r="H225" s="7">
        <v>5078.29</v>
      </c>
      <c r="I225" s="2"/>
      <c r="J225" s="6">
        <f t="shared" si="60"/>
        <v>1.5166475595317819E-3</v>
      </c>
      <c r="K225" s="2"/>
      <c r="L225" s="7">
        <f t="shared" si="61"/>
        <v>-3929.63</v>
      </c>
      <c r="M225" s="2"/>
      <c r="N225" s="6">
        <f t="shared" si="62"/>
        <v>-0.77380968790675608</v>
      </c>
      <c r="O225" s="11"/>
      <c r="P225" s="7">
        <v>16814.11</v>
      </c>
      <c r="Q225" s="2"/>
      <c r="R225" s="6">
        <f t="shared" si="63"/>
        <v>4.2818897869355858E-3</v>
      </c>
      <c r="S225" s="2"/>
      <c r="T225" s="7">
        <v>10081.84</v>
      </c>
      <c r="U225" s="2"/>
      <c r="V225" s="6">
        <f t="shared" si="64"/>
        <v>2.425661107019477E-3</v>
      </c>
      <c r="W225" s="2"/>
      <c r="X225" s="7">
        <f t="shared" si="65"/>
        <v>6732.27</v>
      </c>
      <c r="Y225" s="2"/>
      <c r="Z225" s="6">
        <f t="shared" si="66"/>
        <v>0.66776203550145607</v>
      </c>
    </row>
    <row r="226" spans="1:26" s="27" customFormat="1" outlineLevel="1" collapsed="1" x14ac:dyDescent="0.25">
      <c r="A226" s="28"/>
      <c r="B226" s="14" t="str">
        <f>CONCATENATE("     ","Royalty &amp; Commissions                             ")</f>
        <v xml:space="preserve">     Royalty &amp; Commissions                             </v>
      </c>
      <c r="C226" s="14"/>
      <c r="D226" s="1">
        <f>SUM(OSRRefD22_17x_0)</f>
        <v>3785.57</v>
      </c>
      <c r="E226" s="1"/>
      <c r="F226" s="5">
        <f t="shared" ref="F226:F229" si="67">IF(D$12=0,0,D226/D$12)</f>
        <v>1.1813217164367343E-3</v>
      </c>
      <c r="G226" s="1"/>
      <c r="H226" s="1">
        <f>SUM(OSRRefH22_17x_0)</f>
        <v>3974.3799999999997</v>
      </c>
      <c r="I226" s="1"/>
      <c r="J226" s="5">
        <f t="shared" ref="J226:J229" si="68">IF(H$12=0,0,H226/H$12)</f>
        <v>1.1869613054102705E-3</v>
      </c>
      <c r="K226" s="1"/>
      <c r="L226" s="1">
        <f t="shared" ref="L226:L229" si="69">+D226-H226</f>
        <v>-188.80999999999949</v>
      </c>
      <c r="M226" s="1"/>
      <c r="N226" s="5">
        <f t="shared" ref="N226:N229" si="70">IF(H226=0,0,L226/H226)</f>
        <v>-4.7506780931868497E-2</v>
      </c>
      <c r="O226" s="14"/>
      <c r="P226" s="1">
        <f>SUM(OSRRefP22_17x_0)</f>
        <v>8871.619999999999</v>
      </c>
      <c r="Q226" s="1"/>
      <c r="R226" s="5">
        <f t="shared" ref="R226:R229" si="71">IF(P$12=0,0,P226/P$12)</f>
        <v>2.2592512521669881E-3</v>
      </c>
      <c r="S226" s="1"/>
      <c r="T226" s="1">
        <f>SUM(OSRRefT22_17x_0)</f>
        <v>11311.61</v>
      </c>
      <c r="U226" s="1"/>
      <c r="V226" s="5">
        <f t="shared" ref="V226:V229" si="72">IF(T$12=0,0,T226/T$12)</f>
        <v>2.7215401588174966E-3</v>
      </c>
      <c r="W226" s="1"/>
      <c r="X226" s="1">
        <f t="shared" ref="X226:X229" si="73">+P226-T226</f>
        <v>-2439.9900000000016</v>
      </c>
      <c r="Y226" s="1"/>
      <c r="Z226" s="5">
        <f t="shared" ref="Z226:Z229" si="74">IF(T226=0,0,X226/T226)</f>
        <v>-0.2157066942725219</v>
      </c>
    </row>
    <row r="227" spans="1:26" s="24" customFormat="1" hidden="1" outlineLevel="2" x14ac:dyDescent="0.25">
      <c r="A227" s="29"/>
      <c r="B227" s="11" t="str">
        <f>CONCATENATE("          ", "6253", " - ", "ROYALTY DUE ATHLETICS-LRG")</f>
        <v xml:space="preserve">          6253 - ROYALTY DUE ATHLETICS-LRG</v>
      </c>
      <c r="C227" s="11"/>
      <c r="D227" s="7"/>
      <c r="E227" s="2"/>
      <c r="F227" s="6">
        <f t="shared" si="67"/>
        <v>0</v>
      </c>
      <c r="G227" s="2"/>
      <c r="H227" s="7"/>
      <c r="I227" s="2"/>
      <c r="J227" s="6">
        <f t="shared" si="68"/>
        <v>0</v>
      </c>
      <c r="K227" s="2"/>
      <c r="L227" s="7">
        <f t="shared" si="69"/>
        <v>0</v>
      </c>
      <c r="M227" s="2"/>
      <c r="N227" s="6">
        <f t="shared" si="70"/>
        <v>0</v>
      </c>
      <c r="O227" s="11"/>
      <c r="P227" s="7">
        <v>4366.95</v>
      </c>
      <c r="Q227" s="2"/>
      <c r="R227" s="6">
        <f t="shared" si="71"/>
        <v>1.112089703532233E-3</v>
      </c>
      <c r="S227" s="2"/>
      <c r="T227" s="7">
        <v>6645.39</v>
      </c>
      <c r="U227" s="2"/>
      <c r="V227" s="6">
        <f t="shared" si="72"/>
        <v>1.5988613253112688E-3</v>
      </c>
      <c r="W227" s="2"/>
      <c r="X227" s="7">
        <f t="shared" si="73"/>
        <v>-2278.4400000000005</v>
      </c>
      <c r="Y227" s="2"/>
      <c r="Z227" s="6">
        <f t="shared" si="74"/>
        <v>-0.34286023845101649</v>
      </c>
    </row>
    <row r="228" spans="1:26" s="24" customFormat="1" hidden="1" outlineLevel="2" x14ac:dyDescent="0.25">
      <c r="A228" s="29"/>
      <c r="B228" s="11" t="str">
        <f>CONCATENATE("          ", "6254", " - ", "ROYALTY &amp; COMMISSIONS")</f>
        <v xml:space="preserve">          6254 - ROYALTY &amp; COMMISSIONS</v>
      </c>
      <c r="C228" s="11"/>
      <c r="D228" s="7">
        <v>136.4</v>
      </c>
      <c r="E228" s="2"/>
      <c r="F228" s="6">
        <f t="shared" si="67"/>
        <v>4.2564866617701043E-5</v>
      </c>
      <c r="G228" s="2"/>
      <c r="H228" s="7">
        <v>269.14</v>
      </c>
      <c r="I228" s="2"/>
      <c r="J228" s="6">
        <f t="shared" si="68"/>
        <v>8.0379522274699505E-5</v>
      </c>
      <c r="K228" s="2"/>
      <c r="L228" s="7">
        <f t="shared" si="69"/>
        <v>-132.73999999999998</v>
      </c>
      <c r="M228" s="2"/>
      <c r="N228" s="6">
        <f t="shared" si="70"/>
        <v>-0.49320056476183394</v>
      </c>
      <c r="O228" s="11"/>
      <c r="P228" s="7">
        <v>250.49</v>
      </c>
      <c r="Q228" s="2"/>
      <c r="R228" s="6">
        <f t="shared" si="71"/>
        <v>6.3789910541176131E-5</v>
      </c>
      <c r="S228" s="2"/>
      <c r="T228" s="7">
        <v>269.14</v>
      </c>
      <c r="U228" s="2"/>
      <c r="V228" s="6">
        <f t="shared" si="72"/>
        <v>6.4754293893101069E-5</v>
      </c>
      <c r="W228" s="2"/>
      <c r="X228" s="7">
        <f t="shared" si="73"/>
        <v>-18.649999999999977</v>
      </c>
      <c r="Y228" s="2"/>
      <c r="Z228" s="6">
        <f t="shared" si="74"/>
        <v>-6.9294790815189036E-2</v>
      </c>
    </row>
    <row r="229" spans="1:26" s="24" customFormat="1" hidden="1" outlineLevel="2" x14ac:dyDescent="0.25">
      <c r="A229" s="29"/>
      <c r="B229" s="11" t="str">
        <f>CONCATENATE("          ", "6259", " - ", "ROYALTY &amp; COMMISSIONS")</f>
        <v xml:space="preserve">          6259 - ROYALTY &amp; COMMISSIONS</v>
      </c>
      <c r="C229" s="11"/>
      <c r="D229" s="7">
        <v>3649.17</v>
      </c>
      <c r="E229" s="2"/>
      <c r="F229" s="6">
        <f t="shared" si="67"/>
        <v>1.1387568498190332E-3</v>
      </c>
      <c r="G229" s="2"/>
      <c r="H229" s="7">
        <v>3705.24</v>
      </c>
      <c r="I229" s="2"/>
      <c r="J229" s="6">
        <f t="shared" si="68"/>
        <v>1.1065817831355711E-3</v>
      </c>
      <c r="K229" s="2"/>
      <c r="L229" s="7">
        <f t="shared" si="69"/>
        <v>-56.069999999999709</v>
      </c>
      <c r="M229" s="2"/>
      <c r="N229" s="6">
        <f t="shared" si="70"/>
        <v>-1.5132622987984507E-2</v>
      </c>
      <c r="O229" s="11"/>
      <c r="P229" s="7">
        <v>4254.18</v>
      </c>
      <c r="Q229" s="2"/>
      <c r="R229" s="6">
        <f t="shared" si="71"/>
        <v>1.0833716380935794E-3</v>
      </c>
      <c r="S229" s="2"/>
      <c r="T229" s="7">
        <v>4397.08</v>
      </c>
      <c r="U229" s="2"/>
      <c r="V229" s="6">
        <f t="shared" si="72"/>
        <v>1.0579245396131263E-3</v>
      </c>
      <c r="W229" s="2"/>
      <c r="X229" s="7">
        <f t="shared" si="73"/>
        <v>-142.89999999999964</v>
      </c>
      <c r="Y229" s="2"/>
      <c r="Z229" s="6">
        <f t="shared" si="74"/>
        <v>-3.2498840139365132E-2</v>
      </c>
    </row>
    <row r="230" spans="1:26" s="27" customFormat="1" outlineLevel="1" collapsed="1" x14ac:dyDescent="0.25">
      <c r="A230" s="28"/>
      <c r="B230" s="14" t="str">
        <f>CONCATENATE("     ","Services                                          ")</f>
        <v xml:space="preserve">     Services                                          </v>
      </c>
      <c r="C230" s="14"/>
      <c r="D230" s="1">
        <f>SUM(OSRRefD22_18x_0)</f>
        <v>4676.59</v>
      </c>
      <c r="E230" s="1"/>
      <c r="F230" s="5">
        <f t="shared" ref="F230:F234" si="75">IF(D$12=0,0,D230/D$12)</f>
        <v>1.4593726508480538E-3</v>
      </c>
      <c r="G230" s="1"/>
      <c r="H230" s="1">
        <f>SUM(OSRRefH22_18x_0)</f>
        <v>4286.17</v>
      </c>
      <c r="I230" s="1"/>
      <c r="J230" s="5">
        <f t="shared" ref="J230:J234" si="76">IF(H$12=0,0,H230/H$12)</f>
        <v>1.2800783866692012E-3</v>
      </c>
      <c r="K230" s="1"/>
      <c r="L230" s="1">
        <f t="shared" ref="L230:L234" si="77">+D230-H230</f>
        <v>390.42000000000007</v>
      </c>
      <c r="M230" s="1"/>
      <c r="N230" s="5">
        <f t="shared" ref="N230:N234" si="78">IF(H230=0,0,L230/H230)</f>
        <v>9.108831427591535E-2</v>
      </c>
      <c r="O230" s="14"/>
      <c r="P230" s="1">
        <f>SUM(OSRRefP22_18x_0)</f>
        <v>9305.67</v>
      </c>
      <c r="Q230" s="1"/>
      <c r="R230" s="5">
        <f t="shared" ref="R230:R234" si="79">IF(P$12=0,0,P230/P$12)</f>
        <v>2.3697866454776896E-3</v>
      </c>
      <c r="S230" s="1"/>
      <c r="T230" s="1">
        <f>SUM(OSRRefT22_18x_0)</f>
        <v>8697.9499999999989</v>
      </c>
      <c r="U230" s="1"/>
      <c r="V230" s="5">
        <f t="shared" ref="V230:V234" si="80">IF(T$12=0,0,T230/T$12)</f>
        <v>2.0927012356673044E-3</v>
      </c>
      <c r="W230" s="1"/>
      <c r="X230" s="1">
        <f t="shared" ref="X230:X234" si="81">+P230-T230</f>
        <v>607.72000000000116</v>
      </c>
      <c r="Y230" s="1"/>
      <c r="Z230" s="5">
        <f t="shared" ref="Z230:Z234" si="82">IF(T230=0,0,X230/T230)</f>
        <v>6.9869337027690576E-2</v>
      </c>
    </row>
    <row r="231" spans="1:26" s="24" customFormat="1" hidden="1" outlineLevel="2" x14ac:dyDescent="0.25">
      <c r="A231" s="29"/>
      <c r="B231" s="11" t="str">
        <f>CONCATENATE("          ", "6282", " - ", "JANITORIAL/EXTERMINATOR EXPENS")</f>
        <v xml:space="preserve">          6282 - JANITORIAL/EXTERMINATOR EXPENS</v>
      </c>
      <c r="C231" s="11"/>
      <c r="D231" s="7">
        <v>266.5</v>
      </c>
      <c r="E231" s="2"/>
      <c r="F231" s="6">
        <f t="shared" si="75"/>
        <v>8.3163760657018536E-5</v>
      </c>
      <c r="G231" s="2"/>
      <c r="H231" s="7">
        <v>194.5</v>
      </c>
      <c r="I231" s="2"/>
      <c r="J231" s="6">
        <f t="shared" si="76"/>
        <v>5.8088047419294996E-5</v>
      </c>
      <c r="K231" s="2"/>
      <c r="L231" s="7">
        <f t="shared" si="77"/>
        <v>72</v>
      </c>
      <c r="M231" s="2"/>
      <c r="N231" s="6">
        <f t="shared" si="78"/>
        <v>0.37017994858611825</v>
      </c>
      <c r="O231" s="11"/>
      <c r="P231" s="7">
        <v>533</v>
      </c>
      <c r="Q231" s="2"/>
      <c r="R231" s="6">
        <f t="shared" si="79"/>
        <v>1.3573405053473941E-4</v>
      </c>
      <c r="S231" s="2"/>
      <c r="T231" s="7">
        <v>430.5</v>
      </c>
      <c r="U231" s="2"/>
      <c r="V231" s="6">
        <f t="shared" si="80"/>
        <v>1.0357703619298509E-4</v>
      </c>
      <c r="W231" s="2"/>
      <c r="X231" s="7">
        <f t="shared" si="81"/>
        <v>102.5</v>
      </c>
      <c r="Y231" s="2"/>
      <c r="Z231" s="6">
        <f t="shared" si="82"/>
        <v>0.23809523809523808</v>
      </c>
    </row>
    <row r="232" spans="1:26" s="24" customFormat="1" hidden="1" outlineLevel="2" x14ac:dyDescent="0.25">
      <c r="A232" s="29"/>
      <c r="B232" s="11" t="str">
        <f>CONCATENATE("          ", "6283", " - ", "PLANT SERVICE")</f>
        <v xml:space="preserve">          6283 - PLANT SERVICE</v>
      </c>
      <c r="C232" s="11"/>
      <c r="D232" s="7">
        <v>180.66</v>
      </c>
      <c r="E232" s="2"/>
      <c r="F232" s="6">
        <f t="shared" si="75"/>
        <v>5.6376604128694069E-5</v>
      </c>
      <c r="G232" s="2"/>
      <c r="H232" s="7">
        <v>173</v>
      </c>
      <c r="I232" s="2"/>
      <c r="J232" s="6">
        <f t="shared" si="76"/>
        <v>5.1667003617162131E-5</v>
      </c>
      <c r="K232" s="2"/>
      <c r="L232" s="7">
        <f t="shared" si="77"/>
        <v>7.6599999999999966</v>
      </c>
      <c r="M232" s="2"/>
      <c r="N232" s="6">
        <f t="shared" si="78"/>
        <v>4.4277456647398822E-2</v>
      </c>
      <c r="O232" s="11"/>
      <c r="P232" s="7">
        <v>361.32</v>
      </c>
      <c r="Q232" s="2"/>
      <c r="R232" s="6">
        <f t="shared" si="79"/>
        <v>9.2013934595144549E-5</v>
      </c>
      <c r="S232" s="2"/>
      <c r="T232" s="7">
        <v>346</v>
      </c>
      <c r="U232" s="2"/>
      <c r="V232" s="6">
        <f t="shared" si="80"/>
        <v>8.3246584257312068E-5</v>
      </c>
      <c r="W232" s="2"/>
      <c r="X232" s="7">
        <f t="shared" si="81"/>
        <v>15.319999999999993</v>
      </c>
      <c r="Y232" s="2"/>
      <c r="Z232" s="6">
        <f t="shared" si="82"/>
        <v>4.4277456647398822E-2</v>
      </c>
    </row>
    <row r="233" spans="1:26" s="24" customFormat="1" hidden="1" outlineLevel="2" x14ac:dyDescent="0.25">
      <c r="A233" s="29"/>
      <c r="B233" s="11" t="str">
        <f>CONCATENATE("          ", "6284", " - ", "TRASH REMOVAL EXPENSE")</f>
        <v xml:space="preserve">          6284 - TRASH REMOVAL EXPENSE</v>
      </c>
      <c r="C233" s="11"/>
      <c r="D233" s="7">
        <v>134.82</v>
      </c>
      <c r="E233" s="2"/>
      <c r="F233" s="6">
        <f t="shared" si="75"/>
        <v>4.2071813177408023E-5</v>
      </c>
      <c r="G233" s="2"/>
      <c r="H233" s="7">
        <v>121.46</v>
      </c>
      <c r="I233" s="2"/>
      <c r="J233" s="6">
        <f t="shared" si="76"/>
        <v>3.6274417684049205E-5</v>
      </c>
      <c r="K233" s="2"/>
      <c r="L233" s="7">
        <f t="shared" si="77"/>
        <v>13.36</v>
      </c>
      <c r="M233" s="2"/>
      <c r="N233" s="6">
        <f t="shared" si="78"/>
        <v>0.10999506010209123</v>
      </c>
      <c r="O233" s="11"/>
      <c r="P233" s="7">
        <v>269.64</v>
      </c>
      <c r="Q233" s="2"/>
      <c r="R233" s="6">
        <f t="shared" si="79"/>
        <v>6.8666659261139084E-5</v>
      </c>
      <c r="S233" s="2"/>
      <c r="T233" s="7">
        <v>242.92</v>
      </c>
      <c r="U233" s="2"/>
      <c r="V233" s="6">
        <f t="shared" si="80"/>
        <v>5.8445838866434236E-5</v>
      </c>
      <c r="W233" s="2"/>
      <c r="X233" s="7">
        <f t="shared" si="81"/>
        <v>26.72</v>
      </c>
      <c r="Y233" s="2"/>
      <c r="Z233" s="6">
        <f t="shared" si="82"/>
        <v>0.10999506010209123</v>
      </c>
    </row>
    <row r="234" spans="1:26" s="24" customFormat="1" hidden="1" outlineLevel="2" x14ac:dyDescent="0.25">
      <c r="A234" s="29"/>
      <c r="B234" s="11" t="str">
        <f>CONCATENATE("          ", "6285", " - ", "JANITORIAL SERVICES")</f>
        <v xml:space="preserve">          6285 - JANITORIAL SERVICES</v>
      </c>
      <c r="C234" s="11"/>
      <c r="D234" s="7">
        <v>4094.61</v>
      </c>
      <c r="E234" s="2"/>
      <c r="F234" s="6">
        <f t="shared" si="75"/>
        <v>1.2777604728849332E-3</v>
      </c>
      <c r="G234" s="2"/>
      <c r="H234" s="7">
        <v>3797.21</v>
      </c>
      <c r="I234" s="2"/>
      <c r="J234" s="6">
        <f t="shared" si="76"/>
        <v>1.1340489179486948E-3</v>
      </c>
      <c r="K234" s="2"/>
      <c r="L234" s="7">
        <f t="shared" si="77"/>
        <v>297.40000000000009</v>
      </c>
      <c r="M234" s="2"/>
      <c r="N234" s="6">
        <f t="shared" si="78"/>
        <v>7.8320661749021012E-2</v>
      </c>
      <c r="O234" s="11"/>
      <c r="P234" s="7">
        <v>8141.71</v>
      </c>
      <c r="Q234" s="2"/>
      <c r="R234" s="6">
        <f t="shared" si="79"/>
        <v>2.0733720010866663E-3</v>
      </c>
      <c r="S234" s="2"/>
      <c r="T234" s="7">
        <v>7678.53</v>
      </c>
      <c r="U234" s="2"/>
      <c r="V234" s="6">
        <f t="shared" si="80"/>
        <v>1.8474317763505733E-3</v>
      </c>
      <c r="W234" s="2"/>
      <c r="X234" s="7">
        <f t="shared" si="81"/>
        <v>463.18000000000029</v>
      </c>
      <c r="Y234" s="2"/>
      <c r="Z234" s="6">
        <f t="shared" si="82"/>
        <v>6.0321441734290326E-2</v>
      </c>
    </row>
    <row r="235" spans="1:26" s="27" customFormat="1" outlineLevel="1" collapsed="1" x14ac:dyDescent="0.25">
      <c r="A235" s="28"/>
      <c r="B235" s="14" t="str">
        <f>CONCATENATE("     ","Subscriptions &amp; Dues                              ")</f>
        <v xml:space="preserve">     Subscriptions &amp; Dues                              </v>
      </c>
      <c r="C235" s="14"/>
      <c r="D235" s="1">
        <f>SUM(OSRRefD22_19x_0)</f>
        <v>-4470.0200000000004</v>
      </c>
      <c r="E235" s="1"/>
      <c r="F235" s="5">
        <f t="shared" ref="F235:F237" si="83">IF(D$12=0,0,D235/D$12)</f>
        <v>-1.3949105944168331E-3</v>
      </c>
      <c r="G235" s="1"/>
      <c r="H235" s="1">
        <f>SUM(OSRRefH22_19x_0)</f>
        <v>685.58</v>
      </c>
      <c r="I235" s="1"/>
      <c r="J235" s="5">
        <f t="shared" ref="J235:J237" si="84">IF(H$12=0,0,H235/H$12)</f>
        <v>2.0475066092401164E-4</v>
      </c>
      <c r="K235" s="1"/>
      <c r="L235" s="1">
        <f t="shared" ref="L235:L237" si="85">+D235-H235</f>
        <v>-5155.6000000000004</v>
      </c>
      <c r="M235" s="1"/>
      <c r="N235" s="5">
        <f t="shared" ref="N235:N237" si="86">IF(H235=0,0,L235/H235)</f>
        <v>-7.5200560109688146</v>
      </c>
      <c r="O235" s="14"/>
      <c r="P235" s="1">
        <f>SUM(OSRRefP22_19x_0)</f>
        <v>-4007.7699999999995</v>
      </c>
      <c r="Q235" s="1"/>
      <c r="R235" s="5">
        <f t="shared" ref="R235:R237" si="87">IF(P$12=0,0,P235/P$12)</f>
        <v>-1.0206207424232881E-3</v>
      </c>
      <c r="S235" s="1"/>
      <c r="T235" s="1">
        <f>SUM(OSRRefT22_19x_0)</f>
        <v>1434.77</v>
      </c>
      <c r="U235" s="1"/>
      <c r="V235" s="5">
        <f t="shared" ref="V235:V237" si="88">IF(T$12=0,0,T235/T$12)</f>
        <v>3.4520144998515499E-4</v>
      </c>
      <c r="W235" s="1"/>
      <c r="X235" s="1">
        <f t="shared" ref="X235:X237" si="89">+P235-T235</f>
        <v>-5442.5399999999991</v>
      </c>
      <c r="Y235" s="1"/>
      <c r="Z235" s="5">
        <f t="shared" ref="Z235:Z237" si="90">IF(T235=0,0,X235/T235)</f>
        <v>-3.7933187897711824</v>
      </c>
    </row>
    <row r="236" spans="1:26" s="24" customFormat="1" hidden="1" outlineLevel="2" x14ac:dyDescent="0.25">
      <c r="A236" s="29"/>
      <c r="B236" s="11" t="str">
        <f>CONCATENATE("          ", "6258", " - ", "MEMBERSHIP DUES")</f>
        <v xml:space="preserve">          6258 - MEMBERSHIP DUES</v>
      </c>
      <c r="C236" s="11"/>
      <c r="D236" s="7">
        <v>-4630</v>
      </c>
      <c r="E236" s="2"/>
      <c r="F236" s="6">
        <f t="shared" si="83"/>
        <v>-1.4448338155421982E-3</v>
      </c>
      <c r="G236" s="2"/>
      <c r="H236" s="7">
        <v>272.10000000000002</v>
      </c>
      <c r="I236" s="2"/>
      <c r="J236" s="6">
        <f t="shared" si="84"/>
        <v>8.1263535746993153E-5</v>
      </c>
      <c r="K236" s="2"/>
      <c r="L236" s="7">
        <f t="shared" si="85"/>
        <v>-4902.1000000000004</v>
      </c>
      <c r="M236" s="2"/>
      <c r="N236" s="6">
        <f t="shared" si="86"/>
        <v>-18.015803013597942</v>
      </c>
      <c r="O236" s="11"/>
      <c r="P236" s="7">
        <v>-4341.1499999999996</v>
      </c>
      <c r="Q236" s="2"/>
      <c r="R236" s="6">
        <f t="shared" si="87"/>
        <v>-1.1055194624369304E-3</v>
      </c>
      <c r="S236" s="2"/>
      <c r="T236" s="7">
        <v>522.1</v>
      </c>
      <c r="U236" s="2"/>
      <c r="V236" s="6">
        <f t="shared" si="88"/>
        <v>1.2561572728538332E-4</v>
      </c>
      <c r="W236" s="2"/>
      <c r="X236" s="7">
        <f t="shared" si="89"/>
        <v>-4863.25</v>
      </c>
      <c r="Y236" s="2"/>
      <c r="Z236" s="6">
        <f t="shared" si="90"/>
        <v>-9.3147864393794286</v>
      </c>
    </row>
    <row r="237" spans="1:26" s="24" customFormat="1" hidden="1" outlineLevel="2" x14ac:dyDescent="0.25">
      <c r="A237" s="29"/>
      <c r="B237" s="11" t="str">
        <f>CONCATENATE("          ", "6275", " - ", "SUBSCRIPTIONS")</f>
        <v xml:space="preserve">          6275 - SUBSCRIPTIONS</v>
      </c>
      <c r="C237" s="11"/>
      <c r="D237" s="7">
        <v>159.97999999999999</v>
      </c>
      <c r="E237" s="2"/>
      <c r="F237" s="6">
        <f t="shared" si="83"/>
        <v>4.9923221125365193E-5</v>
      </c>
      <c r="G237" s="2"/>
      <c r="H237" s="7">
        <v>413.48</v>
      </c>
      <c r="I237" s="2"/>
      <c r="J237" s="6">
        <f t="shared" si="84"/>
        <v>1.234871251770185E-4</v>
      </c>
      <c r="K237" s="2"/>
      <c r="L237" s="7">
        <f t="shared" si="85"/>
        <v>-253.50000000000003</v>
      </c>
      <c r="M237" s="2"/>
      <c r="N237" s="6">
        <f t="shared" si="86"/>
        <v>-0.61308890393731263</v>
      </c>
      <c r="O237" s="11"/>
      <c r="P237" s="7">
        <v>333.38</v>
      </c>
      <c r="Q237" s="2"/>
      <c r="R237" s="6">
        <f t="shared" si="87"/>
        <v>8.4898720013642444E-5</v>
      </c>
      <c r="S237" s="2"/>
      <c r="T237" s="7">
        <v>912.67</v>
      </c>
      <c r="U237" s="2"/>
      <c r="V237" s="6">
        <f t="shared" si="88"/>
        <v>2.1958572269977167E-4</v>
      </c>
      <c r="W237" s="2"/>
      <c r="X237" s="7">
        <f t="shared" si="89"/>
        <v>-579.29</v>
      </c>
      <c r="Y237" s="2"/>
      <c r="Z237" s="6">
        <f t="shared" si="90"/>
        <v>-0.63472010693898118</v>
      </c>
    </row>
    <row r="238" spans="1:26" s="27" customFormat="1" outlineLevel="1" collapsed="1" x14ac:dyDescent="0.25">
      <c r="A238" s="28"/>
      <c r="B238" s="14" t="str">
        <f>CONCATENATE("     ","Supplies                                          ")</f>
        <v xml:space="preserve">     Supplies                                          </v>
      </c>
      <c r="C238" s="14"/>
      <c r="D238" s="1">
        <f>SUM(OSRRefD22_20x_0)</f>
        <v>5591.47</v>
      </c>
      <c r="E238" s="1"/>
      <c r="F238" s="5">
        <f t="shared" ref="F238:F244" si="91">IF(D$12=0,0,D238/D$12)</f>
        <v>1.7448693163260767E-3</v>
      </c>
      <c r="G238" s="1"/>
      <c r="H238" s="1">
        <f>SUM(OSRRefH22_20x_0)</f>
        <v>7931.8700000000008</v>
      </c>
      <c r="I238" s="1"/>
      <c r="J238" s="5">
        <f t="shared" ref="J238:J244" si="92">IF(H$12=0,0,H238/H$12)</f>
        <v>2.3688783582708661E-3</v>
      </c>
      <c r="K238" s="1"/>
      <c r="L238" s="1">
        <f t="shared" ref="L238:L244" si="93">+D238-H238</f>
        <v>-2340.4000000000005</v>
      </c>
      <c r="M238" s="1"/>
      <c r="N238" s="5">
        <f t="shared" ref="N238:N244" si="94">IF(H238=0,0,L238/H238)</f>
        <v>-0.29506282881590346</v>
      </c>
      <c r="O238" s="14"/>
      <c r="P238" s="1">
        <f>SUM(OSRRefP22_20x_0)</f>
        <v>13212.26</v>
      </c>
      <c r="Q238" s="1"/>
      <c r="R238" s="5">
        <f t="shared" ref="R238:R244" si="95">IF(P$12=0,0,P238/P$12)</f>
        <v>3.3646408377450586E-3</v>
      </c>
      <c r="S238" s="1"/>
      <c r="T238" s="1">
        <f>SUM(OSRRefT22_20x_0)</f>
        <v>32391.09</v>
      </c>
      <c r="U238" s="1"/>
      <c r="V238" s="5">
        <f t="shared" ref="V238:V244" si="96">IF(T$12=0,0,T238/T$12)</f>
        <v>7.7932011643675669E-3</v>
      </c>
      <c r="W238" s="1"/>
      <c r="X238" s="1">
        <f t="shared" ref="X238:X244" si="97">+P238-T238</f>
        <v>-19178.830000000002</v>
      </c>
      <c r="Y238" s="1"/>
      <c r="Z238" s="5">
        <f t="shared" ref="Z238:Z244" si="98">IF(T238=0,0,X238/T238)</f>
        <v>-0.59210202558790093</v>
      </c>
    </row>
    <row r="239" spans="1:26" s="24" customFormat="1" hidden="1" outlineLevel="2" x14ac:dyDescent="0.25">
      <c r="A239" s="29"/>
      <c r="B239" s="11" t="str">
        <f>CONCATENATE("          ", "6234", " - ", "EXPENDABLE SUPPLIES &amp; EQUIPMEN")</f>
        <v xml:space="preserve">          6234 - EXPENDABLE SUPPLIES &amp; EQUIPMEN</v>
      </c>
      <c r="C239" s="11"/>
      <c r="D239" s="7">
        <v>1014.02</v>
      </c>
      <c r="E239" s="2"/>
      <c r="F239" s="6">
        <f t="shared" si="91"/>
        <v>3.1643420856071269E-4</v>
      </c>
      <c r="G239" s="2"/>
      <c r="H239" s="7">
        <v>856.68</v>
      </c>
      <c r="I239" s="2"/>
      <c r="J239" s="6">
        <f t="shared" si="92"/>
        <v>2.5585022346098524E-4</v>
      </c>
      <c r="K239" s="2"/>
      <c r="L239" s="7">
        <f t="shared" si="93"/>
        <v>157.34000000000003</v>
      </c>
      <c r="M239" s="2"/>
      <c r="N239" s="6">
        <f t="shared" si="94"/>
        <v>0.18366251108932161</v>
      </c>
      <c r="O239" s="11"/>
      <c r="P239" s="7">
        <v>1716.1</v>
      </c>
      <c r="Q239" s="2"/>
      <c r="R239" s="6">
        <f t="shared" si="95"/>
        <v>4.3702289704064968E-4</v>
      </c>
      <c r="S239" s="2"/>
      <c r="T239" s="7">
        <v>1213.8900000000001</v>
      </c>
      <c r="U239" s="2"/>
      <c r="V239" s="6">
        <f t="shared" si="96"/>
        <v>2.9205837041649873E-4</v>
      </c>
      <c r="W239" s="2"/>
      <c r="X239" s="7">
        <f t="shared" si="97"/>
        <v>502.20999999999981</v>
      </c>
      <c r="Y239" s="2"/>
      <c r="Z239" s="6">
        <f t="shared" si="98"/>
        <v>0.41371952977617393</v>
      </c>
    </row>
    <row r="240" spans="1:26" s="24" customFormat="1" hidden="1" outlineLevel="2" x14ac:dyDescent="0.25">
      <c r="A240" s="29"/>
      <c r="B240" s="11" t="str">
        <f>CONCATENATE("          ", "6237", " - ", "JANITORIAL SUPPLIES")</f>
        <v xml:space="preserve">          6237 - JANITORIAL SUPPLIES</v>
      </c>
      <c r="C240" s="11"/>
      <c r="D240" s="7">
        <v>326.57</v>
      </c>
      <c r="E240" s="2"/>
      <c r="F240" s="6">
        <f t="shared" si="91"/>
        <v>1.0190915316233599E-4</v>
      </c>
      <c r="G240" s="2"/>
      <c r="H240" s="7">
        <v>464.32</v>
      </c>
      <c r="I240" s="2"/>
      <c r="J240" s="6">
        <f t="shared" si="92"/>
        <v>1.3867065387006196E-4</v>
      </c>
      <c r="K240" s="2"/>
      <c r="L240" s="7">
        <f t="shared" si="93"/>
        <v>-137.75</v>
      </c>
      <c r="M240" s="2"/>
      <c r="N240" s="6">
        <f t="shared" si="94"/>
        <v>-0.29667039972432807</v>
      </c>
      <c r="O240" s="11"/>
      <c r="P240" s="7">
        <v>775.4</v>
      </c>
      <c r="Q240" s="2"/>
      <c r="R240" s="6">
        <f t="shared" si="95"/>
        <v>1.974637575696753E-4</v>
      </c>
      <c r="S240" s="2"/>
      <c r="T240" s="7">
        <v>1187.02</v>
      </c>
      <c r="U240" s="2"/>
      <c r="V240" s="6">
        <f t="shared" si="96"/>
        <v>2.85593527298019E-4</v>
      </c>
      <c r="W240" s="2"/>
      <c r="X240" s="7">
        <f t="shared" si="97"/>
        <v>-411.62</v>
      </c>
      <c r="Y240" s="2"/>
      <c r="Z240" s="6">
        <f t="shared" si="98"/>
        <v>-0.34676753550909001</v>
      </c>
    </row>
    <row r="241" spans="1:26" s="24" customFormat="1" hidden="1" outlineLevel="2" x14ac:dyDescent="0.25">
      <c r="A241" s="29"/>
      <c r="B241" s="11" t="str">
        <f>CONCATENATE("          ", "6241", " - ", "OFFICE EXPENSE")</f>
        <v xml:space="preserve">          6241 - OFFICE EXPENSE</v>
      </c>
      <c r="C241" s="11"/>
      <c r="D241" s="7">
        <v>4708.0200000000004</v>
      </c>
      <c r="E241" s="2"/>
      <c r="F241" s="6">
        <f t="shared" si="91"/>
        <v>1.4691806696002117E-3</v>
      </c>
      <c r="G241" s="2"/>
      <c r="H241" s="7">
        <v>4093.86</v>
      </c>
      <c r="I241" s="2"/>
      <c r="J241" s="6">
        <f t="shared" si="92"/>
        <v>1.2226443897581235E-3</v>
      </c>
      <c r="K241" s="2"/>
      <c r="L241" s="7">
        <f t="shared" si="93"/>
        <v>614.16000000000031</v>
      </c>
      <c r="M241" s="2"/>
      <c r="N241" s="6">
        <f t="shared" si="94"/>
        <v>0.15001978572789501</v>
      </c>
      <c r="O241" s="11"/>
      <c r="P241" s="7">
        <v>7198.51</v>
      </c>
      <c r="Q241" s="2"/>
      <c r="R241" s="6">
        <f t="shared" si="95"/>
        <v>1.8331762103467675E-3</v>
      </c>
      <c r="S241" s="2"/>
      <c r="T241" s="7">
        <v>7362</v>
      </c>
      <c r="U241" s="2"/>
      <c r="V241" s="6">
        <f t="shared" si="96"/>
        <v>1.7712755875789925E-3</v>
      </c>
      <c r="W241" s="2"/>
      <c r="X241" s="7">
        <f t="shared" si="97"/>
        <v>-163.48999999999978</v>
      </c>
      <c r="Y241" s="2"/>
      <c r="Z241" s="6">
        <f t="shared" si="98"/>
        <v>-2.2207280630263487E-2</v>
      </c>
    </row>
    <row r="242" spans="1:26" s="24" customFormat="1" hidden="1" outlineLevel="2" x14ac:dyDescent="0.25">
      <c r="A242" s="29"/>
      <c r="B242" s="11" t="str">
        <f>CONCATENATE("          ", "6243", " - ", "PAPER SUPPLIES")</f>
        <v xml:space="preserve">          6243 - PAPER SUPPLIES</v>
      </c>
      <c r="C242" s="11"/>
      <c r="D242" s="7">
        <v>1496.95</v>
      </c>
      <c r="E242" s="2"/>
      <c r="F242" s="6">
        <f t="shared" si="91"/>
        <v>4.6713692876369193E-4</v>
      </c>
      <c r="G242" s="2"/>
      <c r="H242" s="7">
        <v>-154.74</v>
      </c>
      <c r="I242" s="2"/>
      <c r="J242" s="6">
        <f t="shared" si="92"/>
        <v>-4.6213596183350686E-5</v>
      </c>
      <c r="K242" s="2"/>
      <c r="L242" s="7">
        <f t="shared" si="93"/>
        <v>1651.69</v>
      </c>
      <c r="M242" s="2"/>
      <c r="N242" s="6">
        <f t="shared" si="94"/>
        <v>-10.67396923872302</v>
      </c>
      <c r="O242" s="11"/>
      <c r="P242" s="7">
        <v>2658.29</v>
      </c>
      <c r="Q242" s="2"/>
      <c r="R242" s="6">
        <f t="shared" si="95"/>
        <v>6.7696148066790328E-4</v>
      </c>
      <c r="S242" s="2"/>
      <c r="T242" s="7">
        <v>2282.29</v>
      </c>
      <c r="U242" s="2"/>
      <c r="V242" s="6">
        <f t="shared" si="96"/>
        <v>5.4911227394399058E-4</v>
      </c>
      <c r="W242" s="2"/>
      <c r="X242" s="7">
        <f t="shared" si="97"/>
        <v>376</v>
      </c>
      <c r="Y242" s="2"/>
      <c r="Z242" s="6">
        <f t="shared" si="98"/>
        <v>0.16474681131670385</v>
      </c>
    </row>
    <row r="243" spans="1:26" s="24" customFormat="1" hidden="1" outlineLevel="2" x14ac:dyDescent="0.25">
      <c r="A243" s="29"/>
      <c r="B243" s="11" t="str">
        <f>CONCATENATE("          ", "6245", " - ", "PRINTING")</f>
        <v xml:space="preserve">          6245 - PRINTING</v>
      </c>
      <c r="C243" s="11"/>
      <c r="D243" s="7">
        <v>4985.1099999999997</v>
      </c>
      <c r="E243" s="2"/>
      <c r="F243" s="6">
        <f t="shared" si="91"/>
        <v>1.555649136543751E-3</v>
      </c>
      <c r="G243" s="2"/>
      <c r="H243" s="7">
        <v>517.21</v>
      </c>
      <c r="I243" s="2"/>
      <c r="J243" s="6">
        <f t="shared" si="92"/>
        <v>1.5446642162330882E-4</v>
      </c>
      <c r="K243" s="2"/>
      <c r="L243" s="7">
        <f t="shared" si="93"/>
        <v>4467.8999999999996</v>
      </c>
      <c r="M243" s="2"/>
      <c r="N243" s="6">
        <f t="shared" si="94"/>
        <v>8.6384640668200525</v>
      </c>
      <c r="O243" s="11"/>
      <c r="P243" s="7">
        <v>4985.1099999999997</v>
      </c>
      <c r="Q243" s="2"/>
      <c r="R243" s="6">
        <f t="shared" si="95"/>
        <v>1.2695106428916225E-3</v>
      </c>
      <c r="S243" s="2"/>
      <c r="T243" s="7">
        <v>1775.45</v>
      </c>
      <c r="U243" s="2"/>
      <c r="V243" s="6">
        <f t="shared" si="96"/>
        <v>4.2716805786024482E-4</v>
      </c>
      <c r="W243" s="2"/>
      <c r="X243" s="7">
        <f t="shared" si="97"/>
        <v>3209.66</v>
      </c>
      <c r="Y243" s="2"/>
      <c r="Z243" s="6">
        <f t="shared" si="98"/>
        <v>1.8078008392238587</v>
      </c>
    </row>
    <row r="244" spans="1:26" s="24" customFormat="1" hidden="1" outlineLevel="2" x14ac:dyDescent="0.25">
      <c r="A244" s="29"/>
      <c r="B244" s="11" t="str">
        <f>CONCATENATE("          ", "6247", " - ", "STORE SUPPLIES")</f>
        <v xml:space="preserve">          6247 - STORE SUPPLIES</v>
      </c>
      <c r="C244" s="11"/>
      <c r="D244" s="7">
        <v>-6939.2</v>
      </c>
      <c r="E244" s="2"/>
      <c r="F244" s="6">
        <f t="shared" si="91"/>
        <v>-2.1654407803046267E-3</v>
      </c>
      <c r="G244" s="2"/>
      <c r="H244" s="7">
        <v>2154.54</v>
      </c>
      <c r="I244" s="2"/>
      <c r="J244" s="6">
        <f t="shared" si="92"/>
        <v>6.4346026574173699E-4</v>
      </c>
      <c r="K244" s="2"/>
      <c r="L244" s="7">
        <f t="shared" si="93"/>
        <v>-9093.74</v>
      </c>
      <c r="M244" s="2"/>
      <c r="N244" s="6">
        <f t="shared" si="94"/>
        <v>-4.2207338921533131</v>
      </c>
      <c r="O244" s="11"/>
      <c r="P244" s="7">
        <v>-4121.1499999999996</v>
      </c>
      <c r="Q244" s="2"/>
      <c r="R244" s="6">
        <f t="shared" si="95"/>
        <v>-1.0494941507715595E-3</v>
      </c>
      <c r="S244" s="2"/>
      <c r="T244" s="7">
        <v>18570.439999999999</v>
      </c>
      <c r="U244" s="2"/>
      <c r="V244" s="6">
        <f t="shared" si="96"/>
        <v>4.4679933472698214E-3</v>
      </c>
      <c r="W244" s="2"/>
      <c r="X244" s="7">
        <f t="shared" si="97"/>
        <v>-22691.589999999997</v>
      </c>
      <c r="Y244" s="2"/>
      <c r="Z244" s="6">
        <f t="shared" si="98"/>
        <v>-1.2219198898895232</v>
      </c>
    </row>
    <row r="245" spans="1:26" s="27" customFormat="1" outlineLevel="1" collapsed="1" x14ac:dyDescent="0.25">
      <c r="A245" s="28"/>
      <c r="B245" s="14" t="str">
        <f>CONCATENATE("     ","Telephone/Data Lines                              ")</f>
        <v xml:space="preserve">     Telephone/Data Lines                              </v>
      </c>
      <c r="C245" s="14"/>
      <c r="D245" s="1">
        <f>SUM(OSRRefD22_21x_0)</f>
        <v>2882.35</v>
      </c>
      <c r="E245" s="1"/>
      <c r="F245" s="5">
        <f t="shared" ref="F245:F247" si="99">IF(D$12=0,0,D245/D$12)</f>
        <v>8.9946366052441791E-4</v>
      </c>
      <c r="G245" s="1"/>
      <c r="H245" s="1">
        <f>SUM(OSRRefH22_21x_0)</f>
        <v>3336.13</v>
      </c>
      <c r="I245" s="1"/>
      <c r="J245" s="5">
        <f t="shared" ref="J245:J247" si="100">IF(H$12=0,0,H245/H$12)</f>
        <v>9.9634590044695424E-4</v>
      </c>
      <c r="K245" s="1"/>
      <c r="L245" s="1">
        <f t="shared" ref="L245:L247" si="101">+D245-H245</f>
        <v>-453.7800000000002</v>
      </c>
      <c r="M245" s="1"/>
      <c r="N245" s="5">
        <f t="shared" ref="N245:N247" si="102">IF(H245=0,0,L245/H245)</f>
        <v>-0.13601987932124954</v>
      </c>
      <c r="O245" s="14"/>
      <c r="P245" s="1">
        <f>SUM(OSRRefP22_21x_0)</f>
        <v>4848.67</v>
      </c>
      <c r="Q245" s="1"/>
      <c r="R245" s="5">
        <f t="shared" ref="R245:R247" si="103">IF(P$12=0,0,P245/P$12)</f>
        <v>1.2347647632387898E-3</v>
      </c>
      <c r="S245" s="1"/>
      <c r="T245" s="1">
        <f>SUM(OSRRefT22_21x_0)</f>
        <v>5977</v>
      </c>
      <c r="U245" s="1"/>
      <c r="V245" s="5">
        <f t="shared" ref="V245:V247" si="104">IF(T$12=0,0,T245/T$12)</f>
        <v>1.4380486534854168E-3</v>
      </c>
      <c r="W245" s="1"/>
      <c r="X245" s="1">
        <f t="shared" ref="X245:X247" si="105">+P245-T245</f>
        <v>-1128.33</v>
      </c>
      <c r="Y245" s="1"/>
      <c r="Z245" s="5">
        <f t="shared" ref="Z245:Z247" si="106">IF(T245=0,0,X245/T245)</f>
        <v>-0.18877865149740672</v>
      </c>
    </row>
    <row r="246" spans="1:26" s="24" customFormat="1" hidden="1" outlineLevel="2" x14ac:dyDescent="0.25">
      <c r="A246" s="29"/>
      <c r="B246" s="11" t="str">
        <f>CONCATENATE("          ", "6303", " - ", "DATA PHONE LINES")</f>
        <v xml:space="preserve">          6303 - DATA PHONE LINES</v>
      </c>
      <c r="C246" s="11"/>
      <c r="D246" s="7">
        <v>295</v>
      </c>
      <c r="E246" s="2"/>
      <c r="F246" s="6">
        <f t="shared" si="99"/>
        <v>9.205744613065842E-5</v>
      </c>
      <c r="G246" s="2"/>
      <c r="H246" s="7">
        <v>590</v>
      </c>
      <c r="I246" s="2"/>
      <c r="J246" s="6">
        <f t="shared" si="100"/>
        <v>1.7620538805852981E-4</v>
      </c>
      <c r="K246" s="2"/>
      <c r="L246" s="7">
        <f t="shared" si="101"/>
        <v>-295</v>
      </c>
      <c r="M246" s="2"/>
      <c r="N246" s="6">
        <f t="shared" si="102"/>
        <v>-0.5</v>
      </c>
      <c r="O246" s="11"/>
      <c r="P246" s="7">
        <v>590</v>
      </c>
      <c r="Q246" s="2"/>
      <c r="R246" s="6">
        <f t="shared" si="103"/>
        <v>1.5024969946622187E-4</v>
      </c>
      <c r="S246" s="2"/>
      <c r="T246" s="7">
        <v>590</v>
      </c>
      <c r="U246" s="2"/>
      <c r="V246" s="6">
        <f t="shared" si="104"/>
        <v>1.4195226795322001E-4</v>
      </c>
      <c r="W246" s="2"/>
      <c r="X246" s="7">
        <f t="shared" si="105"/>
        <v>0</v>
      </c>
      <c r="Y246" s="2"/>
      <c r="Z246" s="6">
        <f t="shared" si="106"/>
        <v>0</v>
      </c>
    </row>
    <row r="247" spans="1:26" s="24" customFormat="1" hidden="1" outlineLevel="2" x14ac:dyDescent="0.25">
      <c r="A247" s="29"/>
      <c r="B247" s="11" t="str">
        <f>CONCATENATE("          ", "6309", " - ", "TELEPHONE")</f>
        <v xml:space="preserve">          6309 - TELEPHONE</v>
      </c>
      <c r="C247" s="11"/>
      <c r="D247" s="7">
        <v>2587.35</v>
      </c>
      <c r="E247" s="2"/>
      <c r="F247" s="6">
        <f t="shared" si="99"/>
        <v>8.0740621439375946E-4</v>
      </c>
      <c r="G247" s="2"/>
      <c r="H247" s="7">
        <v>2746.13</v>
      </c>
      <c r="I247" s="2"/>
      <c r="J247" s="6">
        <f t="shared" si="100"/>
        <v>8.2014051238842457E-4</v>
      </c>
      <c r="K247" s="2"/>
      <c r="L247" s="7">
        <f t="shared" si="101"/>
        <v>-158.7800000000002</v>
      </c>
      <c r="M247" s="2"/>
      <c r="N247" s="6">
        <f t="shared" si="102"/>
        <v>-5.7819549693568839E-2</v>
      </c>
      <c r="O247" s="11"/>
      <c r="P247" s="7">
        <v>4258.67</v>
      </c>
      <c r="Q247" s="2"/>
      <c r="R247" s="6">
        <f t="shared" si="103"/>
        <v>1.0845150637725678E-3</v>
      </c>
      <c r="S247" s="2"/>
      <c r="T247" s="7">
        <v>5387</v>
      </c>
      <c r="U247" s="2"/>
      <c r="V247" s="6">
        <f t="shared" si="104"/>
        <v>1.2960963855321967E-3</v>
      </c>
      <c r="W247" s="2"/>
      <c r="X247" s="7">
        <f t="shared" si="105"/>
        <v>-1128.33</v>
      </c>
      <c r="Y247" s="2"/>
      <c r="Z247" s="6">
        <f t="shared" si="106"/>
        <v>-0.20945424169296453</v>
      </c>
    </row>
    <row r="248" spans="1:26" s="27" customFormat="1" outlineLevel="1" collapsed="1" x14ac:dyDescent="0.25">
      <c r="A248" s="28"/>
      <c r="B248" s="14" t="str">
        <f>CONCATENATE("     ","Training                                          ")</f>
        <v xml:space="preserve">     Training                                          </v>
      </c>
      <c r="C248" s="14"/>
      <c r="D248" s="1">
        <f>SUM(OSRRefD22_22x_0)</f>
        <v>6530.86</v>
      </c>
      <c r="E248" s="1"/>
      <c r="F248" s="5">
        <f t="shared" ref="F248:F253" si="107">IF(D$12=0,0,D248/D$12)</f>
        <v>2.03801455131143E-3</v>
      </c>
      <c r="G248" s="1"/>
      <c r="H248" s="1">
        <f>SUM(OSRRefH22_22x_0)</f>
        <v>-1834.05</v>
      </c>
      <c r="I248" s="1"/>
      <c r="J248" s="5">
        <f t="shared" ref="J248:J253" si="108">IF(H$12=0,0,H248/H$12)</f>
        <v>-5.4774490164194336E-4</v>
      </c>
      <c r="K248" s="1"/>
      <c r="L248" s="1">
        <f t="shared" ref="L248:L253" si="109">+D248-H248</f>
        <v>8364.91</v>
      </c>
      <c r="M248" s="1"/>
      <c r="N248" s="5">
        <f t="shared" ref="N248:N253" si="110">IF(H248=0,0,L248/H248)</f>
        <v>-4.5608952863880488</v>
      </c>
      <c r="O248" s="14"/>
      <c r="P248" s="1">
        <f>SUM(OSRRefP22_22x_0)</f>
        <v>7322.53</v>
      </c>
      <c r="Q248" s="1"/>
      <c r="R248" s="5">
        <f t="shared" ref="R248:R253" si="111">IF(P$12=0,0,P248/P$12)</f>
        <v>1.8647592064955823E-3</v>
      </c>
      <c r="S248" s="1"/>
      <c r="T248" s="1">
        <f>SUM(OSRRefT22_22x_0)</f>
        <v>-1854.91</v>
      </c>
      <c r="U248" s="1"/>
      <c r="V248" s="5">
        <f t="shared" ref="V248:V253" si="112">IF(T$12=0,0,T248/T$12)</f>
        <v>-4.4628590059170732E-4</v>
      </c>
      <c r="W248" s="1"/>
      <c r="X248" s="1">
        <f t="shared" ref="X248:X253" si="113">+P248-T248</f>
        <v>9177.44</v>
      </c>
      <c r="Y248" s="1"/>
      <c r="Z248" s="5">
        <f t="shared" ref="Z248:Z253" si="114">IF(T248=0,0,X248/T248)</f>
        <v>-4.947647055652296</v>
      </c>
    </row>
    <row r="249" spans="1:26" s="24" customFormat="1" hidden="1" outlineLevel="2" x14ac:dyDescent="0.25">
      <c r="A249" s="29"/>
      <c r="B249" s="11" t="str">
        <f>CONCATENATE("          ", "6376", " - ", "TRAINING")</f>
        <v xml:space="preserve">          6376 - TRAINING</v>
      </c>
      <c r="C249" s="11"/>
      <c r="D249" s="7">
        <v>6530.86</v>
      </c>
      <c r="E249" s="2"/>
      <c r="F249" s="6">
        <f t="shared" si="107"/>
        <v>2.03801455131143E-3</v>
      </c>
      <c r="G249" s="2"/>
      <c r="H249" s="7">
        <v>-1834.05</v>
      </c>
      <c r="I249" s="2"/>
      <c r="J249" s="6">
        <f t="shared" si="108"/>
        <v>-5.4774490164194336E-4</v>
      </c>
      <c r="K249" s="2"/>
      <c r="L249" s="7">
        <f t="shared" si="109"/>
        <v>8364.91</v>
      </c>
      <c r="M249" s="2"/>
      <c r="N249" s="6">
        <f t="shared" si="110"/>
        <v>-4.5608952863880488</v>
      </c>
      <c r="O249" s="11"/>
      <c r="P249" s="7">
        <v>7322.53</v>
      </c>
      <c r="Q249" s="2"/>
      <c r="R249" s="6">
        <f t="shared" si="111"/>
        <v>1.8647592064955823E-3</v>
      </c>
      <c r="S249" s="2"/>
      <c r="T249" s="7">
        <v>-1854.91</v>
      </c>
      <c r="U249" s="2"/>
      <c r="V249" s="6">
        <f t="shared" si="112"/>
        <v>-4.4628590059170732E-4</v>
      </c>
      <c r="W249" s="2"/>
      <c r="X249" s="7">
        <f t="shared" si="113"/>
        <v>9177.44</v>
      </c>
      <c r="Y249" s="2"/>
      <c r="Z249" s="6">
        <f t="shared" si="114"/>
        <v>-4.947647055652296</v>
      </c>
    </row>
    <row r="250" spans="1:26" s="27" customFormat="1" outlineLevel="1" collapsed="1" x14ac:dyDescent="0.25">
      <c r="A250" s="28"/>
      <c r="B250" s="14" t="str">
        <f>CONCATENATE("     ","Travel                                            ")</f>
        <v xml:space="preserve">     Travel                                            </v>
      </c>
      <c r="C250" s="14"/>
      <c r="D250" s="1">
        <f>SUM(OSRRefD22_23x_0)</f>
        <v>184.35</v>
      </c>
      <c r="E250" s="1"/>
      <c r="F250" s="5">
        <f t="shared" si="107"/>
        <v>5.7528102353175857E-5</v>
      </c>
      <c r="G250" s="1"/>
      <c r="H250" s="1">
        <f>SUM(OSRRefH22_23x_0)</f>
        <v>359.96999999999997</v>
      </c>
      <c r="I250" s="1"/>
      <c r="J250" s="5">
        <f t="shared" si="108"/>
        <v>1.0750619243971012E-4</v>
      </c>
      <c r="K250" s="1"/>
      <c r="L250" s="1">
        <f t="shared" si="109"/>
        <v>-175.61999999999998</v>
      </c>
      <c r="M250" s="1"/>
      <c r="N250" s="5">
        <f t="shared" si="110"/>
        <v>-0.48787398949912492</v>
      </c>
      <c r="O250" s="14"/>
      <c r="P250" s="1">
        <f>SUM(OSRRefP22_23x_0)</f>
        <v>406.03</v>
      </c>
      <c r="Q250" s="1"/>
      <c r="R250" s="5">
        <f t="shared" si="111"/>
        <v>1.0339980588859332E-4</v>
      </c>
      <c r="S250" s="1"/>
      <c r="T250" s="1">
        <f>SUM(OSRRefT22_23x_0)</f>
        <v>604.22</v>
      </c>
      <c r="U250" s="1"/>
      <c r="V250" s="5">
        <f t="shared" si="112"/>
        <v>1.4537355820795693E-4</v>
      </c>
      <c r="W250" s="1"/>
      <c r="X250" s="1">
        <f t="shared" si="113"/>
        <v>-198.19000000000005</v>
      </c>
      <c r="Y250" s="1"/>
      <c r="Z250" s="5">
        <f t="shared" si="114"/>
        <v>-0.3280096653536792</v>
      </c>
    </row>
    <row r="251" spans="1:26" s="24" customFormat="1" hidden="1" outlineLevel="2" x14ac:dyDescent="0.25">
      <c r="A251" s="29"/>
      <c r="B251" s="11" t="str">
        <f>CONCATENATE("          ", "6292", " - ", "TRAVEL/CONFERENCE")</f>
        <v xml:space="preserve">          6292 - TRAVEL/CONFERENCE</v>
      </c>
      <c r="C251" s="11"/>
      <c r="D251" s="7">
        <v>100.16</v>
      </c>
      <c r="E251" s="2"/>
      <c r="F251" s="6">
        <f t="shared" si="107"/>
        <v>3.1255843404904223E-5</v>
      </c>
      <c r="G251" s="2"/>
      <c r="H251" s="7">
        <v>229.64</v>
      </c>
      <c r="I251" s="2"/>
      <c r="J251" s="6">
        <f t="shared" si="108"/>
        <v>6.8582720870780984E-5</v>
      </c>
      <c r="K251" s="2"/>
      <c r="L251" s="7">
        <f t="shared" si="109"/>
        <v>-129.47999999999999</v>
      </c>
      <c r="M251" s="2"/>
      <c r="N251" s="6">
        <f t="shared" si="110"/>
        <v>-0.5638390524298903</v>
      </c>
      <c r="O251" s="11"/>
      <c r="P251" s="7">
        <v>250.64</v>
      </c>
      <c r="Q251" s="2"/>
      <c r="R251" s="6">
        <f t="shared" si="111"/>
        <v>6.3828109617311606E-5</v>
      </c>
      <c r="S251" s="2"/>
      <c r="T251" s="7">
        <v>353.48</v>
      </c>
      <c r="U251" s="2"/>
      <c r="V251" s="6">
        <f t="shared" si="112"/>
        <v>8.5046250298481701E-5</v>
      </c>
      <c r="W251" s="2"/>
      <c r="X251" s="7">
        <f t="shared" si="113"/>
        <v>-102.84000000000003</v>
      </c>
      <c r="Y251" s="2"/>
      <c r="Z251" s="6">
        <f t="shared" si="114"/>
        <v>-0.29093583795405686</v>
      </c>
    </row>
    <row r="252" spans="1:26" s="24" customFormat="1" hidden="1" outlineLevel="2" x14ac:dyDescent="0.25">
      <c r="A252" s="29"/>
      <c r="B252" s="11" t="str">
        <f>CONCATENATE("          ", "6294", " - ", "TRAVEL OPERATIONAL")</f>
        <v xml:space="preserve">          6294 - TRAVEL OPERATIONAL</v>
      </c>
      <c r="C252" s="11"/>
      <c r="D252" s="7">
        <v>68.67</v>
      </c>
      <c r="E252" s="2"/>
      <c r="F252" s="6">
        <f t="shared" si="107"/>
        <v>2.1429101104380725E-5</v>
      </c>
      <c r="G252" s="2"/>
      <c r="H252" s="7">
        <v>102.9</v>
      </c>
      <c r="I252" s="2"/>
      <c r="J252" s="6">
        <f t="shared" si="108"/>
        <v>3.0731414290207996E-5</v>
      </c>
      <c r="K252" s="2"/>
      <c r="L252" s="7">
        <f t="shared" si="109"/>
        <v>-34.230000000000004</v>
      </c>
      <c r="M252" s="2"/>
      <c r="N252" s="6">
        <f t="shared" si="110"/>
        <v>-0.33265306122448984</v>
      </c>
      <c r="O252" s="11"/>
      <c r="P252" s="7">
        <v>68.67</v>
      </c>
      <c r="Q252" s="2"/>
      <c r="R252" s="6">
        <f t="shared" si="111"/>
        <v>1.7487537054822808E-5</v>
      </c>
      <c r="S252" s="2"/>
      <c r="T252" s="7">
        <v>199.96</v>
      </c>
      <c r="U252" s="2"/>
      <c r="V252" s="6">
        <f t="shared" si="112"/>
        <v>4.8109788982925206E-5</v>
      </c>
      <c r="W252" s="2"/>
      <c r="X252" s="7">
        <f t="shared" si="113"/>
        <v>-131.29000000000002</v>
      </c>
      <c r="Y252" s="2"/>
      <c r="Z252" s="6">
        <f t="shared" si="114"/>
        <v>-0.65658131626325278</v>
      </c>
    </row>
    <row r="253" spans="1:26" s="24" customFormat="1" hidden="1" outlineLevel="2" x14ac:dyDescent="0.25">
      <c r="A253" s="29"/>
      <c r="B253" s="11" t="str">
        <f>CONCATENATE("          ", "6298", " - ", "VEHICLE MILEAGE")</f>
        <v xml:space="preserve">          6298 - VEHICLE MILEAGE</v>
      </c>
      <c r="C253" s="11"/>
      <c r="D253" s="7">
        <v>15.52</v>
      </c>
      <c r="E253" s="2"/>
      <c r="F253" s="6">
        <f t="shared" si="107"/>
        <v>4.8431578438909102E-6</v>
      </c>
      <c r="G253" s="2"/>
      <c r="H253" s="7">
        <v>27.43</v>
      </c>
      <c r="I253" s="2"/>
      <c r="J253" s="6">
        <f t="shared" si="108"/>
        <v>8.1920572787211394E-6</v>
      </c>
      <c r="K253" s="2"/>
      <c r="L253" s="7">
        <f t="shared" si="109"/>
        <v>-11.91</v>
      </c>
      <c r="M253" s="2"/>
      <c r="N253" s="6">
        <f t="shared" si="110"/>
        <v>-0.43419613561793657</v>
      </c>
      <c r="O253" s="11"/>
      <c r="P253" s="7">
        <v>86.72</v>
      </c>
      <c r="Q253" s="2"/>
      <c r="R253" s="6">
        <f t="shared" si="111"/>
        <v>2.2084159216458916E-5</v>
      </c>
      <c r="S253" s="2"/>
      <c r="T253" s="7">
        <v>50.78</v>
      </c>
      <c r="U253" s="2"/>
      <c r="V253" s="6">
        <f t="shared" si="112"/>
        <v>1.2217518926550019E-5</v>
      </c>
      <c r="W253" s="2"/>
      <c r="X253" s="7">
        <f t="shared" si="113"/>
        <v>35.94</v>
      </c>
      <c r="Y253" s="2"/>
      <c r="Z253" s="6">
        <f t="shared" si="114"/>
        <v>0.70775896022055917</v>
      </c>
    </row>
    <row r="254" spans="1:26" s="27" customFormat="1" outlineLevel="1" collapsed="1" x14ac:dyDescent="0.25">
      <c r="A254" s="28"/>
      <c r="B254" s="14" t="str">
        <f>CONCATENATE("     ","Utilities                                         ")</f>
        <v xml:space="preserve">     Utilities                                         </v>
      </c>
      <c r="C254" s="14"/>
      <c r="D254" s="1">
        <f>SUM(OSRRefD22_24x_0)</f>
        <v>53.78</v>
      </c>
      <c r="E254" s="1"/>
      <c r="F254" s="5">
        <f t="shared" ref="F254:F255" si="115">IF(D$12=0,0,D254/D$12)</f>
        <v>1.6782540518328168E-5</v>
      </c>
      <c r="G254" s="1"/>
      <c r="H254" s="1">
        <f>SUM(OSRRefH22_24x_0)</f>
        <v>6026.11</v>
      </c>
      <c r="I254" s="1"/>
      <c r="J254" s="5">
        <f t="shared" ref="J254:J255" si="116">IF(H$12=0,0,H254/H$12)</f>
        <v>1.7997170356498083E-3</v>
      </c>
      <c r="K254" s="1"/>
      <c r="L254" s="1">
        <f t="shared" ref="L254:L255" si="117">+D254-H254</f>
        <v>-5972.33</v>
      </c>
      <c r="M254" s="1"/>
      <c r="N254" s="5">
        <f t="shared" ref="N254:N255" si="118">IF(H254=0,0,L254/H254)</f>
        <v>-0.99107550310233306</v>
      </c>
      <c r="O254" s="14"/>
      <c r="P254" s="1">
        <f>SUM(OSRRefP22_24x_0)</f>
        <v>5689.78</v>
      </c>
      <c r="Q254" s="1"/>
      <c r="R254" s="5">
        <f t="shared" ref="R254:R255" si="119">IF(P$12=0,0,P254/P$12)</f>
        <v>1.448962262760881E-3</v>
      </c>
      <c r="S254" s="1"/>
      <c r="T254" s="1">
        <f>SUM(OSRRefT22_24x_0)</f>
        <v>12041.36</v>
      </c>
      <c r="U254" s="1"/>
      <c r="V254" s="5">
        <f t="shared" ref="V254:V255" si="120">IF(T$12=0,0,T254/T$12)</f>
        <v>2.8971158665104836E-3</v>
      </c>
      <c r="W254" s="1"/>
      <c r="X254" s="1">
        <f t="shared" ref="X254:X255" si="121">+P254-T254</f>
        <v>-6351.5800000000008</v>
      </c>
      <c r="Y254" s="1"/>
      <c r="Z254" s="5">
        <f t="shared" ref="Z254:Z255" si="122">IF(T254=0,0,X254/T254)</f>
        <v>-0.5274802846190132</v>
      </c>
    </row>
    <row r="255" spans="1:26" s="24" customFormat="1" hidden="1" outlineLevel="2" x14ac:dyDescent="0.25">
      <c r="A255" s="29"/>
      <c r="B255" s="11" t="str">
        <f>CONCATENATE("          ", "6274", " - ", "UTILITIES")</f>
        <v xml:space="preserve">          6274 - UTILITIES</v>
      </c>
      <c r="C255" s="11"/>
      <c r="D255" s="7">
        <v>53.78</v>
      </c>
      <c r="E255" s="2"/>
      <c r="F255" s="6">
        <f t="shared" si="115"/>
        <v>1.6782540518328168E-5</v>
      </c>
      <c r="G255" s="2"/>
      <c r="H255" s="7">
        <v>6026.11</v>
      </c>
      <c r="I255" s="2"/>
      <c r="J255" s="6">
        <f t="shared" si="116"/>
        <v>1.7997170356498083E-3</v>
      </c>
      <c r="K255" s="2"/>
      <c r="L255" s="7">
        <f t="shared" si="117"/>
        <v>-5972.33</v>
      </c>
      <c r="M255" s="2"/>
      <c r="N255" s="6">
        <f t="shared" si="118"/>
        <v>-0.99107550310233306</v>
      </c>
      <c r="O255" s="11"/>
      <c r="P255" s="7">
        <v>5689.78</v>
      </c>
      <c r="Q255" s="2"/>
      <c r="R255" s="6">
        <f t="shared" si="119"/>
        <v>1.448962262760881E-3</v>
      </c>
      <c r="S255" s="2"/>
      <c r="T255" s="7">
        <v>12041.36</v>
      </c>
      <c r="U255" s="2"/>
      <c r="V255" s="6">
        <f t="shared" si="120"/>
        <v>2.8971158665104836E-3</v>
      </c>
      <c r="W255" s="2"/>
      <c r="X255" s="7">
        <f t="shared" si="121"/>
        <v>-6351.5800000000008</v>
      </c>
      <c r="Y255" s="2"/>
      <c r="Z255" s="6">
        <f t="shared" si="122"/>
        <v>-0.5274802846190132</v>
      </c>
    </row>
    <row r="256" spans="1:26" s="62" customFormat="1" x14ac:dyDescent="0.25">
      <c r="A256" s="37"/>
      <c r="B256" s="37"/>
      <c r="C256" s="37"/>
      <c r="D256" s="1"/>
      <c r="E256" s="1"/>
      <c r="F256" s="5"/>
      <c r="G256" s="1"/>
      <c r="H256" s="1"/>
      <c r="I256" s="1"/>
      <c r="J256" s="5"/>
      <c r="K256" s="1"/>
      <c r="L256" s="1"/>
      <c r="M256" s="1"/>
      <c r="N256" s="5"/>
      <c r="O256" s="37"/>
      <c r="P256" s="1"/>
      <c r="Q256" s="1"/>
      <c r="R256" s="5"/>
      <c r="S256" s="1"/>
      <c r="T256" s="1"/>
      <c r="U256" s="1"/>
      <c r="V256" s="5"/>
      <c r="W256" s="1"/>
      <c r="X256" s="1"/>
      <c r="Y256" s="1"/>
      <c r="Z256" s="5"/>
    </row>
    <row r="257" spans="1:26" s="23" customFormat="1" collapsed="1" x14ac:dyDescent="0.25">
      <c r="A257" s="10"/>
      <c r="B257" s="25" t="s">
        <v>0</v>
      </c>
      <c r="C257" s="10"/>
      <c r="D257" s="4">
        <f>SUM(OSRRefD25x_0)</f>
        <v>47308.399999999994</v>
      </c>
      <c r="E257" s="4"/>
      <c r="F257" s="12">
        <f t="shared" ref="F257:F266" si="123">IF(D$12=0,0,D257/D$12)</f>
        <v>1.4763018591619119E-2</v>
      </c>
      <c r="G257" s="4"/>
      <c r="H257" s="4">
        <f>SUM(OSRRefH25x_0)</f>
        <v>72473.279999999999</v>
      </c>
      <c r="I257" s="4"/>
      <c r="J257" s="12">
        <f t="shared" ref="J257:J266" si="124">IF(H$12=0,0,H257/H$12)</f>
        <v>2.1644376993685571E-2</v>
      </c>
      <c r="K257" s="4"/>
      <c r="L257" s="4">
        <f t="shared" ref="L257:L266" si="125">+D257-H257</f>
        <v>-25164.880000000005</v>
      </c>
      <c r="M257" s="4"/>
      <c r="N257" s="12">
        <f t="shared" ref="N257:N266" si="126">IF(H257=0,0,L257/H257)</f>
        <v>-0.34722976523209664</v>
      </c>
      <c r="O257" s="10"/>
      <c r="P257" s="4">
        <f>SUM(OSRRefP25x_0)</f>
        <v>118193.31</v>
      </c>
      <c r="Q257" s="4"/>
      <c r="R257" s="12">
        <f t="shared" ref="R257:R266" si="127">IF(P$12=0,0,P257/P$12)</f>
        <v>3.0099168315962703E-2</v>
      </c>
      <c r="S257" s="4"/>
      <c r="T257" s="4">
        <f>SUM(OSRRefT25x_0)</f>
        <v>152411.92000000001</v>
      </c>
      <c r="U257" s="4"/>
      <c r="V257" s="12">
        <f t="shared" ref="V257:V266" si="128">IF(T$12=0,0,T257/T$12)</f>
        <v>3.6669860520516497E-2</v>
      </c>
      <c r="W257" s="4"/>
      <c r="X257" s="4">
        <f t="shared" ref="X257:X266" si="129">+P257-T257</f>
        <v>-34218.610000000015</v>
      </c>
      <c r="Y257" s="4"/>
      <c r="Z257" s="12">
        <f t="shared" ref="Z257:Z266" si="130">IF(T257=0,0,X257/T257)</f>
        <v>-0.22451400126709259</v>
      </c>
    </row>
    <row r="258" spans="1:26" s="24" customFormat="1" hidden="1" outlineLevel="1" x14ac:dyDescent="0.25">
      <c r="A258" s="50"/>
      <c r="B258" s="11" t="str">
        <f>CONCATENATE("          ", "4098", " - ", "TAXABLE SALES-GRAD RENTALS")</f>
        <v xml:space="preserve">          4098 - TAXABLE SALES-GRAD RENTALS</v>
      </c>
      <c r="C258" s="11"/>
      <c r="D258" s="2">
        <f>--1552.15</f>
        <v>1552.15</v>
      </c>
      <c r="E258" s="2"/>
      <c r="F258" s="21">
        <f t="shared" si="123"/>
        <v>4.8436259326000499E-4</v>
      </c>
      <c r="G258" s="2"/>
      <c r="H258" s="2">
        <f>0</f>
        <v>0</v>
      </c>
      <c r="I258" s="2"/>
      <c r="J258" s="21">
        <f t="shared" si="124"/>
        <v>0</v>
      </c>
      <c r="K258" s="2"/>
      <c r="L258" s="2">
        <f t="shared" si="125"/>
        <v>1552.15</v>
      </c>
      <c r="M258" s="2"/>
      <c r="N258" s="21">
        <f t="shared" si="126"/>
        <v>0</v>
      </c>
      <c r="O258" s="11"/>
      <c r="P258" s="2">
        <f>--1626.85</f>
        <v>1626.85</v>
      </c>
      <c r="Q258" s="2"/>
      <c r="R258" s="21">
        <f t="shared" si="127"/>
        <v>4.1429444674003901E-4</v>
      </c>
      <c r="S258" s="2"/>
      <c r="T258" s="2">
        <f>0</f>
        <v>0</v>
      </c>
      <c r="U258" s="2"/>
      <c r="V258" s="21">
        <f t="shared" si="128"/>
        <v>0</v>
      </c>
      <c r="W258" s="2"/>
      <c r="X258" s="2">
        <f t="shared" si="129"/>
        <v>1626.85</v>
      </c>
      <c r="Y258" s="2"/>
      <c r="Z258" s="21">
        <f t="shared" si="130"/>
        <v>0</v>
      </c>
    </row>
    <row r="259" spans="1:26" s="24" customFormat="1" hidden="1" outlineLevel="1" x14ac:dyDescent="0.25">
      <c r="A259" s="50"/>
      <c r="B259" s="11" t="str">
        <f>CONCATENATE("          ", "4187", " - ", "NON-TAXABLE SALES-COMPUTER REP")</f>
        <v xml:space="preserve">          4187 - NON-TAXABLE SALES-COMPUTER REP</v>
      </c>
      <c r="C259" s="11"/>
      <c r="D259" s="2">
        <f>--1700.37</f>
        <v>1700.37</v>
      </c>
      <c r="E259" s="2"/>
      <c r="F259" s="21">
        <f t="shared" si="123"/>
        <v>5.3061599890572085E-4</v>
      </c>
      <c r="G259" s="2"/>
      <c r="H259" s="2">
        <f>--433.95</f>
        <v>433.95</v>
      </c>
      <c r="I259" s="2"/>
      <c r="J259" s="21">
        <f t="shared" si="124"/>
        <v>1.2960055618304917E-4</v>
      </c>
      <c r="K259" s="2"/>
      <c r="L259" s="2">
        <f t="shared" si="125"/>
        <v>1266.4199999999998</v>
      </c>
      <c r="M259" s="2"/>
      <c r="N259" s="21">
        <f t="shared" si="126"/>
        <v>2.918354649153128</v>
      </c>
      <c r="O259" s="11"/>
      <c r="P259" s="2">
        <f>--2482.26</f>
        <v>2482.2600000000002</v>
      </c>
      <c r="Q259" s="2"/>
      <c r="R259" s="21">
        <f t="shared" si="127"/>
        <v>6.3213359152037955E-4</v>
      </c>
      <c r="S259" s="2"/>
      <c r="T259" s="2">
        <f>--748.68</f>
        <v>748.68</v>
      </c>
      <c r="U259" s="2"/>
      <c r="V259" s="21">
        <f t="shared" si="128"/>
        <v>1.8013021012070634E-4</v>
      </c>
      <c r="W259" s="2"/>
      <c r="X259" s="2">
        <f t="shared" si="129"/>
        <v>1733.5800000000004</v>
      </c>
      <c r="Y259" s="2"/>
      <c r="Z259" s="21">
        <f t="shared" si="130"/>
        <v>2.3155153069402155</v>
      </c>
    </row>
    <row r="260" spans="1:26" s="24" customFormat="1" hidden="1" outlineLevel="1" x14ac:dyDescent="0.25">
      <c r="A260" s="50"/>
      <c r="B260" s="11" t="str">
        <f>CONCATENATE("          ", "4197", " - ", "NON-TAXABLE SALES-RETURNED CHE")</f>
        <v xml:space="preserve">          4197 - NON-TAXABLE SALES-RETURNED CHE</v>
      </c>
      <c r="C260" s="11"/>
      <c r="D260" s="2">
        <f>--30</f>
        <v>30</v>
      </c>
      <c r="E260" s="2"/>
      <c r="F260" s="21">
        <f t="shared" si="123"/>
        <v>9.3617741827788218E-6</v>
      </c>
      <c r="G260" s="2"/>
      <c r="H260" s="2">
        <f>--120</f>
        <v>120</v>
      </c>
      <c r="I260" s="2"/>
      <c r="J260" s="21">
        <f t="shared" si="124"/>
        <v>3.5838384011904366E-5</v>
      </c>
      <c r="K260" s="2"/>
      <c r="L260" s="2">
        <f t="shared" si="125"/>
        <v>-90</v>
      </c>
      <c r="M260" s="2"/>
      <c r="N260" s="21">
        <f t="shared" si="126"/>
        <v>-0.75</v>
      </c>
      <c r="O260" s="11"/>
      <c r="P260" s="2">
        <f>--30</f>
        <v>30</v>
      </c>
      <c r="Q260" s="2"/>
      <c r="R260" s="21">
        <f t="shared" si="127"/>
        <v>7.6398152270960268E-6</v>
      </c>
      <c r="S260" s="2"/>
      <c r="T260" s="2">
        <f>--120</f>
        <v>120</v>
      </c>
      <c r="U260" s="2"/>
      <c r="V260" s="21">
        <f t="shared" si="128"/>
        <v>2.8871647719298981E-5</v>
      </c>
      <c r="W260" s="2"/>
      <c r="X260" s="2">
        <f t="shared" si="129"/>
        <v>-90</v>
      </c>
      <c r="Y260" s="2"/>
      <c r="Z260" s="21">
        <f t="shared" si="130"/>
        <v>-0.75</v>
      </c>
    </row>
    <row r="261" spans="1:26" s="24" customFormat="1" hidden="1" outlineLevel="1" x14ac:dyDescent="0.25">
      <c r="A261" s="50"/>
      <c r="B261" s="11" t="str">
        <f>CONCATENATE("          ", "4198", " - ", "NON-TAXABLE SALES-GRAD RENTALS")</f>
        <v xml:space="preserve">          4198 - NON-TAXABLE SALES-GRAD RENTALS</v>
      </c>
      <c r="C261" s="11"/>
      <c r="D261" s="2">
        <f>--210</f>
        <v>210</v>
      </c>
      <c r="E261" s="2"/>
      <c r="F261" s="21">
        <f t="shared" si="123"/>
        <v>6.5532419279451756E-5</v>
      </c>
      <c r="G261" s="2"/>
      <c r="H261" s="2">
        <f>--60</f>
        <v>60</v>
      </c>
      <c r="I261" s="2"/>
      <c r="J261" s="21">
        <f t="shared" si="124"/>
        <v>1.7919192005952183E-5</v>
      </c>
      <c r="K261" s="2"/>
      <c r="L261" s="2">
        <f t="shared" si="125"/>
        <v>150</v>
      </c>
      <c r="M261" s="2"/>
      <c r="N261" s="21">
        <f t="shared" si="126"/>
        <v>2.5</v>
      </c>
      <c r="O261" s="11"/>
      <c r="P261" s="2">
        <f>--465</f>
        <v>465</v>
      </c>
      <c r="Q261" s="2"/>
      <c r="R261" s="21">
        <f t="shared" si="127"/>
        <v>1.1841713601998842E-4</v>
      </c>
      <c r="S261" s="2"/>
      <c r="T261" s="2">
        <f>--405</f>
        <v>405</v>
      </c>
      <c r="U261" s="2"/>
      <c r="V261" s="21">
        <f t="shared" si="128"/>
        <v>9.7441811052634061E-5</v>
      </c>
      <c r="W261" s="2"/>
      <c r="X261" s="2">
        <f t="shared" si="129"/>
        <v>60</v>
      </c>
      <c r="Y261" s="2"/>
      <c r="Z261" s="21">
        <f t="shared" si="130"/>
        <v>0.14814814814814814</v>
      </c>
    </row>
    <row r="262" spans="1:26" s="24" customFormat="1" hidden="1" outlineLevel="1" x14ac:dyDescent="0.25">
      <c r="A262" s="50"/>
      <c r="B262" s="11" t="str">
        <f>CONCATENATE("          ", "4387", " - ", "SALES RETURN NON TAXABLE-COMPU")</f>
        <v xml:space="preserve">          4387 - SALES RETURN NON TAXABLE-COMPU</v>
      </c>
      <c r="C262" s="11"/>
      <c r="D262" s="2">
        <f>-2820.7</f>
        <v>-2820.7</v>
      </c>
      <c r="E262" s="2"/>
      <c r="F262" s="21">
        <f t="shared" si="123"/>
        <v>-8.8022521457880741E-4</v>
      </c>
      <c r="G262" s="2"/>
      <c r="H262" s="2">
        <f>0</f>
        <v>0</v>
      </c>
      <c r="I262" s="2"/>
      <c r="J262" s="21">
        <f t="shared" si="124"/>
        <v>0</v>
      </c>
      <c r="K262" s="2"/>
      <c r="L262" s="2">
        <f t="shared" si="125"/>
        <v>-2820.7</v>
      </c>
      <c r="M262" s="2"/>
      <c r="N262" s="21">
        <f t="shared" si="126"/>
        <v>0</v>
      </c>
      <c r="O262" s="11"/>
      <c r="P262" s="2">
        <f>-3451.5</f>
        <v>-3451.5</v>
      </c>
      <c r="Q262" s="2"/>
      <c r="R262" s="21">
        <f t="shared" si="127"/>
        <v>-8.7896074187739787E-4</v>
      </c>
      <c r="S262" s="2"/>
      <c r="T262" s="2">
        <f>0</f>
        <v>0</v>
      </c>
      <c r="U262" s="2"/>
      <c r="V262" s="21">
        <f t="shared" si="128"/>
        <v>0</v>
      </c>
      <c r="W262" s="2"/>
      <c r="X262" s="2">
        <f t="shared" si="129"/>
        <v>-3451.5</v>
      </c>
      <c r="Y262" s="2"/>
      <c r="Z262" s="21">
        <f t="shared" si="130"/>
        <v>0</v>
      </c>
    </row>
    <row r="263" spans="1:26" s="24" customFormat="1" hidden="1" outlineLevel="1" x14ac:dyDescent="0.25">
      <c r="A263" s="50"/>
      <c r="B263" s="11" t="str">
        <f>CONCATENATE("          ", "9150", " - ", "MISC. INCOME")</f>
        <v xml:space="preserve">          9150 - MISC. INCOME</v>
      </c>
      <c r="C263" s="11"/>
      <c r="D263" s="2">
        <f>--25629.17</f>
        <v>25629.17</v>
      </c>
      <c r="E263" s="2"/>
      <c r="F263" s="21">
        <f t="shared" si="123"/>
        <v>7.9978167344016502E-3</v>
      </c>
      <c r="G263" s="2"/>
      <c r="H263" s="2">
        <f>--71531.36</f>
        <v>71531.360000000001</v>
      </c>
      <c r="I263" s="2"/>
      <c r="J263" s="21">
        <f t="shared" si="124"/>
        <v>2.136306957144813E-2</v>
      </c>
      <c r="K263" s="2"/>
      <c r="L263" s="2">
        <f t="shared" si="125"/>
        <v>-45902.19</v>
      </c>
      <c r="M263" s="2"/>
      <c r="N263" s="21">
        <f t="shared" si="126"/>
        <v>-0.64170721764551941</v>
      </c>
      <c r="O263" s="11"/>
      <c r="P263" s="2">
        <f>--96127.78</f>
        <v>96127.78</v>
      </c>
      <c r="Q263" s="2"/>
      <c r="R263" s="21">
        <f t="shared" si="127"/>
        <v>2.4479949246364565E-2</v>
      </c>
      <c r="S263" s="2"/>
      <c r="T263" s="2">
        <f>--149778.57</f>
        <v>149778.57</v>
      </c>
      <c r="U263" s="2"/>
      <c r="V263" s="21">
        <f t="shared" si="128"/>
        <v>3.603628424116969E-2</v>
      </c>
      <c r="W263" s="2"/>
      <c r="X263" s="2">
        <f t="shared" si="129"/>
        <v>-53650.790000000008</v>
      </c>
      <c r="Y263" s="2"/>
      <c r="Z263" s="21">
        <f t="shared" si="130"/>
        <v>-0.35820070922028435</v>
      </c>
    </row>
    <row r="264" spans="1:26" s="24" customFormat="1" hidden="1" outlineLevel="1" x14ac:dyDescent="0.25">
      <c r="A264" s="50"/>
      <c r="B264" s="11" t="str">
        <f>CONCATENATE("          ", "9151", " - ", "MISC. INCOME")</f>
        <v xml:space="preserve">          9151 - MISC. INCOME</v>
      </c>
      <c r="C264" s="11"/>
      <c r="D264" s="2">
        <f>-170.02</f>
        <v>-170.02</v>
      </c>
      <c r="E264" s="2"/>
      <c r="F264" s="21">
        <f t="shared" si="123"/>
        <v>-5.305629488520185E-5</v>
      </c>
      <c r="G264" s="2"/>
      <c r="H264" s="2">
        <f>--135.53</f>
        <v>135.53</v>
      </c>
      <c r="I264" s="2"/>
      <c r="J264" s="21">
        <f t="shared" si="124"/>
        <v>4.0476468209444994E-5</v>
      </c>
      <c r="K264" s="2"/>
      <c r="L264" s="2">
        <f t="shared" si="125"/>
        <v>-305.55</v>
      </c>
      <c r="M264" s="2"/>
      <c r="N264" s="21">
        <f t="shared" si="126"/>
        <v>-2.2544824024201287</v>
      </c>
      <c r="O264" s="11"/>
      <c r="P264" s="2">
        <f>-264.51</f>
        <v>-264.51</v>
      </c>
      <c r="Q264" s="2"/>
      <c r="R264" s="21">
        <f t="shared" si="127"/>
        <v>-6.7360250857305664E-5</v>
      </c>
      <c r="S264" s="2"/>
      <c r="T264" s="2">
        <f>--394.89</f>
        <v>394.89</v>
      </c>
      <c r="U264" s="2"/>
      <c r="V264" s="21">
        <f t="shared" si="128"/>
        <v>9.5009374732283125E-5</v>
      </c>
      <c r="W264" s="2"/>
      <c r="X264" s="2">
        <f t="shared" si="129"/>
        <v>-659.4</v>
      </c>
      <c r="Y264" s="2"/>
      <c r="Z264" s="21">
        <f t="shared" si="130"/>
        <v>-1.6698321051432043</v>
      </c>
    </row>
    <row r="265" spans="1:26" s="24" customFormat="1" hidden="1" outlineLevel="1" x14ac:dyDescent="0.25">
      <c r="A265" s="50"/>
      <c r="B265" s="11" t="str">
        <f>CONCATENATE("          ", "9152", " - ", "MISC. INCOME")</f>
        <v xml:space="preserve">          9152 - MISC. INCOME</v>
      </c>
      <c r="C265" s="11"/>
      <c r="D265" s="2">
        <f>--7.43</f>
        <v>7.43</v>
      </c>
      <c r="E265" s="2"/>
      <c r="F265" s="21">
        <f t="shared" si="123"/>
        <v>2.318599405934888E-6</v>
      </c>
      <c r="G265" s="2"/>
      <c r="H265" s="2">
        <f>--192.44</f>
        <v>192.44</v>
      </c>
      <c r="I265" s="2"/>
      <c r="J265" s="21">
        <f t="shared" si="124"/>
        <v>5.7472821827090634E-5</v>
      </c>
      <c r="K265" s="2"/>
      <c r="L265" s="2">
        <f t="shared" si="125"/>
        <v>-185.01</v>
      </c>
      <c r="M265" s="2"/>
      <c r="N265" s="21">
        <f t="shared" si="126"/>
        <v>-0.96139056329245476</v>
      </c>
      <c r="O265" s="11"/>
      <c r="P265" s="2">
        <f>--7.43</f>
        <v>7.43</v>
      </c>
      <c r="Q265" s="2"/>
      <c r="R265" s="21">
        <f t="shared" si="127"/>
        <v>1.892127571244116E-6</v>
      </c>
      <c r="S265" s="2"/>
      <c r="T265" s="2">
        <f>--964.78</f>
        <v>964.78</v>
      </c>
      <c r="U265" s="2"/>
      <c r="V265" s="21">
        <f t="shared" si="128"/>
        <v>2.3212323572187725E-4</v>
      </c>
      <c r="W265" s="2"/>
      <c r="X265" s="2">
        <f t="shared" si="129"/>
        <v>-957.35</v>
      </c>
      <c r="Y265" s="2"/>
      <c r="Z265" s="21">
        <f t="shared" si="130"/>
        <v>-0.9922987624121562</v>
      </c>
    </row>
    <row r="266" spans="1:26" s="24" customFormat="1" hidden="1" outlineLevel="1" x14ac:dyDescent="0.25">
      <c r="A266" s="50"/>
      <c r="B266" s="11" t="str">
        <f>CONCATENATE("          ", "9160", " - ", "MISC. INCOME")</f>
        <v xml:space="preserve">          9160 - MISC. INCOME</v>
      </c>
      <c r="C266" s="11"/>
      <c r="D266" s="2">
        <f>--21170</f>
        <v>21170</v>
      </c>
      <c r="E266" s="2"/>
      <c r="F266" s="21">
        <f t="shared" si="123"/>
        <v>6.606291981647589E-3</v>
      </c>
      <c r="G266" s="2"/>
      <c r="H266" s="2">
        <f>0</f>
        <v>0</v>
      </c>
      <c r="I266" s="2"/>
      <c r="J266" s="21">
        <f t="shared" si="124"/>
        <v>0</v>
      </c>
      <c r="K266" s="2"/>
      <c r="L266" s="2">
        <f t="shared" si="125"/>
        <v>21170</v>
      </c>
      <c r="M266" s="2"/>
      <c r="N266" s="21">
        <f t="shared" si="126"/>
        <v>0</v>
      </c>
      <c r="O266" s="11"/>
      <c r="P266" s="2">
        <f>--21170</f>
        <v>21170</v>
      </c>
      <c r="Q266" s="2"/>
      <c r="R266" s="21">
        <f t="shared" si="127"/>
        <v>5.391162945254096E-3</v>
      </c>
      <c r="S266" s="2"/>
      <c r="T266" s="2">
        <f>0</f>
        <v>0</v>
      </c>
      <c r="U266" s="2"/>
      <c r="V266" s="21">
        <f t="shared" si="128"/>
        <v>0</v>
      </c>
      <c r="W266" s="2"/>
      <c r="X266" s="2">
        <f t="shared" si="129"/>
        <v>21170</v>
      </c>
      <c r="Y266" s="2"/>
      <c r="Z266" s="21">
        <f t="shared" si="130"/>
        <v>0</v>
      </c>
    </row>
    <row r="267" spans="1:26" x14ac:dyDescent="0.25">
      <c r="A267" s="9"/>
      <c r="B267" s="10"/>
      <c r="C267" s="10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O267" s="10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x14ac:dyDescent="0.25">
      <c r="A268" s="10"/>
      <c r="B268" s="26" t="s">
        <v>3</v>
      </c>
      <c r="C268" s="26"/>
      <c r="D268" s="20">
        <f>+D170-D172+D257</f>
        <v>551266.39000000013</v>
      </c>
      <c r="E268" s="13"/>
      <c r="F268" s="19">
        <f>IF(D$12=0,0,D268/D$12)</f>
        <v>0.1720277152578561</v>
      </c>
      <c r="G268" s="13"/>
      <c r="H268" s="20">
        <f>+H170-H172+H257</f>
        <v>633806.03999999992</v>
      </c>
      <c r="I268" s="13"/>
      <c r="J268" s="19">
        <f>IF(H$12=0,0,H268/H$12)</f>
        <v>0.18928820208820346</v>
      </c>
      <c r="K268" s="15"/>
      <c r="L268" s="20">
        <f>+D268-H268</f>
        <v>-82539.64999999979</v>
      </c>
      <c r="M268" s="15"/>
      <c r="N268" s="19">
        <f>IF(H268=0,0,L268/H268)</f>
        <v>-0.13022856329990135</v>
      </c>
      <c r="O268" s="25"/>
      <c r="P268" s="20">
        <f>+P170-P172+P257</f>
        <v>427390.21000000072</v>
      </c>
      <c r="Q268" s="13"/>
      <c r="R268" s="19">
        <f>IF(P$12=0,0,P268/P$12)</f>
        <v>0.10883940780899247</v>
      </c>
      <c r="S268" s="13"/>
      <c r="T268" s="20">
        <f>+T170-T172+T257</f>
        <v>500234.2200000002</v>
      </c>
      <c r="U268" s="13"/>
      <c r="V268" s="19">
        <f>IF(T$12=0,0,T268/T$12)</f>
        <v>0.1203548848081526</v>
      </c>
      <c r="W268" s="15"/>
      <c r="X268" s="20">
        <f>+P268-T268</f>
        <v>-72844.009999999485</v>
      </c>
      <c r="Y268" s="15"/>
      <c r="Z268" s="19">
        <f>IF(T268=0,0,X268/T268)</f>
        <v>-0.14561980585814271</v>
      </c>
    </row>
    <row r="269" spans="1:26" x14ac:dyDescent="0.25">
      <c r="A269" s="9"/>
      <c r="B269" s="10"/>
      <c r="C269" s="9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x14ac:dyDescent="0.25">
      <c r="A270" s="51"/>
      <c r="B270" s="10" t="s">
        <v>13</v>
      </c>
      <c r="C270" s="10"/>
      <c r="D270" s="4">
        <v>339417.49</v>
      </c>
      <c r="E270" s="4"/>
      <c r="F270" s="12">
        <f>IF(D$12=0,0,D270/D$12)</f>
        <v>0.10591832983551963</v>
      </c>
      <c r="G270" s="4"/>
      <c r="H270" s="4">
        <v>258466.34</v>
      </c>
      <c r="I270" s="4"/>
      <c r="J270" s="12">
        <f>IF(H$12=0,0,H270/H$12)</f>
        <v>7.7191799558928645E-2</v>
      </c>
      <c r="K270" s="4"/>
      <c r="L270" s="4">
        <f>+D270-H270</f>
        <v>80951.149999999994</v>
      </c>
      <c r="M270" s="4"/>
      <c r="N270" s="12">
        <f>IF(H270=0,0,L270/H270)</f>
        <v>0.31319803576744265</v>
      </c>
      <c r="O270" s="10"/>
      <c r="P270" s="4">
        <v>489599.91</v>
      </c>
      <c r="Q270" s="4"/>
      <c r="R270" s="12">
        <f>IF(P$12=0,0,P270/P$12)</f>
        <v>0.12468176158676147</v>
      </c>
      <c r="S270" s="4"/>
      <c r="T270" s="4">
        <v>424341.33999999997</v>
      </c>
      <c r="U270" s="4"/>
      <c r="V270" s="12">
        <f>IF(T$12=0,0,T270/T$12)</f>
        <v>0.10209528067679394</v>
      </c>
      <c r="W270" s="4"/>
      <c r="X270" s="4">
        <f>+P270-T270</f>
        <v>65258.570000000007</v>
      </c>
      <c r="Y270" s="4"/>
      <c r="Z270" s="12">
        <f>IF(T270=0,0,X270/T270)</f>
        <v>0.15378791517225263</v>
      </c>
    </row>
    <row r="271" spans="1:26" x14ac:dyDescent="0.25">
      <c r="A271" s="9"/>
      <c r="B271" s="10"/>
      <c r="C271" s="10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O271" s="10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3" customFormat="1" ht="15.75" thickBot="1" x14ac:dyDescent="0.3">
      <c r="A272" s="10"/>
      <c r="B272" s="26" t="s">
        <v>4</v>
      </c>
      <c r="C272" s="26"/>
      <c r="D272" s="31">
        <f>+D268-D270</f>
        <v>211848.90000000014</v>
      </c>
      <c r="E272" s="13"/>
      <c r="F272" s="36">
        <f>IF(D$12=0,0,D272/D$12)</f>
        <v>6.610938542233645E-2</v>
      </c>
      <c r="G272" s="13"/>
      <c r="H272" s="31">
        <f>+H268-H270</f>
        <v>375339.69999999995</v>
      </c>
      <c r="I272" s="13"/>
      <c r="J272" s="36">
        <f>IF(H$12=0,0,H272/H$12)</f>
        <v>0.11209640252927483</v>
      </c>
      <c r="K272" s="15"/>
      <c r="L272" s="31">
        <f>D272-H272</f>
        <v>-163490.79999999981</v>
      </c>
      <c r="M272" s="15"/>
      <c r="N272" s="36">
        <f>IF(H272=0,0,L272/H272)</f>
        <v>-0.43558088845917403</v>
      </c>
      <c r="O272" s="25"/>
      <c r="P272" s="31">
        <f>+P268-P270</f>
        <v>-62209.699999999255</v>
      </c>
      <c r="Q272" s="13"/>
      <c r="R272" s="36">
        <f>IF(P$12=0,0,P272/P$12)</f>
        <v>-1.5842353777769002E-2</v>
      </c>
      <c r="S272" s="13"/>
      <c r="T272" s="31">
        <f>+T268-T270</f>
        <v>75892.880000000237</v>
      </c>
      <c r="U272" s="13"/>
      <c r="V272" s="36">
        <f>IF(T$12=0,0,T272/T$12)</f>
        <v>1.8259604131358652E-2</v>
      </c>
      <c r="W272" s="15"/>
      <c r="X272" s="31">
        <f>P272-T272</f>
        <v>-138102.57999999949</v>
      </c>
      <c r="Y272" s="15"/>
      <c r="Z272" s="36">
        <f>IF(T272=0,0,X272/T272)</f>
        <v>-1.8197040354773604</v>
      </c>
    </row>
    <row r="273" spans="1:26" ht="15.75" thickTop="1" x14ac:dyDescent="0.25">
      <c r="A273" s="9"/>
      <c r="B273" s="9"/>
      <c r="C273" s="9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x14ac:dyDescent="0.25">
      <c r="A274" s="9"/>
      <c r="B274" s="9"/>
      <c r="C274" s="9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s="23" customFormat="1" ht="15.75" thickBot="1" x14ac:dyDescent="0.3">
      <c r="A275" s="10"/>
      <c r="B275" s="26" t="s">
        <v>5</v>
      </c>
      <c r="C275" s="26"/>
      <c r="D275" s="32">
        <f>SUM(D272:D274)</f>
        <v>211848.90000000014</v>
      </c>
      <c r="E275" s="13"/>
      <c r="F275" s="30">
        <f>IF(D$12=0,0,D275/D$12)</f>
        <v>6.610938542233645E-2</v>
      </c>
      <c r="G275" s="13"/>
      <c r="H275" s="32">
        <f>SUM(H272:H274)</f>
        <v>375339.69999999995</v>
      </c>
      <c r="I275" s="13"/>
      <c r="J275" s="30">
        <f>IF(H$12=0,0,H275/H$12)</f>
        <v>0.11209640252927483</v>
      </c>
      <c r="K275" s="15"/>
      <c r="L275" s="32">
        <f>+D275-H275</f>
        <v>-163490.79999999981</v>
      </c>
      <c r="M275" s="15"/>
      <c r="N275" s="30">
        <f>IF(H275=0,0,L275/H275)</f>
        <v>-0.43558088845917403</v>
      </c>
      <c r="O275" s="25"/>
      <c r="P275" s="32">
        <f>SUM(P272:P274)</f>
        <v>-62209.699999999255</v>
      </c>
      <c r="Q275" s="13"/>
      <c r="R275" s="30">
        <f>IF(P$12=0,0,P275/P$12)</f>
        <v>-1.5842353777769002E-2</v>
      </c>
      <c r="S275" s="13"/>
      <c r="T275" s="32">
        <f>SUM(T272:T274)</f>
        <v>75892.880000000237</v>
      </c>
      <c r="U275" s="13"/>
      <c r="V275" s="30">
        <f>IF(T$12=0,0,T275/T$12)</f>
        <v>1.8259604131358652E-2</v>
      </c>
      <c r="W275" s="15"/>
      <c r="X275" s="32">
        <f>+P275-T275</f>
        <v>-138102.57999999949</v>
      </c>
      <c r="Y275" s="15"/>
      <c r="Z275" s="30">
        <f>IF(T275=0,0,X275/T275)</f>
        <v>-1.8197040354773604</v>
      </c>
    </row>
    <row r="276" spans="1:26" ht="15.75" thickTop="1" x14ac:dyDescent="0.25">
      <c r="A276" s="9"/>
      <c r="C276" s="9"/>
      <c r="D276" s="17"/>
      <c r="E276" s="17"/>
      <c r="G276" s="17"/>
      <c r="H276" s="17"/>
      <c r="I276" s="17"/>
      <c r="J276" s="43"/>
      <c r="K276" s="17"/>
      <c r="L276" s="17"/>
      <c r="M276" s="17"/>
      <c r="P276" s="17"/>
      <c r="Q276" s="17"/>
      <c r="R276" s="43"/>
      <c r="S276" s="17"/>
      <c r="T276" s="17"/>
      <c r="U276" s="17"/>
      <c r="V276" s="43"/>
      <c r="W276" s="17"/>
      <c r="X276" s="17"/>
    </row>
    <row r="277" spans="1:26" x14ac:dyDescent="0.25">
      <c r="A277" s="9"/>
      <c r="B277" s="57">
        <v>43732.709149386574</v>
      </c>
      <c r="D277" s="17"/>
      <c r="E277" s="17"/>
      <c r="G277" s="17"/>
      <c r="H277" s="17"/>
      <c r="I277" s="17"/>
      <c r="J277" s="43"/>
      <c r="K277" s="17"/>
      <c r="L277" s="17"/>
      <c r="M277" s="17"/>
      <c r="P277" s="17"/>
      <c r="Q277" s="17"/>
      <c r="R277" s="43"/>
      <c r="S277" s="17"/>
      <c r="T277" s="17"/>
      <c r="U277" s="17"/>
      <c r="V277" s="43"/>
      <c r="W277" s="17"/>
      <c r="X277" s="17"/>
    </row>
    <row r="278" spans="1:26" x14ac:dyDescent="0.25">
      <c r="A278" s="9"/>
      <c r="B278" s="60" t="s">
        <v>313</v>
      </c>
      <c r="D278" s="17"/>
      <c r="E278" s="17"/>
      <c r="G278" s="17"/>
      <c r="H278" s="17"/>
      <c r="I278" s="17"/>
      <c r="J278" s="43"/>
      <c r="K278" s="17"/>
      <c r="L278" s="17"/>
      <c r="M278" s="17"/>
      <c r="P278" s="17"/>
      <c r="Q278" s="17"/>
      <c r="R278" s="43"/>
      <c r="S278" s="17"/>
      <c r="T278" s="17"/>
      <c r="U278" s="17"/>
      <c r="V278" s="43"/>
      <c r="W278" s="17"/>
      <c r="X278" s="17"/>
    </row>
    <row r="279" spans="1:26" x14ac:dyDescent="0.25">
      <c r="A279" s="9"/>
      <c r="B279" s="56"/>
      <c r="D279" s="17"/>
      <c r="E279" s="17"/>
      <c r="G279" s="17"/>
      <c r="H279" s="17"/>
      <c r="I279" s="17"/>
      <c r="J279" s="43"/>
      <c r="K279" s="17"/>
      <c r="L279" s="17"/>
      <c r="M279" s="17"/>
      <c r="P279" s="17"/>
      <c r="Q279" s="17"/>
      <c r="R279" s="43"/>
      <c r="S279" s="17"/>
      <c r="T279" s="17"/>
      <c r="U279" s="17"/>
      <c r="V279" s="43"/>
      <c r="W279" s="17"/>
      <c r="X279" s="17"/>
    </row>
    <row r="280" spans="1:26" x14ac:dyDescent="0.25">
      <c r="D280" s="17"/>
      <c r="E280" s="17"/>
      <c r="G280" s="17"/>
      <c r="H280" s="17"/>
      <c r="I280" s="17"/>
      <c r="J280" s="43"/>
      <c r="K280" s="17"/>
      <c r="L280" s="17"/>
      <c r="M280" s="17"/>
      <c r="P280" s="17"/>
      <c r="Q280" s="17"/>
      <c r="R280" s="43"/>
      <c r="S280" s="17"/>
      <c r="T280" s="17"/>
      <c r="U280" s="17"/>
      <c r="V280" s="43"/>
      <c r="W280" s="17"/>
      <c r="X280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","301", " - ", "Bookstore")</f>
        <v>Department 301 - Bookstore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161084.52999999994</v>
      </c>
      <c r="E18" s="22"/>
      <c r="F18" s="33">
        <f t="shared" ref="F18:F27" si="0">IF(D$12=0,0,D18/D$12)</f>
        <v>0</v>
      </c>
      <c r="G18" s="22"/>
      <c r="H18" s="22">
        <f>SUM(OSRRefH22x_0)</f>
        <v>156336.08000000002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4748.4499999999243</v>
      </c>
      <c r="M18" s="4"/>
      <c r="N18" s="33">
        <f t="shared" ref="N18:N27" si="3">IF(H18=0,0,L18/H18)</f>
        <v>3.0373346958679812E-2</v>
      </c>
      <c r="O18" s="10"/>
      <c r="P18" s="22">
        <f>SUM(OSRRefP22x_0)</f>
        <v>285527.59000000003</v>
      </c>
      <c r="Q18" s="22"/>
      <c r="R18" s="33">
        <f t="shared" ref="R18:R27" si="4">IF(P$12=0,0,P18/P$12)</f>
        <v>0</v>
      </c>
      <c r="S18" s="22"/>
      <c r="T18" s="22">
        <f>SUM(OSRRefT22x_0)</f>
        <v>328639.01000000007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-43111.420000000042</v>
      </c>
      <c r="Y18" s="4"/>
      <c r="Z18" s="33">
        <f t="shared" ref="Z18:Z27" si="7">IF(T18=0,0,X18/T18)</f>
        <v>-0.13118168777346315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15027.98</v>
      </c>
      <c r="E19" s="1"/>
      <c r="F19" s="5">
        <f t="shared" si="0"/>
        <v>0</v>
      </c>
      <c r="G19" s="1"/>
      <c r="H19" s="1">
        <f>SUM(OSRRefH22_0x_0)</f>
        <v>13776.630000000001</v>
      </c>
      <c r="I19" s="1"/>
      <c r="J19" s="5">
        <f t="shared" si="1"/>
        <v>0</v>
      </c>
      <c r="K19" s="1"/>
      <c r="L19" s="1">
        <f t="shared" si="2"/>
        <v>1251.3499999999985</v>
      </c>
      <c r="M19" s="1"/>
      <c r="N19" s="5">
        <f t="shared" si="3"/>
        <v>9.0831357160640766E-2</v>
      </c>
      <c r="O19" s="14"/>
      <c r="P19" s="1">
        <f>SUM(OSRRefP22_0x_0)</f>
        <v>29363.340000000004</v>
      </c>
      <c r="Q19" s="1"/>
      <c r="R19" s="5">
        <f t="shared" si="4"/>
        <v>0</v>
      </c>
      <c r="S19" s="1"/>
      <c r="T19" s="1">
        <f>SUM(OSRRefT22_0x_0)</f>
        <v>25361.049999999996</v>
      </c>
      <c r="U19" s="1"/>
      <c r="V19" s="5">
        <f t="shared" si="5"/>
        <v>0</v>
      </c>
      <c r="W19" s="1"/>
      <c r="X19" s="1">
        <f t="shared" si="6"/>
        <v>4002.2900000000081</v>
      </c>
      <c r="Y19" s="1"/>
      <c r="Z19" s="5">
        <f t="shared" si="7"/>
        <v>0.15781247227539905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4055.31</v>
      </c>
      <c r="E20" s="2"/>
      <c r="F20" s="6">
        <f t="shared" si="0"/>
        <v>0</v>
      </c>
      <c r="G20" s="2"/>
      <c r="H20" s="7">
        <v>3258.89</v>
      </c>
      <c r="I20" s="2"/>
      <c r="J20" s="6">
        <f t="shared" si="1"/>
        <v>0</v>
      </c>
      <c r="K20" s="2"/>
      <c r="L20" s="7">
        <f t="shared" si="2"/>
        <v>796.42000000000007</v>
      </c>
      <c r="M20" s="2"/>
      <c r="N20" s="6">
        <f t="shared" si="3"/>
        <v>0.24438382394005323</v>
      </c>
      <c r="O20" s="11"/>
      <c r="P20" s="7">
        <v>6618.05</v>
      </c>
      <c r="Q20" s="2"/>
      <c r="R20" s="6">
        <f t="shared" si="4"/>
        <v>0</v>
      </c>
      <c r="S20" s="2"/>
      <c r="T20" s="7">
        <v>5637.88</v>
      </c>
      <c r="U20" s="2"/>
      <c r="V20" s="6">
        <f t="shared" si="5"/>
        <v>0</v>
      </c>
      <c r="W20" s="2"/>
      <c r="X20" s="7">
        <f t="shared" si="6"/>
        <v>980.17000000000007</v>
      </c>
      <c r="Y20" s="2"/>
      <c r="Z20" s="6">
        <f t="shared" si="7"/>
        <v>0.17385435660212706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743.22</v>
      </c>
      <c r="E21" s="2"/>
      <c r="F21" s="6">
        <f t="shared" si="0"/>
        <v>0</v>
      </c>
      <c r="G21" s="2"/>
      <c r="H21" s="7">
        <v>324.81</v>
      </c>
      <c r="I21" s="2"/>
      <c r="J21" s="6">
        <f t="shared" si="1"/>
        <v>0</v>
      </c>
      <c r="K21" s="2"/>
      <c r="L21" s="7">
        <f t="shared" si="2"/>
        <v>418.41</v>
      </c>
      <c r="M21" s="2"/>
      <c r="N21" s="6">
        <f t="shared" si="3"/>
        <v>1.2881684677195899</v>
      </c>
      <c r="O21" s="11"/>
      <c r="P21" s="7">
        <v>1090.0899999999999</v>
      </c>
      <c r="Q21" s="2"/>
      <c r="R21" s="6">
        <f t="shared" si="4"/>
        <v>0</v>
      </c>
      <c r="S21" s="2"/>
      <c r="T21" s="7">
        <v>709.49</v>
      </c>
      <c r="U21" s="2"/>
      <c r="V21" s="6">
        <f t="shared" si="5"/>
        <v>0</v>
      </c>
      <c r="W21" s="2"/>
      <c r="X21" s="7">
        <f t="shared" si="6"/>
        <v>380.59999999999991</v>
      </c>
      <c r="Y21" s="2"/>
      <c r="Z21" s="6">
        <f t="shared" si="7"/>
        <v>0.53644166936813753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5472.97</v>
      </c>
      <c r="E22" s="2"/>
      <c r="F22" s="6">
        <f t="shared" si="0"/>
        <v>0</v>
      </c>
      <c r="G22" s="2"/>
      <c r="H22" s="7">
        <v>5756.54</v>
      </c>
      <c r="I22" s="2"/>
      <c r="J22" s="6">
        <f t="shared" si="1"/>
        <v>0</v>
      </c>
      <c r="K22" s="2"/>
      <c r="L22" s="7">
        <f t="shared" si="2"/>
        <v>-283.56999999999971</v>
      </c>
      <c r="M22" s="2"/>
      <c r="N22" s="6">
        <f t="shared" si="3"/>
        <v>-4.9260493282423073E-2</v>
      </c>
      <c r="O22" s="11"/>
      <c r="P22" s="7">
        <v>10945.94</v>
      </c>
      <c r="Q22" s="2"/>
      <c r="R22" s="6">
        <f t="shared" si="4"/>
        <v>0</v>
      </c>
      <c r="S22" s="2"/>
      <c r="T22" s="7">
        <v>7938.75</v>
      </c>
      <c r="U22" s="2"/>
      <c r="V22" s="6">
        <f t="shared" si="5"/>
        <v>0</v>
      </c>
      <c r="W22" s="2"/>
      <c r="X22" s="7">
        <f t="shared" si="6"/>
        <v>3007.1900000000005</v>
      </c>
      <c r="Y22" s="2"/>
      <c r="Z22" s="6">
        <f t="shared" si="7"/>
        <v>0.37879892930247211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143.16</v>
      </c>
      <c r="E23" s="2"/>
      <c r="F23" s="6">
        <f t="shared" si="0"/>
        <v>0</v>
      </c>
      <c r="G23" s="2"/>
      <c r="H23" s="7">
        <v>103.19</v>
      </c>
      <c r="I23" s="2"/>
      <c r="J23" s="6">
        <f t="shared" si="1"/>
        <v>0</v>
      </c>
      <c r="K23" s="2"/>
      <c r="L23" s="7">
        <f t="shared" si="2"/>
        <v>39.97</v>
      </c>
      <c r="M23" s="2"/>
      <c r="N23" s="6">
        <f t="shared" si="3"/>
        <v>0.38734373485802887</v>
      </c>
      <c r="O23" s="11"/>
      <c r="P23" s="7">
        <v>230.79</v>
      </c>
      <c r="Q23" s="2"/>
      <c r="R23" s="6">
        <f t="shared" si="4"/>
        <v>0</v>
      </c>
      <c r="S23" s="2"/>
      <c r="T23" s="7">
        <v>233.65</v>
      </c>
      <c r="U23" s="2"/>
      <c r="V23" s="6">
        <f t="shared" si="5"/>
        <v>0</v>
      </c>
      <c r="W23" s="2"/>
      <c r="X23" s="7">
        <f t="shared" si="6"/>
        <v>-2.8600000000000136</v>
      </c>
      <c r="Y23" s="2"/>
      <c r="Z23" s="6">
        <f t="shared" si="7"/>
        <v>-1.2240530708324475E-2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1730.14</v>
      </c>
      <c r="E24" s="2"/>
      <c r="F24" s="6">
        <f t="shared" si="0"/>
        <v>0</v>
      </c>
      <c r="G24" s="2"/>
      <c r="H24" s="7">
        <v>1563.77</v>
      </c>
      <c r="I24" s="2"/>
      <c r="J24" s="6">
        <f t="shared" si="1"/>
        <v>0</v>
      </c>
      <c r="K24" s="2"/>
      <c r="L24" s="7">
        <f t="shared" si="2"/>
        <v>166.37000000000012</v>
      </c>
      <c r="M24" s="2"/>
      <c r="N24" s="6">
        <f t="shared" si="3"/>
        <v>0.10639032594307354</v>
      </c>
      <c r="O24" s="11"/>
      <c r="P24" s="7">
        <v>3460.28</v>
      </c>
      <c r="Q24" s="2"/>
      <c r="R24" s="6">
        <f t="shared" si="4"/>
        <v>0</v>
      </c>
      <c r="S24" s="2"/>
      <c r="T24" s="7">
        <v>3886.65</v>
      </c>
      <c r="U24" s="2"/>
      <c r="V24" s="6">
        <f t="shared" si="5"/>
        <v>0</v>
      </c>
      <c r="W24" s="2"/>
      <c r="X24" s="7">
        <f t="shared" si="6"/>
        <v>-426.36999999999989</v>
      </c>
      <c r="Y24" s="2"/>
      <c r="Z24" s="6">
        <f t="shared" si="7"/>
        <v>-0.10970115652296962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1533.86</v>
      </c>
      <c r="E25" s="2"/>
      <c r="F25" s="6">
        <f t="shared" si="0"/>
        <v>0</v>
      </c>
      <c r="G25" s="2"/>
      <c r="H25" s="7">
        <v>1462.1</v>
      </c>
      <c r="I25" s="2"/>
      <c r="J25" s="6">
        <f t="shared" si="1"/>
        <v>0</v>
      </c>
      <c r="K25" s="2"/>
      <c r="L25" s="7">
        <f t="shared" si="2"/>
        <v>71.759999999999991</v>
      </c>
      <c r="M25" s="2"/>
      <c r="N25" s="6">
        <f t="shared" si="3"/>
        <v>4.9080090281102523E-2</v>
      </c>
      <c r="O25" s="11"/>
      <c r="P25" s="7">
        <v>3741.08</v>
      </c>
      <c r="Q25" s="2"/>
      <c r="R25" s="6">
        <f t="shared" si="4"/>
        <v>0</v>
      </c>
      <c r="S25" s="2"/>
      <c r="T25" s="7">
        <v>3617.71</v>
      </c>
      <c r="U25" s="2"/>
      <c r="V25" s="6">
        <f t="shared" si="5"/>
        <v>0</v>
      </c>
      <c r="W25" s="2"/>
      <c r="X25" s="7">
        <f t="shared" si="6"/>
        <v>123.36999999999989</v>
      </c>
      <c r="Y25" s="2"/>
      <c r="Z25" s="6">
        <f t="shared" si="7"/>
        <v>3.4101683108927992E-2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899.32</v>
      </c>
      <c r="E26" s="2"/>
      <c r="F26" s="6">
        <f t="shared" si="0"/>
        <v>0</v>
      </c>
      <c r="G26" s="2"/>
      <c r="H26" s="7">
        <v>863.05</v>
      </c>
      <c r="I26" s="2"/>
      <c r="J26" s="6">
        <f t="shared" si="1"/>
        <v>0</v>
      </c>
      <c r="K26" s="2"/>
      <c r="L26" s="7">
        <f t="shared" si="2"/>
        <v>36.270000000000095</v>
      </c>
      <c r="M26" s="2"/>
      <c r="N26" s="6">
        <f t="shared" si="3"/>
        <v>4.2025375123110012E-2</v>
      </c>
      <c r="O26" s="11"/>
      <c r="P26" s="7">
        <v>2445.9</v>
      </c>
      <c r="Q26" s="2"/>
      <c r="R26" s="6">
        <f t="shared" si="4"/>
        <v>0</v>
      </c>
      <c r="S26" s="2"/>
      <c r="T26" s="7">
        <v>2487.91</v>
      </c>
      <c r="U26" s="2"/>
      <c r="V26" s="6">
        <f t="shared" si="5"/>
        <v>0</v>
      </c>
      <c r="W26" s="2"/>
      <c r="X26" s="7">
        <f t="shared" si="6"/>
        <v>-42.009999999999764</v>
      </c>
      <c r="Y26" s="2"/>
      <c r="Z26" s="6">
        <f t="shared" si="7"/>
        <v>-1.6885659047151932E-2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450</v>
      </c>
      <c r="E27" s="2"/>
      <c r="F27" s="6">
        <f t="shared" si="0"/>
        <v>0</v>
      </c>
      <c r="G27" s="2"/>
      <c r="H27" s="7">
        <v>444.28</v>
      </c>
      <c r="I27" s="2"/>
      <c r="J27" s="6">
        <f t="shared" si="1"/>
        <v>0</v>
      </c>
      <c r="K27" s="2"/>
      <c r="L27" s="7">
        <f t="shared" si="2"/>
        <v>5.7200000000000273</v>
      </c>
      <c r="M27" s="2"/>
      <c r="N27" s="6">
        <f t="shared" si="3"/>
        <v>1.2874763662555208E-2</v>
      </c>
      <c r="O27" s="11"/>
      <c r="P27" s="7">
        <v>831.21</v>
      </c>
      <c r="Q27" s="2"/>
      <c r="R27" s="6">
        <f t="shared" si="4"/>
        <v>0</v>
      </c>
      <c r="S27" s="2"/>
      <c r="T27" s="7">
        <v>849.01</v>
      </c>
      <c r="U27" s="2"/>
      <c r="V27" s="6">
        <f t="shared" si="5"/>
        <v>0</v>
      </c>
      <c r="W27" s="2"/>
      <c r="X27" s="7">
        <f t="shared" si="6"/>
        <v>-17.799999999999955</v>
      </c>
      <c r="Y27" s="2"/>
      <c r="Z27" s="6">
        <f t="shared" si="7"/>
        <v>-2.0965595222671059E-2</v>
      </c>
    </row>
    <row r="28" spans="1:26" s="27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77708.799999999988</v>
      </c>
      <c r="E28" s="1"/>
      <c r="F28" s="5">
        <f t="shared" ref="F28:F34" si="8">IF(D$12=0,0,D28/D$12)</f>
        <v>0</v>
      </c>
      <c r="G28" s="1"/>
      <c r="H28" s="1">
        <f>SUM(OSRRefH22_1x_0)</f>
        <v>59061.73</v>
      </c>
      <c r="I28" s="1"/>
      <c r="J28" s="5">
        <f t="shared" ref="J28:J34" si="9">IF(H$12=0,0,H28/H$12)</f>
        <v>0</v>
      </c>
      <c r="K28" s="1"/>
      <c r="L28" s="1">
        <f t="shared" ref="L28:L34" si="10">+D28-H28</f>
        <v>18647.069999999985</v>
      </c>
      <c r="M28" s="1"/>
      <c r="N28" s="5">
        <f t="shared" ref="N28:N34" si="11">IF(H28=0,0,L28/H28)</f>
        <v>0.31572170337712735</v>
      </c>
      <c r="O28" s="14"/>
      <c r="P28" s="1">
        <f>SUM(OSRRefP22_1x_0)</f>
        <v>115485.51999999999</v>
      </c>
      <c r="Q28" s="1"/>
      <c r="R28" s="5">
        <f t="shared" ref="R28:R34" si="12">IF(P$12=0,0,P28/P$12)</f>
        <v>0</v>
      </c>
      <c r="S28" s="1"/>
      <c r="T28" s="1">
        <f>SUM(OSRRefT22_1x_0)</f>
        <v>96232.28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19253.239999999991</v>
      </c>
      <c r="Y28" s="1"/>
      <c r="Z28" s="5">
        <f t="shared" ref="Z28:Z34" si="15">IF(T28=0,0,X28/T28)</f>
        <v>0.20007049609548885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>
        <v>10181.280000000001</v>
      </c>
      <c r="E29" s="2"/>
      <c r="F29" s="6">
        <f t="shared" si="8"/>
        <v>0</v>
      </c>
      <c r="G29" s="2"/>
      <c r="H29" s="7">
        <v>10405</v>
      </c>
      <c r="I29" s="2"/>
      <c r="J29" s="6">
        <f t="shared" si="9"/>
        <v>0</v>
      </c>
      <c r="K29" s="2"/>
      <c r="L29" s="7">
        <f t="shared" si="10"/>
        <v>-223.71999999999935</v>
      </c>
      <c r="M29" s="2"/>
      <c r="N29" s="6">
        <f t="shared" si="11"/>
        <v>-2.1501201345506905E-2</v>
      </c>
      <c r="O29" s="11"/>
      <c r="P29" s="7">
        <v>23041.56</v>
      </c>
      <c r="Q29" s="2"/>
      <c r="R29" s="6">
        <f t="shared" si="12"/>
        <v>0</v>
      </c>
      <c r="S29" s="2"/>
      <c r="T29" s="7">
        <v>23411</v>
      </c>
      <c r="U29" s="2"/>
      <c r="V29" s="6">
        <f t="shared" si="13"/>
        <v>0</v>
      </c>
      <c r="W29" s="2"/>
      <c r="X29" s="7">
        <f t="shared" si="14"/>
        <v>-369.43999999999869</v>
      </c>
      <c r="Y29" s="2"/>
      <c r="Z29" s="6">
        <f t="shared" si="15"/>
        <v>-1.5780615949767148E-2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10349.57</v>
      </c>
      <c r="E30" s="2"/>
      <c r="F30" s="6">
        <f t="shared" si="8"/>
        <v>0</v>
      </c>
      <c r="G30" s="2"/>
      <c r="H30" s="7">
        <v>7296.23</v>
      </c>
      <c r="I30" s="2"/>
      <c r="J30" s="6">
        <f t="shared" si="9"/>
        <v>0</v>
      </c>
      <c r="K30" s="2"/>
      <c r="L30" s="7">
        <f t="shared" si="10"/>
        <v>3053.34</v>
      </c>
      <c r="M30" s="2"/>
      <c r="N30" s="6">
        <f t="shared" si="11"/>
        <v>0.41848187351550054</v>
      </c>
      <c r="O30" s="11"/>
      <c r="P30" s="7">
        <v>16739.32</v>
      </c>
      <c r="Q30" s="2"/>
      <c r="R30" s="6">
        <f t="shared" si="12"/>
        <v>0</v>
      </c>
      <c r="S30" s="2"/>
      <c r="T30" s="7">
        <v>15836.7</v>
      </c>
      <c r="U30" s="2"/>
      <c r="V30" s="6">
        <f t="shared" si="13"/>
        <v>0</v>
      </c>
      <c r="W30" s="2"/>
      <c r="X30" s="7">
        <f t="shared" si="14"/>
        <v>902.61999999999898</v>
      </c>
      <c r="Y30" s="2"/>
      <c r="Z30" s="6">
        <f t="shared" si="15"/>
        <v>5.6995459912734275E-2</v>
      </c>
    </row>
    <row r="31" spans="1:26" s="24" customFormat="1" hidden="1" outlineLevel="2" x14ac:dyDescent="0.25">
      <c r="A31" s="29"/>
      <c r="B31" s="11" t="str">
        <f>CONCATENATE("          ", "6005", " - ", "TEMPORARY WAGES-HOURLY")</f>
        <v xml:space="preserve">          6005 - TEMPORARY WAGES-HOURLY</v>
      </c>
      <c r="C31" s="11"/>
      <c r="D31" s="7">
        <v>8218.24</v>
      </c>
      <c r="E31" s="2"/>
      <c r="F31" s="6">
        <f t="shared" si="8"/>
        <v>0</v>
      </c>
      <c r="G31" s="2"/>
      <c r="H31" s="7">
        <v>3839.13</v>
      </c>
      <c r="I31" s="2"/>
      <c r="J31" s="6">
        <f t="shared" si="9"/>
        <v>0</v>
      </c>
      <c r="K31" s="2"/>
      <c r="L31" s="7">
        <f t="shared" si="10"/>
        <v>4379.1099999999997</v>
      </c>
      <c r="M31" s="2"/>
      <c r="N31" s="6">
        <f t="shared" si="11"/>
        <v>1.1406516580579453</v>
      </c>
      <c r="O31" s="11"/>
      <c r="P31" s="7">
        <v>16487.48</v>
      </c>
      <c r="Q31" s="2"/>
      <c r="R31" s="6">
        <f t="shared" si="12"/>
        <v>0</v>
      </c>
      <c r="S31" s="2"/>
      <c r="T31" s="7">
        <v>7434.13</v>
      </c>
      <c r="U31" s="2"/>
      <c r="V31" s="6">
        <f t="shared" si="13"/>
        <v>0</v>
      </c>
      <c r="W31" s="2"/>
      <c r="X31" s="7">
        <f t="shared" si="14"/>
        <v>9053.3499999999985</v>
      </c>
      <c r="Y31" s="2"/>
      <c r="Z31" s="6">
        <f t="shared" si="15"/>
        <v>1.2178089433464303</v>
      </c>
    </row>
    <row r="32" spans="1:26" s="24" customFormat="1" hidden="1" outlineLevel="2" x14ac:dyDescent="0.25">
      <c r="A32" s="29"/>
      <c r="B32" s="11" t="str">
        <f>CONCATENATE("          ", "6006", " - ", "TEMPORARY PART TIME")</f>
        <v xml:space="preserve">          6006 - TEMPORARY PART TIME</v>
      </c>
      <c r="C32" s="11"/>
      <c r="D32" s="7">
        <v>2346.19</v>
      </c>
      <c r="E32" s="2"/>
      <c r="F32" s="6">
        <f t="shared" si="8"/>
        <v>0</v>
      </c>
      <c r="G32" s="2"/>
      <c r="H32" s="7">
        <v>382.25</v>
      </c>
      <c r="I32" s="2"/>
      <c r="J32" s="6">
        <f t="shared" si="9"/>
        <v>0</v>
      </c>
      <c r="K32" s="2"/>
      <c r="L32" s="7">
        <f t="shared" si="10"/>
        <v>1963.94</v>
      </c>
      <c r="M32" s="2"/>
      <c r="N32" s="6">
        <f t="shared" si="11"/>
        <v>5.1378417266187055</v>
      </c>
      <c r="O32" s="11"/>
      <c r="P32" s="7">
        <v>3727.13</v>
      </c>
      <c r="Q32" s="2"/>
      <c r="R32" s="6">
        <f t="shared" si="12"/>
        <v>0</v>
      </c>
      <c r="S32" s="2"/>
      <c r="T32" s="7">
        <v>898.37</v>
      </c>
      <c r="U32" s="2"/>
      <c r="V32" s="6">
        <f t="shared" si="13"/>
        <v>0</v>
      </c>
      <c r="W32" s="2"/>
      <c r="X32" s="7">
        <f t="shared" si="14"/>
        <v>2828.76</v>
      </c>
      <c r="Y32" s="2"/>
      <c r="Z32" s="6">
        <f t="shared" si="15"/>
        <v>3.1487694379821236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46310.52</v>
      </c>
      <c r="E33" s="2"/>
      <c r="F33" s="6">
        <f t="shared" si="8"/>
        <v>0</v>
      </c>
      <c r="G33" s="2"/>
      <c r="H33" s="7">
        <v>37139.120000000003</v>
      </c>
      <c r="I33" s="2"/>
      <c r="J33" s="6">
        <f t="shared" si="9"/>
        <v>0</v>
      </c>
      <c r="K33" s="2"/>
      <c r="L33" s="7">
        <f t="shared" si="10"/>
        <v>9171.3999999999942</v>
      </c>
      <c r="M33" s="2"/>
      <c r="N33" s="6">
        <f t="shared" si="11"/>
        <v>0.24694715437522466</v>
      </c>
      <c r="O33" s="11"/>
      <c r="P33" s="7">
        <v>55187.03</v>
      </c>
      <c r="Q33" s="2"/>
      <c r="R33" s="6">
        <f t="shared" si="12"/>
        <v>0</v>
      </c>
      <c r="S33" s="2"/>
      <c r="T33" s="7">
        <v>48652.08</v>
      </c>
      <c r="U33" s="2"/>
      <c r="V33" s="6">
        <f t="shared" si="13"/>
        <v>0</v>
      </c>
      <c r="W33" s="2"/>
      <c r="X33" s="7">
        <f t="shared" si="14"/>
        <v>6534.9499999999971</v>
      </c>
      <c r="Y33" s="2"/>
      <c r="Z33" s="6">
        <f t="shared" si="15"/>
        <v>0.13432005373665415</v>
      </c>
    </row>
    <row r="34" spans="1:26" s="24" customFormat="1" hidden="1" outlineLevel="2" x14ac:dyDescent="0.25">
      <c r="A34" s="29"/>
      <c r="B34" s="11" t="str">
        <f>CONCATENATE("          ", "6008", " - ", "STUDENT HOURLY-FICA EXEMPT")</f>
        <v xml:space="preserve">          6008 - STUDENT HOURLY-FICA EXEMPT</v>
      </c>
      <c r="C34" s="11"/>
      <c r="D34" s="7">
        <v>303</v>
      </c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303</v>
      </c>
      <c r="M34" s="2"/>
      <c r="N34" s="6">
        <f t="shared" si="11"/>
        <v>0</v>
      </c>
      <c r="O34" s="11"/>
      <c r="P34" s="7">
        <v>303</v>
      </c>
      <c r="Q34" s="2"/>
      <c r="R34" s="6">
        <f t="shared" si="12"/>
        <v>0</v>
      </c>
      <c r="S34" s="2"/>
      <c r="T34" s="7"/>
      <c r="U34" s="2"/>
      <c r="V34" s="6">
        <f t="shared" si="13"/>
        <v>0</v>
      </c>
      <c r="W34" s="2"/>
      <c r="X34" s="7">
        <f t="shared" si="14"/>
        <v>303</v>
      </c>
      <c r="Y34" s="2"/>
      <c r="Z34" s="6">
        <f t="shared" si="15"/>
        <v>0</v>
      </c>
    </row>
    <row r="35" spans="1:26" s="27" customFormat="1" outlineLevel="1" collapsed="1" x14ac:dyDescent="0.25">
      <c r="A35" s="28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664.49</v>
      </c>
      <c r="E35" s="1"/>
      <c r="F35" s="5">
        <f t="shared" ref="F35:F43" si="16">IF(D$12=0,0,D35/D$12)</f>
        <v>0</v>
      </c>
      <c r="G35" s="1"/>
      <c r="H35" s="1">
        <f>SUM(OSRRefH22_2x_0)</f>
        <v>1405.76</v>
      </c>
      <c r="I35" s="1"/>
      <c r="J35" s="5">
        <f t="shared" ref="J35:J43" si="17">IF(H$12=0,0,H35/H$12)</f>
        <v>0</v>
      </c>
      <c r="K35" s="1"/>
      <c r="L35" s="1">
        <f t="shared" ref="L35:L43" si="18">+D35-H35</f>
        <v>-741.27</v>
      </c>
      <c r="M35" s="1"/>
      <c r="N35" s="5">
        <f t="shared" ref="N35:N43" si="19">IF(H35=0,0,L35/H35)</f>
        <v>-0.52730907124971549</v>
      </c>
      <c r="O35" s="14"/>
      <c r="P35" s="1">
        <f>SUM(OSRRefP22_2x_0)</f>
        <v>775.79</v>
      </c>
      <c r="Q35" s="1"/>
      <c r="R35" s="5">
        <f t="shared" ref="R35:R43" si="20">IF(P$12=0,0,P35/P$12)</f>
        <v>0</v>
      </c>
      <c r="S35" s="1"/>
      <c r="T35" s="1">
        <f>SUM(OSRRefT22_2x_0)</f>
        <v>4342.63</v>
      </c>
      <c r="U35" s="1"/>
      <c r="V35" s="5">
        <f t="shared" ref="V35:V43" si="21">IF(T$12=0,0,T35/T$12)</f>
        <v>0</v>
      </c>
      <c r="W35" s="1"/>
      <c r="X35" s="1">
        <f t="shared" ref="X35:X43" si="22">+P35-T35</f>
        <v>-3566.84</v>
      </c>
      <c r="Y35" s="1"/>
      <c r="Z35" s="5">
        <f t="shared" ref="Z35:Z43" si="23">IF(T35=0,0,X35/T35)</f>
        <v>-0.82135480112282189</v>
      </c>
    </row>
    <row r="36" spans="1:26" s="24" customFormat="1" hidden="1" outlineLevel="2" x14ac:dyDescent="0.25">
      <c r="A36" s="29"/>
      <c r="B36" s="11" t="str">
        <f>CONCATENATE("          ", "6362", " - ", "ADVERTISING EXPENSE")</f>
        <v xml:space="preserve">          6362 - ADVERTISING EXPENSE</v>
      </c>
      <c r="C36" s="11"/>
      <c r="D36" s="7">
        <v>664.49</v>
      </c>
      <c r="E36" s="2"/>
      <c r="F36" s="6">
        <f t="shared" si="16"/>
        <v>0</v>
      </c>
      <c r="G36" s="2"/>
      <c r="H36" s="7">
        <v>1405.76</v>
      </c>
      <c r="I36" s="2"/>
      <c r="J36" s="6">
        <f t="shared" si="17"/>
        <v>0</v>
      </c>
      <c r="K36" s="2"/>
      <c r="L36" s="7">
        <f t="shared" si="18"/>
        <v>-741.27</v>
      </c>
      <c r="M36" s="2"/>
      <c r="N36" s="6">
        <f t="shared" si="19"/>
        <v>-0.52730907124971549</v>
      </c>
      <c r="O36" s="11"/>
      <c r="P36" s="7">
        <v>775.79</v>
      </c>
      <c r="Q36" s="2"/>
      <c r="R36" s="6">
        <f t="shared" si="20"/>
        <v>0</v>
      </c>
      <c r="S36" s="2"/>
      <c r="T36" s="7">
        <v>4342.63</v>
      </c>
      <c r="U36" s="2"/>
      <c r="V36" s="6">
        <f t="shared" si="21"/>
        <v>0</v>
      </c>
      <c r="W36" s="2"/>
      <c r="X36" s="7">
        <f t="shared" si="22"/>
        <v>-3566.84</v>
      </c>
      <c r="Y36" s="2"/>
      <c r="Z36" s="6">
        <f t="shared" si="23"/>
        <v>-0.82135480112282189</v>
      </c>
    </row>
    <row r="37" spans="1:26" s="27" customFormat="1" outlineLevel="1" collapsed="1" x14ac:dyDescent="0.25">
      <c r="A37" s="28"/>
      <c r="B37" s="14" t="str">
        <f>CONCATENATE("     ","Bad Debts/Over/Short                              ")</f>
        <v xml:space="preserve">     Bad Debts/Over/Short                              </v>
      </c>
      <c r="C37" s="14"/>
      <c r="D37" s="1">
        <f>SUM(OSRRefD22_3x_0)</f>
        <v>-90.22</v>
      </c>
      <c r="E37" s="1"/>
      <c r="F37" s="5">
        <f t="shared" si="16"/>
        <v>0</v>
      </c>
      <c r="G37" s="1"/>
      <c r="H37" s="1">
        <f>SUM(OSRRefH22_3x_0)</f>
        <v>-39.1</v>
      </c>
      <c r="I37" s="1"/>
      <c r="J37" s="5">
        <f t="shared" si="17"/>
        <v>0</v>
      </c>
      <c r="K37" s="1"/>
      <c r="L37" s="1">
        <f t="shared" si="18"/>
        <v>-51.12</v>
      </c>
      <c r="M37" s="1"/>
      <c r="N37" s="5">
        <f t="shared" si="19"/>
        <v>1.3074168797953962</v>
      </c>
      <c r="O37" s="14"/>
      <c r="P37" s="1">
        <f>SUM(OSRRefP22_3x_0)</f>
        <v>-103.17</v>
      </c>
      <c r="Q37" s="1"/>
      <c r="R37" s="5">
        <f t="shared" si="20"/>
        <v>0</v>
      </c>
      <c r="S37" s="1"/>
      <c r="T37" s="1">
        <f>SUM(OSRRefT22_3x_0)</f>
        <v>-59.72</v>
      </c>
      <c r="U37" s="1"/>
      <c r="V37" s="5">
        <f t="shared" si="21"/>
        <v>0</v>
      </c>
      <c r="W37" s="1"/>
      <c r="X37" s="1">
        <f t="shared" si="22"/>
        <v>-43.45</v>
      </c>
      <c r="Y37" s="1"/>
      <c r="Z37" s="5">
        <f t="shared" si="23"/>
        <v>0.72756195579370397</v>
      </c>
    </row>
    <row r="38" spans="1:26" s="24" customFormat="1" hidden="1" outlineLevel="2" x14ac:dyDescent="0.25">
      <c r="A38" s="29"/>
      <c r="B38" s="11" t="str">
        <f>CONCATENATE("          ", "6272", " - ", "CASH (OVER/SHORT)")</f>
        <v xml:space="preserve">          6272 - CASH (OVER/SHORT)</v>
      </c>
      <c r="C38" s="11"/>
      <c r="D38" s="7">
        <v>-90.22</v>
      </c>
      <c r="E38" s="2"/>
      <c r="F38" s="6">
        <f t="shared" si="16"/>
        <v>0</v>
      </c>
      <c r="G38" s="2"/>
      <c r="H38" s="7">
        <v>-39.1</v>
      </c>
      <c r="I38" s="2"/>
      <c r="J38" s="6">
        <f t="shared" si="17"/>
        <v>0</v>
      </c>
      <c r="K38" s="2"/>
      <c r="L38" s="7">
        <f t="shared" si="18"/>
        <v>-51.12</v>
      </c>
      <c r="M38" s="2"/>
      <c r="N38" s="6">
        <f t="shared" si="19"/>
        <v>1.3074168797953962</v>
      </c>
      <c r="O38" s="11"/>
      <c r="P38" s="7">
        <v>-103.17</v>
      </c>
      <c r="Q38" s="2"/>
      <c r="R38" s="6">
        <f t="shared" si="20"/>
        <v>0</v>
      </c>
      <c r="S38" s="2"/>
      <c r="T38" s="7">
        <v>-59.72</v>
      </c>
      <c r="U38" s="2"/>
      <c r="V38" s="6">
        <f t="shared" si="21"/>
        <v>0</v>
      </c>
      <c r="W38" s="2"/>
      <c r="X38" s="7">
        <f t="shared" si="22"/>
        <v>-43.45</v>
      </c>
      <c r="Y38" s="2"/>
      <c r="Z38" s="6">
        <f t="shared" si="23"/>
        <v>0.72756195579370397</v>
      </c>
    </row>
    <row r="39" spans="1:26" s="27" customFormat="1" outlineLevel="1" collapsed="1" x14ac:dyDescent="0.25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SUM(OSRRefD22_4x_0)</f>
        <v>32865.67</v>
      </c>
      <c r="E39" s="1"/>
      <c r="F39" s="5">
        <f t="shared" si="16"/>
        <v>0</v>
      </c>
      <c r="G39" s="1"/>
      <c r="H39" s="1">
        <f>SUM(OSRRefH22_4x_0)</f>
        <v>30327.459999999995</v>
      </c>
      <c r="I39" s="1"/>
      <c r="J39" s="5">
        <f t="shared" si="17"/>
        <v>0</v>
      </c>
      <c r="K39" s="1"/>
      <c r="L39" s="1">
        <f t="shared" si="18"/>
        <v>2538.2100000000028</v>
      </c>
      <c r="M39" s="1"/>
      <c r="N39" s="5">
        <f t="shared" si="19"/>
        <v>8.3693458008023192E-2</v>
      </c>
      <c r="O39" s="14"/>
      <c r="P39" s="1">
        <f>SUM(OSRRefP22_4x_0)</f>
        <v>37973.85</v>
      </c>
      <c r="Q39" s="1"/>
      <c r="R39" s="5">
        <f t="shared" si="20"/>
        <v>0</v>
      </c>
      <c r="S39" s="1"/>
      <c r="T39" s="1">
        <f>SUM(OSRRefT22_4x_0)</f>
        <v>34722.17</v>
      </c>
      <c r="U39" s="1"/>
      <c r="V39" s="5">
        <f t="shared" si="21"/>
        <v>0</v>
      </c>
      <c r="W39" s="1"/>
      <c r="X39" s="1">
        <f t="shared" si="22"/>
        <v>3251.6800000000003</v>
      </c>
      <c r="Y39" s="1"/>
      <c r="Z39" s="5">
        <f t="shared" si="23"/>
        <v>9.3648524847381384E-2</v>
      </c>
    </row>
    <row r="40" spans="1:26" s="24" customFormat="1" hidden="1" outlineLevel="2" x14ac:dyDescent="0.25">
      <c r="A40" s="29"/>
      <c r="B40" s="11" t="str">
        <f>CONCATENATE("          ", "6381", " - ", "BANK/CREDIT CARD FEES")</f>
        <v xml:space="preserve">          6381 - BANK/CREDIT CARD FEES</v>
      </c>
      <c r="C40" s="11"/>
      <c r="D40" s="7">
        <v>32865.67</v>
      </c>
      <c r="E40" s="2"/>
      <c r="F40" s="6">
        <f t="shared" si="16"/>
        <v>0</v>
      </c>
      <c r="G40" s="2"/>
      <c r="H40" s="7">
        <v>30327.459999999995</v>
      </c>
      <c r="I40" s="2"/>
      <c r="J40" s="6">
        <f t="shared" si="17"/>
        <v>0</v>
      </c>
      <c r="K40" s="2"/>
      <c r="L40" s="7">
        <f t="shared" si="18"/>
        <v>2538.2100000000028</v>
      </c>
      <c r="M40" s="2"/>
      <c r="N40" s="6">
        <f t="shared" si="19"/>
        <v>8.3693458008023192E-2</v>
      </c>
      <c r="O40" s="11"/>
      <c r="P40" s="7">
        <v>37973.85</v>
      </c>
      <c r="Q40" s="2"/>
      <c r="R40" s="6">
        <f t="shared" si="20"/>
        <v>0</v>
      </c>
      <c r="S40" s="2"/>
      <c r="T40" s="7">
        <v>34722.17</v>
      </c>
      <c r="U40" s="2"/>
      <c r="V40" s="6">
        <f t="shared" si="21"/>
        <v>0</v>
      </c>
      <c r="W40" s="2"/>
      <c r="X40" s="7">
        <f t="shared" si="22"/>
        <v>3251.6800000000003</v>
      </c>
      <c r="Y40" s="2"/>
      <c r="Z40" s="6">
        <f t="shared" si="23"/>
        <v>9.3648524847381384E-2</v>
      </c>
    </row>
    <row r="41" spans="1:26" s="27" customFormat="1" outlineLevel="1" collapsed="1" x14ac:dyDescent="0.25">
      <c r="A41" s="28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SUM(OSRRefD22_5x_0)</f>
        <v>29607.43</v>
      </c>
      <c r="E41" s="1"/>
      <c r="F41" s="5">
        <f t="shared" si="16"/>
        <v>0</v>
      </c>
      <c r="G41" s="1"/>
      <c r="H41" s="1">
        <f>SUM(OSRRefH22_5x_0)</f>
        <v>29330.07</v>
      </c>
      <c r="I41" s="1"/>
      <c r="J41" s="5">
        <f t="shared" si="17"/>
        <v>0</v>
      </c>
      <c r="K41" s="1"/>
      <c r="L41" s="1">
        <f t="shared" si="18"/>
        <v>277.36000000000058</v>
      </c>
      <c r="M41" s="1"/>
      <c r="N41" s="5">
        <f t="shared" si="19"/>
        <v>9.4565065818117914E-3</v>
      </c>
      <c r="O41" s="14"/>
      <c r="P41" s="1">
        <f>SUM(OSRRefP22_5x_0)</f>
        <v>59214.86</v>
      </c>
      <c r="Q41" s="1"/>
      <c r="R41" s="5">
        <f t="shared" si="20"/>
        <v>0</v>
      </c>
      <c r="S41" s="1"/>
      <c r="T41" s="1">
        <f>SUM(OSRRefT22_5x_0)</f>
        <v>58660.14</v>
      </c>
      <c r="U41" s="1"/>
      <c r="V41" s="5">
        <f t="shared" si="21"/>
        <v>0</v>
      </c>
      <c r="W41" s="1"/>
      <c r="X41" s="1">
        <f t="shared" si="22"/>
        <v>554.72000000000116</v>
      </c>
      <c r="Y41" s="1"/>
      <c r="Z41" s="5">
        <f t="shared" si="23"/>
        <v>9.4565065818117914E-3</v>
      </c>
    </row>
    <row r="42" spans="1:26" s="24" customFormat="1" hidden="1" outlineLevel="2" x14ac:dyDescent="0.25">
      <c r="A42" s="29"/>
      <c r="B42" s="11" t="str">
        <f>CONCATENATE("          ", "6321", " - ", "BUILDING DEPRECIATION")</f>
        <v xml:space="preserve">          6321 - BUILDING DEPRECIATION</v>
      </c>
      <c r="C42" s="11"/>
      <c r="D42" s="7">
        <v>16396.52</v>
      </c>
      <c r="E42" s="2"/>
      <c r="F42" s="6">
        <f t="shared" si="16"/>
        <v>0</v>
      </c>
      <c r="G42" s="2"/>
      <c r="H42" s="7">
        <v>16453.38</v>
      </c>
      <c r="I42" s="2"/>
      <c r="J42" s="6">
        <f t="shared" si="17"/>
        <v>0</v>
      </c>
      <c r="K42" s="2"/>
      <c r="L42" s="7">
        <f t="shared" si="18"/>
        <v>-56.860000000000582</v>
      </c>
      <c r="M42" s="2"/>
      <c r="N42" s="6">
        <f t="shared" si="19"/>
        <v>-3.4558248821822978E-3</v>
      </c>
      <c r="O42" s="11"/>
      <c r="P42" s="7">
        <v>32793.040000000001</v>
      </c>
      <c r="Q42" s="2"/>
      <c r="R42" s="6">
        <f t="shared" si="20"/>
        <v>0</v>
      </c>
      <c r="S42" s="2"/>
      <c r="T42" s="7">
        <v>32906.76</v>
      </c>
      <c r="U42" s="2"/>
      <c r="V42" s="6">
        <f t="shared" si="21"/>
        <v>0</v>
      </c>
      <c r="W42" s="2"/>
      <c r="X42" s="7">
        <f t="shared" si="22"/>
        <v>-113.72000000000116</v>
      </c>
      <c r="Y42" s="2"/>
      <c r="Z42" s="6">
        <f t="shared" si="23"/>
        <v>-3.4558248821822978E-3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13210.91</v>
      </c>
      <c r="E43" s="2"/>
      <c r="F43" s="6">
        <f t="shared" si="16"/>
        <v>0</v>
      </c>
      <c r="G43" s="2"/>
      <c r="H43" s="7">
        <v>12876.69</v>
      </c>
      <c r="I43" s="2"/>
      <c r="J43" s="6">
        <f t="shared" si="17"/>
        <v>0</v>
      </c>
      <c r="K43" s="2"/>
      <c r="L43" s="7">
        <f t="shared" si="18"/>
        <v>334.21999999999935</v>
      </c>
      <c r="M43" s="2"/>
      <c r="N43" s="6">
        <f t="shared" si="19"/>
        <v>2.5955427986539967E-2</v>
      </c>
      <c r="O43" s="11"/>
      <c r="P43" s="7">
        <v>26421.82</v>
      </c>
      <c r="Q43" s="2"/>
      <c r="R43" s="6">
        <f t="shared" si="20"/>
        <v>0</v>
      </c>
      <c r="S43" s="2"/>
      <c r="T43" s="7">
        <v>25753.38</v>
      </c>
      <c r="U43" s="2"/>
      <c r="V43" s="6">
        <f t="shared" si="21"/>
        <v>0</v>
      </c>
      <c r="W43" s="2"/>
      <c r="X43" s="7">
        <f t="shared" si="22"/>
        <v>668.43999999999869</v>
      </c>
      <c r="Y43" s="2"/>
      <c r="Z43" s="6">
        <f t="shared" si="23"/>
        <v>2.5955427986539967E-2</v>
      </c>
    </row>
    <row r="44" spans="1:26" s="27" customFormat="1" outlineLevel="1" collapsed="1" x14ac:dyDescent="0.25">
      <c r="A44" s="28"/>
      <c r="B44" s="14" t="str">
        <f>CONCATENATE("     ","Discounts and Markdowns                           ")</f>
        <v xml:space="preserve">     Discounts and Markdowns                           </v>
      </c>
      <c r="C44" s="14"/>
      <c r="D44" s="1">
        <f>SUM(OSRRefD22_6x_0)</f>
        <v>-269.88</v>
      </c>
      <c r="E44" s="1"/>
      <c r="F44" s="5">
        <f t="shared" ref="F44:F46" si="24">IF(D$12=0,0,D44/D$12)</f>
        <v>0</v>
      </c>
      <c r="G44" s="1"/>
      <c r="H44" s="1">
        <f>SUM(OSRRefH22_6x_0)</f>
        <v>-1033.9000000000001</v>
      </c>
      <c r="I44" s="1"/>
      <c r="J44" s="5">
        <f t="shared" ref="J44:J46" si="25">IF(H$12=0,0,H44/H$12)</f>
        <v>0</v>
      </c>
      <c r="K44" s="1"/>
      <c r="L44" s="1">
        <f t="shared" ref="L44:L46" si="26">+D44-H44</f>
        <v>764.0200000000001</v>
      </c>
      <c r="M44" s="1"/>
      <c r="N44" s="5">
        <f t="shared" ref="N44:N46" si="27">IF(H44=0,0,L44/H44)</f>
        <v>-0.7389689525099139</v>
      </c>
      <c r="O44" s="14"/>
      <c r="P44" s="1">
        <f>SUM(OSRRefP22_6x_0)</f>
        <v>-661.59</v>
      </c>
      <c r="Q44" s="1"/>
      <c r="R44" s="5">
        <f t="shared" ref="R44:R46" si="28">IF(P$12=0,0,P44/P$12)</f>
        <v>0</v>
      </c>
      <c r="S44" s="1"/>
      <c r="T44" s="1">
        <f>SUM(OSRRefT22_6x_0)</f>
        <v>-1243.5999999999999</v>
      </c>
      <c r="U44" s="1"/>
      <c r="V44" s="5">
        <f t="shared" ref="V44:V46" si="29">IF(T$12=0,0,T44/T$12)</f>
        <v>0</v>
      </c>
      <c r="W44" s="1"/>
      <c r="X44" s="1">
        <f t="shared" ref="X44:X46" si="30">+P44-T44</f>
        <v>582.00999999999988</v>
      </c>
      <c r="Y44" s="1"/>
      <c r="Z44" s="5">
        <f t="shared" ref="Z44:Z46" si="31">IF(T44=0,0,X44/T44)</f>
        <v>-0.46800418140881306</v>
      </c>
    </row>
    <row r="45" spans="1:26" s="24" customFormat="1" hidden="1" outlineLevel="2" x14ac:dyDescent="0.25">
      <c r="A45" s="29"/>
      <c r="B45" s="11" t="str">
        <f>CONCATENATE("          ", "6382", " - ", "DISCOUNTS/MARK DOWNS")</f>
        <v xml:space="preserve">          6382 - DISCOUNTS/MARK DOWNS</v>
      </c>
      <c r="C45" s="11"/>
      <c r="D45" s="7"/>
      <c r="E45" s="2"/>
      <c r="F45" s="6">
        <f t="shared" si="24"/>
        <v>0</v>
      </c>
      <c r="G45" s="2"/>
      <c r="H45" s="7"/>
      <c r="I45" s="2"/>
      <c r="J45" s="6">
        <f t="shared" si="25"/>
        <v>0</v>
      </c>
      <c r="K45" s="2"/>
      <c r="L45" s="7">
        <f t="shared" si="26"/>
        <v>0</v>
      </c>
      <c r="M45" s="2"/>
      <c r="N45" s="6">
        <f t="shared" si="27"/>
        <v>0</v>
      </c>
      <c r="O45" s="11"/>
      <c r="P45" s="7">
        <v>52</v>
      </c>
      <c r="Q45" s="2"/>
      <c r="R45" s="6">
        <f t="shared" si="28"/>
        <v>0</v>
      </c>
      <c r="S45" s="2"/>
      <c r="T45" s="7"/>
      <c r="U45" s="2"/>
      <c r="V45" s="6">
        <f t="shared" si="29"/>
        <v>0</v>
      </c>
      <c r="W45" s="2"/>
      <c r="X45" s="7">
        <f t="shared" si="30"/>
        <v>52</v>
      </c>
      <c r="Y45" s="2"/>
      <c r="Z45" s="6">
        <f t="shared" si="31"/>
        <v>0</v>
      </c>
    </row>
    <row r="46" spans="1:26" s="24" customFormat="1" hidden="1" outlineLevel="2" x14ac:dyDescent="0.25">
      <c r="A46" s="29"/>
      <c r="B46" s="11" t="str">
        <f>CONCATENATE("          ", "9175", " - ", "EARNED DISCOUNTS")</f>
        <v xml:space="preserve">          9175 - EARNED DISCOUNTS</v>
      </c>
      <c r="C46" s="11"/>
      <c r="D46" s="7">
        <v>-269.88</v>
      </c>
      <c r="E46" s="2"/>
      <c r="F46" s="6">
        <f t="shared" si="24"/>
        <v>0</v>
      </c>
      <c r="G46" s="2"/>
      <c r="H46" s="7">
        <v>-1033.9000000000001</v>
      </c>
      <c r="I46" s="2"/>
      <c r="J46" s="6">
        <f t="shared" si="25"/>
        <v>0</v>
      </c>
      <c r="K46" s="2"/>
      <c r="L46" s="7">
        <f t="shared" si="26"/>
        <v>764.0200000000001</v>
      </c>
      <c r="M46" s="2"/>
      <c r="N46" s="6">
        <f t="shared" si="27"/>
        <v>-0.7389689525099139</v>
      </c>
      <c r="O46" s="11"/>
      <c r="P46" s="7">
        <v>-713.59</v>
      </c>
      <c r="Q46" s="2"/>
      <c r="R46" s="6">
        <f t="shared" si="28"/>
        <v>0</v>
      </c>
      <c r="S46" s="2"/>
      <c r="T46" s="7">
        <v>-1243.5999999999999</v>
      </c>
      <c r="U46" s="2"/>
      <c r="V46" s="6">
        <f t="shared" si="29"/>
        <v>0</v>
      </c>
      <c r="W46" s="2"/>
      <c r="X46" s="7">
        <f t="shared" si="30"/>
        <v>530.00999999999988</v>
      </c>
      <c r="Y46" s="2"/>
      <c r="Z46" s="6">
        <f t="shared" si="31"/>
        <v>-0.42619009327758117</v>
      </c>
    </row>
    <row r="47" spans="1:26" s="27" customFormat="1" outlineLevel="1" collapsed="1" x14ac:dyDescent="0.25">
      <c r="A47" s="28"/>
      <c r="B47" s="14" t="str">
        <f>CONCATENATE("     ","Donations                                         ")</f>
        <v xml:space="preserve">     Donations                                         </v>
      </c>
      <c r="C47" s="14"/>
      <c r="D47" s="1">
        <f>SUM(OSRRefD22_7x_0)</f>
        <v>2691.56</v>
      </c>
      <c r="E47" s="1"/>
      <c r="F47" s="5">
        <f t="shared" ref="F47:F64" si="32">IF(D$12=0,0,D47/D$12)</f>
        <v>0</v>
      </c>
      <c r="G47" s="1"/>
      <c r="H47" s="1">
        <f>SUM(OSRRefH22_7x_0)</f>
        <v>859.6</v>
      </c>
      <c r="I47" s="1"/>
      <c r="J47" s="5">
        <f t="shared" ref="J47:J64" si="33">IF(H$12=0,0,H47/H$12)</f>
        <v>0</v>
      </c>
      <c r="K47" s="1"/>
      <c r="L47" s="1">
        <f t="shared" ref="L47:L64" si="34">+D47-H47</f>
        <v>1831.96</v>
      </c>
      <c r="M47" s="1"/>
      <c r="N47" s="5">
        <f t="shared" ref="N47:N64" si="35">IF(H47=0,0,L47/H47)</f>
        <v>2.1311772917636111</v>
      </c>
      <c r="O47" s="14"/>
      <c r="P47" s="1">
        <f>SUM(OSRRefP22_7x_0)</f>
        <v>3616.98</v>
      </c>
      <c r="Q47" s="1"/>
      <c r="R47" s="5">
        <f t="shared" ref="R47:R64" si="36">IF(P$12=0,0,P47/P$12)</f>
        <v>0</v>
      </c>
      <c r="S47" s="1"/>
      <c r="T47" s="1">
        <f>SUM(OSRRefT22_7x_0)</f>
        <v>2195.81</v>
      </c>
      <c r="U47" s="1"/>
      <c r="V47" s="5">
        <f t="shared" ref="V47:V64" si="37">IF(T$12=0,0,T47/T$12)</f>
        <v>0</v>
      </c>
      <c r="W47" s="1"/>
      <c r="X47" s="1">
        <f t="shared" ref="X47:X64" si="38">+P47-T47</f>
        <v>1421.17</v>
      </c>
      <c r="Y47" s="1"/>
      <c r="Z47" s="5">
        <f t="shared" ref="Z47:Z64" si="39">IF(T47=0,0,X47/T47)</f>
        <v>0.64721902168220391</v>
      </c>
    </row>
    <row r="48" spans="1:26" s="24" customFormat="1" hidden="1" outlineLevel="2" x14ac:dyDescent="0.25">
      <c r="A48" s="29"/>
      <c r="B48" s="11" t="str">
        <f>CONCATENATE("          ", "6399", " - ", "DONATION-ON CAMPUS")</f>
        <v xml:space="preserve">          6399 - DONATION-ON CAMPUS</v>
      </c>
      <c r="C48" s="11"/>
      <c r="D48" s="7">
        <v>2691.56</v>
      </c>
      <c r="E48" s="2"/>
      <c r="F48" s="6">
        <f t="shared" si="32"/>
        <v>0</v>
      </c>
      <c r="G48" s="2"/>
      <c r="H48" s="7">
        <v>859.6</v>
      </c>
      <c r="I48" s="2"/>
      <c r="J48" s="6">
        <f t="shared" si="33"/>
        <v>0</v>
      </c>
      <c r="K48" s="2"/>
      <c r="L48" s="7">
        <f t="shared" si="34"/>
        <v>1831.96</v>
      </c>
      <c r="M48" s="2"/>
      <c r="N48" s="6">
        <f t="shared" si="35"/>
        <v>2.1311772917636111</v>
      </c>
      <c r="O48" s="11"/>
      <c r="P48" s="7">
        <v>3616.98</v>
      </c>
      <c r="Q48" s="2"/>
      <c r="R48" s="6">
        <f t="shared" si="36"/>
        <v>0</v>
      </c>
      <c r="S48" s="2"/>
      <c r="T48" s="7">
        <v>2195.81</v>
      </c>
      <c r="U48" s="2"/>
      <c r="V48" s="6">
        <f t="shared" si="37"/>
        <v>0</v>
      </c>
      <c r="W48" s="2"/>
      <c r="X48" s="7">
        <f t="shared" si="38"/>
        <v>1421.17</v>
      </c>
      <c r="Y48" s="2"/>
      <c r="Z48" s="6">
        <f t="shared" si="39"/>
        <v>0.64721902168220391</v>
      </c>
    </row>
    <row r="49" spans="1:26" s="27" customFormat="1" outlineLevel="1" collapsed="1" x14ac:dyDescent="0.25">
      <c r="A49" s="28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SUM(OSRRefD22_8x_0)</f>
        <v>57.33</v>
      </c>
      <c r="E49" s="1"/>
      <c r="F49" s="5">
        <f t="shared" si="32"/>
        <v>0</v>
      </c>
      <c r="G49" s="1"/>
      <c r="H49" s="1">
        <f>SUM(OSRRefH22_8x_0)</f>
        <v>487.26</v>
      </c>
      <c r="I49" s="1"/>
      <c r="J49" s="5">
        <f t="shared" si="33"/>
        <v>0</v>
      </c>
      <c r="K49" s="1"/>
      <c r="L49" s="1">
        <f t="shared" si="34"/>
        <v>-429.93</v>
      </c>
      <c r="M49" s="1"/>
      <c r="N49" s="5">
        <f t="shared" si="35"/>
        <v>-0.88234207609900261</v>
      </c>
      <c r="O49" s="14"/>
      <c r="P49" s="1">
        <f>SUM(OSRRefP22_8x_0)</f>
        <v>316.95999999999998</v>
      </c>
      <c r="Q49" s="1"/>
      <c r="R49" s="5">
        <f t="shared" si="36"/>
        <v>0</v>
      </c>
      <c r="S49" s="1"/>
      <c r="T49" s="1">
        <f>SUM(OSRRefT22_8x_0)</f>
        <v>628.88</v>
      </c>
      <c r="U49" s="1"/>
      <c r="V49" s="5">
        <f t="shared" si="37"/>
        <v>0</v>
      </c>
      <c r="W49" s="1"/>
      <c r="X49" s="1">
        <f t="shared" si="38"/>
        <v>-311.92</v>
      </c>
      <c r="Y49" s="1"/>
      <c r="Z49" s="5">
        <f t="shared" si="39"/>
        <v>-0.49599287622439897</v>
      </c>
    </row>
    <row r="50" spans="1:26" s="24" customFormat="1" hidden="1" outlineLevel="2" x14ac:dyDescent="0.25">
      <c r="A50" s="29"/>
      <c r="B50" s="11" t="str">
        <f>CONCATENATE("          ", "6277", " - ", "EMPLOYEE APPRECIATION")</f>
        <v xml:space="preserve">          6277 - EMPLOYEE APPRECIATION</v>
      </c>
      <c r="C50" s="11"/>
      <c r="D50" s="7">
        <v>57.33</v>
      </c>
      <c r="E50" s="2"/>
      <c r="F50" s="6">
        <f t="shared" si="32"/>
        <v>0</v>
      </c>
      <c r="G50" s="2"/>
      <c r="H50" s="7">
        <v>487.26</v>
      </c>
      <c r="I50" s="2"/>
      <c r="J50" s="6">
        <f t="shared" si="33"/>
        <v>0</v>
      </c>
      <c r="K50" s="2"/>
      <c r="L50" s="7">
        <f t="shared" si="34"/>
        <v>-429.93</v>
      </c>
      <c r="M50" s="2"/>
      <c r="N50" s="6">
        <f t="shared" si="35"/>
        <v>-0.88234207609900261</v>
      </c>
      <c r="O50" s="11"/>
      <c r="P50" s="7">
        <v>316.95999999999998</v>
      </c>
      <c r="Q50" s="2"/>
      <c r="R50" s="6">
        <f t="shared" si="36"/>
        <v>0</v>
      </c>
      <c r="S50" s="2"/>
      <c r="T50" s="7">
        <v>628.88</v>
      </c>
      <c r="U50" s="2"/>
      <c r="V50" s="6">
        <f t="shared" si="37"/>
        <v>0</v>
      </c>
      <c r="W50" s="2"/>
      <c r="X50" s="7">
        <f t="shared" si="38"/>
        <v>-311.92</v>
      </c>
      <c r="Y50" s="2"/>
      <c r="Z50" s="6">
        <f t="shared" si="39"/>
        <v>-0.49599287622439897</v>
      </c>
    </row>
    <row r="51" spans="1:26" s="27" customFormat="1" outlineLevel="1" collapsed="1" x14ac:dyDescent="0.25">
      <c r="A51" s="28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SUM(OSRRefD22_9x_0)</f>
        <v>0</v>
      </c>
      <c r="E51" s="1"/>
      <c r="F51" s="5">
        <f t="shared" si="32"/>
        <v>0</v>
      </c>
      <c r="G51" s="1"/>
      <c r="H51" s="1">
        <f>SUM(OSRRefH22_9x_0)</f>
        <v>0</v>
      </c>
      <c r="I51" s="1"/>
      <c r="J51" s="5">
        <f t="shared" si="33"/>
        <v>0</v>
      </c>
      <c r="K51" s="1"/>
      <c r="L51" s="1">
        <f t="shared" si="34"/>
        <v>0</v>
      </c>
      <c r="M51" s="1"/>
      <c r="N51" s="5">
        <f t="shared" si="35"/>
        <v>0</v>
      </c>
      <c r="O51" s="14"/>
      <c r="P51" s="1">
        <f>SUM(OSRRefP22_9x_0)</f>
        <v>0</v>
      </c>
      <c r="Q51" s="1"/>
      <c r="R51" s="5">
        <f t="shared" si="36"/>
        <v>0</v>
      </c>
      <c r="S51" s="1"/>
      <c r="T51" s="1">
        <f>SUM(OSRRefT22_9x_0)</f>
        <v>5.56</v>
      </c>
      <c r="U51" s="1"/>
      <c r="V51" s="5">
        <f t="shared" si="37"/>
        <v>0</v>
      </c>
      <c r="W51" s="1"/>
      <c r="X51" s="1">
        <f t="shared" si="38"/>
        <v>-5.56</v>
      </c>
      <c r="Y51" s="1"/>
      <c r="Z51" s="5">
        <f t="shared" si="39"/>
        <v>-1</v>
      </c>
    </row>
    <row r="52" spans="1:26" s="24" customFormat="1" hidden="1" outlineLevel="2" x14ac:dyDescent="0.25">
      <c r="A52" s="29"/>
      <c r="B52" s="11" t="str">
        <f>CONCATENATE("          ", "6307", " - ", "POSTAGE")</f>
        <v xml:space="preserve">          6307 - POSTAGE</v>
      </c>
      <c r="C52" s="11"/>
      <c r="D52" s="7"/>
      <c r="E52" s="2"/>
      <c r="F52" s="6">
        <f t="shared" si="32"/>
        <v>0</v>
      </c>
      <c r="G52" s="2"/>
      <c r="H52" s="7"/>
      <c r="I52" s="2"/>
      <c r="J52" s="6">
        <f t="shared" si="33"/>
        <v>0</v>
      </c>
      <c r="K52" s="2"/>
      <c r="L52" s="7">
        <f t="shared" si="34"/>
        <v>0</v>
      </c>
      <c r="M52" s="2"/>
      <c r="N52" s="6">
        <f t="shared" si="35"/>
        <v>0</v>
      </c>
      <c r="O52" s="11"/>
      <c r="P52" s="7"/>
      <c r="Q52" s="2"/>
      <c r="R52" s="6">
        <f t="shared" si="36"/>
        <v>0</v>
      </c>
      <c r="S52" s="2"/>
      <c r="T52" s="7">
        <v>5.56</v>
      </c>
      <c r="U52" s="2"/>
      <c r="V52" s="6">
        <f t="shared" si="37"/>
        <v>0</v>
      </c>
      <c r="W52" s="2"/>
      <c r="X52" s="7">
        <f t="shared" si="38"/>
        <v>-5.56</v>
      </c>
      <c r="Y52" s="2"/>
      <c r="Z52" s="6">
        <f t="shared" si="39"/>
        <v>-1</v>
      </c>
    </row>
    <row r="53" spans="1:26" s="27" customFormat="1" outlineLevel="1" collapsed="1" x14ac:dyDescent="0.25">
      <c r="A53" s="28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SUM(OSRRefD22_10x_0)</f>
        <v>-15111.76</v>
      </c>
      <c r="E53" s="1"/>
      <c r="F53" s="5">
        <f t="shared" si="32"/>
        <v>0</v>
      </c>
      <c r="G53" s="1"/>
      <c r="H53" s="1">
        <f>SUM(OSRRefH22_10x_0)</f>
        <v>-0.5</v>
      </c>
      <c r="I53" s="1"/>
      <c r="J53" s="5">
        <f t="shared" si="33"/>
        <v>0</v>
      </c>
      <c r="K53" s="1"/>
      <c r="L53" s="1">
        <f t="shared" si="34"/>
        <v>-15111.26</v>
      </c>
      <c r="M53" s="1"/>
      <c r="N53" s="5">
        <f t="shared" si="35"/>
        <v>30222.52</v>
      </c>
      <c r="O53" s="14"/>
      <c r="P53" s="1">
        <f>SUM(OSRRefP22_10x_0)</f>
        <v>-15037.969999999998</v>
      </c>
      <c r="Q53" s="1"/>
      <c r="R53" s="5">
        <f t="shared" si="36"/>
        <v>0</v>
      </c>
      <c r="S53" s="1"/>
      <c r="T53" s="1">
        <f>SUM(OSRRefT22_10x_0)</f>
        <v>-501.3</v>
      </c>
      <c r="U53" s="1"/>
      <c r="V53" s="5">
        <f t="shared" si="37"/>
        <v>0</v>
      </c>
      <c r="W53" s="1"/>
      <c r="X53" s="1">
        <f t="shared" si="38"/>
        <v>-14536.669999999998</v>
      </c>
      <c r="Y53" s="1"/>
      <c r="Z53" s="5">
        <f t="shared" si="39"/>
        <v>28.997945342110508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7">
        <v>-15111.76</v>
      </c>
      <c r="E54" s="2"/>
      <c r="F54" s="6">
        <f t="shared" si="32"/>
        <v>0</v>
      </c>
      <c r="G54" s="2"/>
      <c r="H54" s="7">
        <v>-0.5</v>
      </c>
      <c r="I54" s="2"/>
      <c r="J54" s="6">
        <f t="shared" si="33"/>
        <v>0</v>
      </c>
      <c r="K54" s="2"/>
      <c r="L54" s="7">
        <f t="shared" si="34"/>
        <v>-15111.26</v>
      </c>
      <c r="M54" s="2"/>
      <c r="N54" s="6">
        <f t="shared" si="35"/>
        <v>30222.52</v>
      </c>
      <c r="O54" s="11"/>
      <c r="P54" s="7">
        <v>-15037.969999999998</v>
      </c>
      <c r="Q54" s="2"/>
      <c r="R54" s="6">
        <f t="shared" si="36"/>
        <v>0</v>
      </c>
      <c r="S54" s="2"/>
      <c r="T54" s="7">
        <v>-501.3</v>
      </c>
      <c r="U54" s="2"/>
      <c r="V54" s="6">
        <f t="shared" si="37"/>
        <v>0</v>
      </c>
      <c r="W54" s="2"/>
      <c r="X54" s="7">
        <f t="shared" si="38"/>
        <v>-14536.669999999998</v>
      </c>
      <c r="Y54" s="2"/>
      <c r="Z54" s="6">
        <f t="shared" si="39"/>
        <v>28.997945342110508</v>
      </c>
    </row>
    <row r="55" spans="1:26" s="27" customFormat="1" outlineLevel="1" collapsed="1" x14ac:dyDescent="0.25">
      <c r="A55" s="28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SUM(OSRRefD22_11x_0)</f>
        <v>3883.56</v>
      </c>
      <c r="E55" s="1"/>
      <c r="F55" s="5">
        <f t="shared" si="32"/>
        <v>0</v>
      </c>
      <c r="G55" s="1"/>
      <c r="H55" s="1">
        <f>SUM(OSRRefH22_11x_0)</f>
        <v>3658.12</v>
      </c>
      <c r="I55" s="1"/>
      <c r="J55" s="5">
        <f t="shared" si="33"/>
        <v>0</v>
      </c>
      <c r="K55" s="1"/>
      <c r="L55" s="1">
        <f t="shared" si="34"/>
        <v>225.44000000000005</v>
      </c>
      <c r="M55" s="1"/>
      <c r="N55" s="5">
        <f t="shared" si="35"/>
        <v>6.1627283960066934E-2</v>
      </c>
      <c r="O55" s="14"/>
      <c r="P55" s="1">
        <f>SUM(OSRRefP22_11x_0)</f>
        <v>7767.12</v>
      </c>
      <c r="Q55" s="1"/>
      <c r="R55" s="5">
        <f t="shared" si="36"/>
        <v>0</v>
      </c>
      <c r="S55" s="1"/>
      <c r="T55" s="1">
        <f>SUM(OSRRefT22_11x_0)</f>
        <v>7316.24</v>
      </c>
      <c r="U55" s="1"/>
      <c r="V55" s="5">
        <f t="shared" si="37"/>
        <v>0</v>
      </c>
      <c r="W55" s="1"/>
      <c r="X55" s="1">
        <f t="shared" si="38"/>
        <v>450.88000000000011</v>
      </c>
      <c r="Y55" s="1"/>
      <c r="Z55" s="5">
        <f t="shared" si="39"/>
        <v>6.1627283960066934E-2</v>
      </c>
    </row>
    <row r="56" spans="1:26" s="24" customFormat="1" hidden="1" outlineLevel="2" x14ac:dyDescent="0.25">
      <c r="A56" s="29"/>
      <c r="B56" s="11" t="str">
        <f>CONCATENATE("          ", "6314", " - ", "LIABILITY INSURANCE")</f>
        <v xml:space="preserve">          6314 - LIABILITY INSURANCE</v>
      </c>
      <c r="C56" s="11"/>
      <c r="D56" s="7">
        <v>3883.56</v>
      </c>
      <c r="E56" s="2"/>
      <c r="F56" s="6">
        <f t="shared" si="32"/>
        <v>0</v>
      </c>
      <c r="G56" s="2"/>
      <c r="H56" s="7">
        <v>3658.12</v>
      </c>
      <c r="I56" s="2"/>
      <c r="J56" s="6">
        <f t="shared" si="33"/>
        <v>0</v>
      </c>
      <c r="K56" s="2"/>
      <c r="L56" s="7">
        <f t="shared" si="34"/>
        <v>225.44000000000005</v>
      </c>
      <c r="M56" s="2"/>
      <c r="N56" s="6">
        <f t="shared" si="35"/>
        <v>6.1627283960066934E-2</v>
      </c>
      <c r="O56" s="11"/>
      <c r="P56" s="7">
        <v>7767.12</v>
      </c>
      <c r="Q56" s="2"/>
      <c r="R56" s="6">
        <f t="shared" si="36"/>
        <v>0</v>
      </c>
      <c r="S56" s="2"/>
      <c r="T56" s="7">
        <v>7316.24</v>
      </c>
      <c r="U56" s="2"/>
      <c r="V56" s="6">
        <f t="shared" si="37"/>
        <v>0</v>
      </c>
      <c r="W56" s="2"/>
      <c r="X56" s="7">
        <f t="shared" si="38"/>
        <v>450.88000000000011</v>
      </c>
      <c r="Y56" s="2"/>
      <c r="Z56" s="6">
        <f t="shared" si="39"/>
        <v>6.1627283960066934E-2</v>
      </c>
    </row>
    <row r="57" spans="1:26" s="27" customFormat="1" outlineLevel="1" collapsed="1" x14ac:dyDescent="0.25">
      <c r="A57" s="28"/>
      <c r="B57" s="14" t="str">
        <f>CONCATENATE("     ","Professional Services                             ")</f>
        <v xml:space="preserve">     Professional Services                             </v>
      </c>
      <c r="C57" s="14"/>
      <c r="D57" s="1">
        <f>SUM(OSRRefD22_12x_0)</f>
        <v>0</v>
      </c>
      <c r="E57" s="1"/>
      <c r="F57" s="5">
        <f t="shared" si="32"/>
        <v>0</v>
      </c>
      <c r="G57" s="1"/>
      <c r="H57" s="1">
        <f>SUM(OSRRefH22_12x_0)</f>
        <v>0</v>
      </c>
      <c r="I57" s="1"/>
      <c r="J57" s="5">
        <f t="shared" si="33"/>
        <v>0</v>
      </c>
      <c r="K57" s="1"/>
      <c r="L57" s="1">
        <f t="shared" si="34"/>
        <v>0</v>
      </c>
      <c r="M57" s="1"/>
      <c r="N57" s="5">
        <f t="shared" si="35"/>
        <v>0</v>
      </c>
      <c r="O57" s="14"/>
      <c r="P57" s="1">
        <f>SUM(OSRRefP22_12x_0)</f>
        <v>4658.41</v>
      </c>
      <c r="Q57" s="1"/>
      <c r="R57" s="5">
        <f t="shared" si="36"/>
        <v>0</v>
      </c>
      <c r="S57" s="1"/>
      <c r="T57" s="1">
        <f>SUM(OSRRefT22_12x_0)</f>
        <v>6776.43</v>
      </c>
      <c r="U57" s="1"/>
      <c r="V57" s="5">
        <f t="shared" si="37"/>
        <v>0</v>
      </c>
      <c r="W57" s="1"/>
      <c r="X57" s="1">
        <f t="shared" si="38"/>
        <v>-2118.0200000000004</v>
      </c>
      <c r="Y57" s="1"/>
      <c r="Z57" s="5">
        <f t="shared" si="39"/>
        <v>-0.31255690680786202</v>
      </c>
    </row>
    <row r="58" spans="1:26" s="24" customFormat="1" hidden="1" outlineLevel="2" x14ac:dyDescent="0.25">
      <c r="A58" s="29"/>
      <c r="B58" s="11" t="str">
        <f>CONCATENATE("          ", "6336", " - ", "PROFESSIONAL SERVICES")</f>
        <v xml:space="preserve">          6336 - PROFESSIONAL SERVICES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4658.41</v>
      </c>
      <c r="Q58" s="2"/>
      <c r="R58" s="6">
        <f t="shared" si="36"/>
        <v>0</v>
      </c>
      <c r="S58" s="2"/>
      <c r="T58" s="7">
        <v>6776.43</v>
      </c>
      <c r="U58" s="2"/>
      <c r="V58" s="6">
        <f t="shared" si="37"/>
        <v>0</v>
      </c>
      <c r="W58" s="2"/>
      <c r="X58" s="7">
        <f t="shared" si="38"/>
        <v>-2118.0200000000004</v>
      </c>
      <c r="Y58" s="2"/>
      <c r="Z58" s="6">
        <f t="shared" si="39"/>
        <v>-0.31255690680786202</v>
      </c>
    </row>
    <row r="59" spans="1:26" s="27" customFormat="1" outlineLevel="1" collapsed="1" x14ac:dyDescent="0.25">
      <c r="A59" s="28"/>
      <c r="B59" s="14" t="str">
        <f>CONCATENATE("     ","Rent                                              ")</f>
        <v xml:space="preserve">     Rent                                              </v>
      </c>
      <c r="C59" s="14"/>
      <c r="D59" s="1">
        <f>SUM(OSRRefD22_13x_0)</f>
        <v>-800</v>
      </c>
      <c r="E59" s="1"/>
      <c r="F59" s="5">
        <f t="shared" si="32"/>
        <v>0</v>
      </c>
      <c r="G59" s="1"/>
      <c r="H59" s="1">
        <f>SUM(OSRRefH22_13x_0)</f>
        <v>0</v>
      </c>
      <c r="I59" s="1"/>
      <c r="J59" s="5">
        <f t="shared" si="33"/>
        <v>0</v>
      </c>
      <c r="K59" s="1"/>
      <c r="L59" s="1">
        <f t="shared" si="34"/>
        <v>-800</v>
      </c>
      <c r="M59" s="1"/>
      <c r="N59" s="5">
        <f t="shared" si="35"/>
        <v>0</v>
      </c>
      <c r="O59" s="14"/>
      <c r="P59" s="1">
        <f>SUM(OSRRefP22_13x_0)</f>
        <v>-1600</v>
      </c>
      <c r="Q59" s="1"/>
      <c r="R59" s="5">
        <f t="shared" si="36"/>
        <v>0</v>
      </c>
      <c r="S59" s="1"/>
      <c r="T59" s="1">
        <f>SUM(OSRRefT22_13x_0)</f>
        <v>-698.92</v>
      </c>
      <c r="U59" s="1"/>
      <c r="V59" s="5">
        <f t="shared" si="37"/>
        <v>0</v>
      </c>
      <c r="W59" s="1"/>
      <c r="X59" s="1">
        <f t="shared" si="38"/>
        <v>-901.08</v>
      </c>
      <c r="Y59" s="1"/>
      <c r="Z59" s="5">
        <f t="shared" si="39"/>
        <v>1.2892462656670292</v>
      </c>
    </row>
    <row r="60" spans="1:26" s="24" customFormat="1" hidden="1" outlineLevel="2" x14ac:dyDescent="0.25">
      <c r="A60" s="29"/>
      <c r="B60" s="11" t="str">
        <f>CONCATENATE("          ", "6273", " - ", "RENT")</f>
        <v xml:space="preserve">          6273 - RENT</v>
      </c>
      <c r="C60" s="11"/>
      <c r="D60" s="7">
        <v>-800</v>
      </c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-800</v>
      </c>
      <c r="M60" s="2"/>
      <c r="N60" s="6">
        <f t="shared" si="35"/>
        <v>0</v>
      </c>
      <c r="O60" s="11"/>
      <c r="P60" s="7">
        <v>-1600</v>
      </c>
      <c r="Q60" s="2"/>
      <c r="R60" s="6">
        <f t="shared" si="36"/>
        <v>0</v>
      </c>
      <c r="S60" s="2"/>
      <c r="T60" s="7">
        <v>-698.92</v>
      </c>
      <c r="U60" s="2"/>
      <c r="V60" s="6">
        <f t="shared" si="37"/>
        <v>0</v>
      </c>
      <c r="W60" s="2"/>
      <c r="X60" s="7">
        <f t="shared" si="38"/>
        <v>-901.08</v>
      </c>
      <c r="Y60" s="2"/>
      <c r="Z60" s="6">
        <f t="shared" si="39"/>
        <v>1.2892462656670292</v>
      </c>
    </row>
    <row r="61" spans="1:26" s="27" customFormat="1" outlineLevel="1" collapsed="1" x14ac:dyDescent="0.25">
      <c r="A61" s="28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SUM(OSRRefD22_14x_0)</f>
        <v>9035.91</v>
      </c>
      <c r="E61" s="1"/>
      <c r="F61" s="5">
        <f t="shared" si="32"/>
        <v>0</v>
      </c>
      <c r="G61" s="1"/>
      <c r="H61" s="1">
        <f>SUM(OSRRefH22_14x_0)</f>
        <v>8262.11</v>
      </c>
      <c r="I61" s="1"/>
      <c r="J61" s="5">
        <f t="shared" si="33"/>
        <v>0</v>
      </c>
      <c r="K61" s="1"/>
      <c r="L61" s="1">
        <f t="shared" si="34"/>
        <v>773.79999999999927</v>
      </c>
      <c r="M61" s="1"/>
      <c r="N61" s="5">
        <f t="shared" si="35"/>
        <v>9.3656463058468017E-2</v>
      </c>
      <c r="O61" s="14"/>
      <c r="P61" s="1">
        <f>SUM(OSRRefP22_14x_0)</f>
        <v>25818.36</v>
      </c>
      <c r="Q61" s="1"/>
      <c r="R61" s="5">
        <f t="shared" si="36"/>
        <v>0</v>
      </c>
      <c r="S61" s="1"/>
      <c r="T61" s="1">
        <f>SUM(OSRRefT22_14x_0)</f>
        <v>56796.66</v>
      </c>
      <c r="U61" s="1"/>
      <c r="V61" s="5">
        <f t="shared" si="37"/>
        <v>0</v>
      </c>
      <c r="W61" s="1"/>
      <c r="X61" s="1">
        <f t="shared" si="38"/>
        <v>-30978.300000000003</v>
      </c>
      <c r="Y61" s="1"/>
      <c r="Z61" s="5">
        <f t="shared" si="39"/>
        <v>-0.54542467814128504</v>
      </c>
    </row>
    <row r="62" spans="1:26" s="24" customFormat="1" hidden="1" outlineLevel="2" x14ac:dyDescent="0.25">
      <c r="A62" s="29"/>
      <c r="B62" s="11" t="str">
        <f>CONCATENATE("          ", "6371", " - ", "COMPUTER SOFTWARE MAINTENANCE")</f>
        <v xml:space="preserve">          6371 - COMPUTER SOFTWARE MAINTENANCE</v>
      </c>
      <c r="C62" s="11"/>
      <c r="D62" s="7">
        <v>7887.25</v>
      </c>
      <c r="E62" s="2"/>
      <c r="F62" s="6">
        <f t="shared" si="32"/>
        <v>0</v>
      </c>
      <c r="G62" s="2"/>
      <c r="H62" s="7">
        <v>1832.8</v>
      </c>
      <c r="I62" s="2"/>
      <c r="J62" s="6">
        <f t="shared" si="33"/>
        <v>0</v>
      </c>
      <c r="K62" s="2"/>
      <c r="L62" s="7">
        <f t="shared" si="34"/>
        <v>6054.45</v>
      </c>
      <c r="M62" s="2"/>
      <c r="N62" s="6">
        <f t="shared" si="35"/>
        <v>3.3033882584024443</v>
      </c>
      <c r="O62" s="11"/>
      <c r="P62" s="7">
        <v>8488.25</v>
      </c>
      <c r="Q62" s="2"/>
      <c r="R62" s="6">
        <f t="shared" si="36"/>
        <v>0</v>
      </c>
      <c r="S62" s="2"/>
      <c r="T62" s="7">
        <v>43976.800000000003</v>
      </c>
      <c r="U62" s="2"/>
      <c r="V62" s="6">
        <f t="shared" si="37"/>
        <v>0</v>
      </c>
      <c r="W62" s="2"/>
      <c r="X62" s="7">
        <f t="shared" si="38"/>
        <v>-35488.550000000003</v>
      </c>
      <c r="Y62" s="2"/>
      <c r="Z62" s="6">
        <f t="shared" si="39"/>
        <v>-0.80698345491259027</v>
      </c>
    </row>
    <row r="63" spans="1:26" s="24" customFormat="1" hidden="1" outlineLevel="2" x14ac:dyDescent="0.25">
      <c r="A63" s="29"/>
      <c r="B63" s="11" t="str">
        <f>CONCATENATE("          ", "6373", " - ", "MAINTENANCE CONTRACTS")</f>
        <v xml:space="preserve">          6373 - MAINTENANCE CONTRACTS</v>
      </c>
      <c r="C63" s="11"/>
      <c r="D63" s="7"/>
      <c r="E63" s="2"/>
      <c r="F63" s="6">
        <f t="shared" si="32"/>
        <v>0</v>
      </c>
      <c r="G63" s="2"/>
      <c r="H63" s="7">
        <v>1592.14</v>
      </c>
      <c r="I63" s="2"/>
      <c r="J63" s="6">
        <f t="shared" si="33"/>
        <v>0</v>
      </c>
      <c r="K63" s="2"/>
      <c r="L63" s="7">
        <f t="shared" si="34"/>
        <v>-1592.14</v>
      </c>
      <c r="M63" s="2"/>
      <c r="N63" s="6">
        <f t="shared" si="35"/>
        <v>-1</v>
      </c>
      <c r="O63" s="11"/>
      <c r="P63" s="7">
        <v>516</v>
      </c>
      <c r="Q63" s="2"/>
      <c r="R63" s="6">
        <f t="shared" si="36"/>
        <v>0</v>
      </c>
      <c r="S63" s="2"/>
      <c r="T63" s="7">
        <v>3057.14</v>
      </c>
      <c r="U63" s="2"/>
      <c r="V63" s="6">
        <f t="shared" si="37"/>
        <v>0</v>
      </c>
      <c r="W63" s="2"/>
      <c r="X63" s="7">
        <f t="shared" si="38"/>
        <v>-2541.14</v>
      </c>
      <c r="Y63" s="2"/>
      <c r="Z63" s="6">
        <f t="shared" si="39"/>
        <v>-0.83121479552784627</v>
      </c>
    </row>
    <row r="64" spans="1:26" s="24" customFormat="1" hidden="1" outlineLevel="2" x14ac:dyDescent="0.25">
      <c r="A64" s="29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1148.6600000000001</v>
      </c>
      <c r="E64" s="2"/>
      <c r="F64" s="6">
        <f t="shared" si="32"/>
        <v>0</v>
      </c>
      <c r="G64" s="2"/>
      <c r="H64" s="7">
        <v>4837.17</v>
      </c>
      <c r="I64" s="2"/>
      <c r="J64" s="6">
        <f t="shared" si="33"/>
        <v>0</v>
      </c>
      <c r="K64" s="2"/>
      <c r="L64" s="7">
        <f t="shared" si="34"/>
        <v>-3688.51</v>
      </c>
      <c r="M64" s="2"/>
      <c r="N64" s="6">
        <f t="shared" si="35"/>
        <v>-0.76253470520986444</v>
      </c>
      <c r="O64" s="11"/>
      <c r="P64" s="7">
        <v>16814.11</v>
      </c>
      <c r="Q64" s="2"/>
      <c r="R64" s="6">
        <f t="shared" si="36"/>
        <v>0</v>
      </c>
      <c r="S64" s="2"/>
      <c r="T64" s="7">
        <v>9762.7199999999993</v>
      </c>
      <c r="U64" s="2"/>
      <c r="V64" s="6">
        <f t="shared" si="37"/>
        <v>0</v>
      </c>
      <c r="W64" s="2"/>
      <c r="X64" s="7">
        <f t="shared" si="38"/>
        <v>7051.3900000000012</v>
      </c>
      <c r="Y64" s="2"/>
      <c r="Z64" s="6">
        <f t="shared" si="39"/>
        <v>0.72227719324122808</v>
      </c>
    </row>
    <row r="65" spans="1:26" s="27" customFormat="1" outlineLevel="1" collapsed="1" x14ac:dyDescent="0.25">
      <c r="A65" s="28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SUM(OSRRefD22_15x_0)</f>
        <v>4180.04</v>
      </c>
      <c r="E65" s="1"/>
      <c r="F65" s="5">
        <f t="shared" ref="F65:F68" si="40">IF(D$12=0,0,D65/D$12)</f>
        <v>0</v>
      </c>
      <c r="G65" s="1"/>
      <c r="H65" s="1">
        <f>SUM(OSRRefH22_15x_0)</f>
        <v>3872.74</v>
      </c>
      <c r="I65" s="1"/>
      <c r="J65" s="5">
        <f t="shared" ref="J65:J68" si="41">IF(H$12=0,0,H65/H$12)</f>
        <v>0</v>
      </c>
      <c r="K65" s="1"/>
      <c r="L65" s="1">
        <f t="shared" ref="L65:L68" si="42">+D65-H65</f>
        <v>307.30000000000018</v>
      </c>
      <c r="M65" s="1"/>
      <c r="N65" s="5">
        <f t="shared" ref="N65:N68" si="43">IF(H65=0,0,L65/H65)</f>
        <v>7.9349504485196579E-2</v>
      </c>
      <c r="O65" s="14"/>
      <c r="P65" s="1">
        <f>SUM(OSRRefP22_15x_0)</f>
        <v>8360.08</v>
      </c>
      <c r="Q65" s="1"/>
      <c r="R65" s="5">
        <f t="shared" ref="R65:R68" si="44">IF(P$12=0,0,P65/P$12)</f>
        <v>0</v>
      </c>
      <c r="S65" s="1"/>
      <c r="T65" s="1">
        <f>SUM(OSRRefT22_15x_0)</f>
        <v>7920.36</v>
      </c>
      <c r="U65" s="1"/>
      <c r="V65" s="5">
        <f t="shared" ref="V65:V68" si="45">IF(T$12=0,0,T65/T$12)</f>
        <v>0</v>
      </c>
      <c r="W65" s="1"/>
      <c r="X65" s="1">
        <f t="shared" ref="X65:X68" si="46">+P65-T65</f>
        <v>439.72000000000025</v>
      </c>
      <c r="Y65" s="1"/>
      <c r="Z65" s="5">
        <f t="shared" ref="Z65:Z68" si="47">IF(T65=0,0,X65/T65)</f>
        <v>5.5517678489361628E-2</v>
      </c>
    </row>
    <row r="66" spans="1:26" s="24" customFormat="1" hidden="1" outlineLevel="2" x14ac:dyDescent="0.25">
      <c r="A66" s="29"/>
      <c r="B66" s="11" t="str">
        <f>CONCATENATE("          ", "6282", " - ", "JANITORIAL/EXTERMINATOR EXPENS")</f>
        <v xml:space="preserve">          6282 - JANITORIAL/EXTERMINATOR EXPENS</v>
      </c>
      <c r="C66" s="11"/>
      <c r="D66" s="7">
        <v>222.5</v>
      </c>
      <c r="E66" s="2"/>
      <c r="F66" s="6">
        <f t="shared" si="40"/>
        <v>0</v>
      </c>
      <c r="G66" s="2"/>
      <c r="H66" s="7">
        <v>194.5</v>
      </c>
      <c r="I66" s="2"/>
      <c r="J66" s="6">
        <f t="shared" si="41"/>
        <v>0</v>
      </c>
      <c r="K66" s="2"/>
      <c r="L66" s="7">
        <f t="shared" si="42"/>
        <v>28</v>
      </c>
      <c r="M66" s="2"/>
      <c r="N66" s="6">
        <f t="shared" si="43"/>
        <v>0.14395886889460155</v>
      </c>
      <c r="O66" s="11"/>
      <c r="P66" s="7">
        <v>445</v>
      </c>
      <c r="Q66" s="2"/>
      <c r="R66" s="6">
        <f t="shared" si="44"/>
        <v>0</v>
      </c>
      <c r="S66" s="2"/>
      <c r="T66" s="7">
        <v>389</v>
      </c>
      <c r="U66" s="2"/>
      <c r="V66" s="6">
        <f t="shared" si="45"/>
        <v>0</v>
      </c>
      <c r="W66" s="2"/>
      <c r="X66" s="7">
        <f t="shared" si="46"/>
        <v>56</v>
      </c>
      <c r="Y66" s="2"/>
      <c r="Z66" s="6">
        <f t="shared" si="47"/>
        <v>0.14395886889460155</v>
      </c>
    </row>
    <row r="67" spans="1:26" s="24" customFormat="1" hidden="1" outlineLevel="2" x14ac:dyDescent="0.25">
      <c r="A67" s="29"/>
      <c r="B67" s="11" t="str">
        <f>CONCATENATE("          ", "6283", " - ", "PLANT SERVICE")</f>
        <v xml:space="preserve">          6283 - PLANT SERVICE</v>
      </c>
      <c r="C67" s="11"/>
      <c r="D67" s="7">
        <v>121.11</v>
      </c>
      <c r="E67" s="2"/>
      <c r="F67" s="6">
        <f t="shared" si="40"/>
        <v>0</v>
      </c>
      <c r="G67" s="2"/>
      <c r="H67" s="7">
        <v>117</v>
      </c>
      <c r="I67" s="2"/>
      <c r="J67" s="6">
        <f t="shared" si="41"/>
        <v>0</v>
      </c>
      <c r="K67" s="2"/>
      <c r="L67" s="7">
        <f t="shared" si="42"/>
        <v>4.1099999999999994</v>
      </c>
      <c r="M67" s="2"/>
      <c r="N67" s="6">
        <f t="shared" si="43"/>
        <v>3.5128205128205123E-2</v>
      </c>
      <c r="O67" s="11"/>
      <c r="P67" s="7">
        <v>242.22</v>
      </c>
      <c r="Q67" s="2"/>
      <c r="R67" s="6">
        <f t="shared" si="44"/>
        <v>0</v>
      </c>
      <c r="S67" s="2"/>
      <c r="T67" s="7">
        <v>234</v>
      </c>
      <c r="U67" s="2"/>
      <c r="V67" s="6">
        <f t="shared" si="45"/>
        <v>0</v>
      </c>
      <c r="W67" s="2"/>
      <c r="X67" s="7">
        <f t="shared" si="46"/>
        <v>8.2199999999999989</v>
      </c>
      <c r="Y67" s="2"/>
      <c r="Z67" s="6">
        <f t="shared" si="47"/>
        <v>3.5128205128205123E-2</v>
      </c>
    </row>
    <row r="68" spans="1:26" s="24" customFormat="1" hidden="1" outlineLevel="2" x14ac:dyDescent="0.25">
      <c r="A68" s="29"/>
      <c r="B68" s="11" t="str">
        <f>CONCATENATE("          ", "6285", " - ", "JANITORIAL SERVICES")</f>
        <v xml:space="preserve">          6285 - JANITORIAL SERVICES</v>
      </c>
      <c r="C68" s="11"/>
      <c r="D68" s="7">
        <v>3836.43</v>
      </c>
      <c r="E68" s="2"/>
      <c r="F68" s="6">
        <f t="shared" si="40"/>
        <v>0</v>
      </c>
      <c r="G68" s="2"/>
      <c r="H68" s="7">
        <v>3561.24</v>
      </c>
      <c r="I68" s="2"/>
      <c r="J68" s="6">
        <f t="shared" si="41"/>
        <v>0</v>
      </c>
      <c r="K68" s="2"/>
      <c r="L68" s="7">
        <f t="shared" si="42"/>
        <v>275.19000000000005</v>
      </c>
      <c r="M68" s="2"/>
      <c r="N68" s="6">
        <f t="shared" si="43"/>
        <v>7.7273646258044976E-2</v>
      </c>
      <c r="O68" s="11"/>
      <c r="P68" s="7">
        <v>7672.86</v>
      </c>
      <c r="Q68" s="2"/>
      <c r="R68" s="6">
        <f t="shared" si="44"/>
        <v>0</v>
      </c>
      <c r="S68" s="2"/>
      <c r="T68" s="7">
        <v>7297.36</v>
      </c>
      <c r="U68" s="2"/>
      <c r="V68" s="6">
        <f t="shared" si="45"/>
        <v>0</v>
      </c>
      <c r="W68" s="2"/>
      <c r="X68" s="7">
        <f t="shared" si="46"/>
        <v>375.5</v>
      </c>
      <c r="Y68" s="2"/>
      <c r="Z68" s="6">
        <f t="shared" si="47"/>
        <v>5.1456965258668892E-2</v>
      </c>
    </row>
    <row r="69" spans="1:26" s="27" customFormat="1" outlineLevel="1" collapsed="1" x14ac:dyDescent="0.25">
      <c r="A69" s="28"/>
      <c r="B69" s="14" t="str">
        <f>CONCATENATE("     ","Subscriptions &amp; Dues                              ")</f>
        <v xml:space="preserve">     Subscriptions &amp; Dues                              </v>
      </c>
      <c r="C69" s="14"/>
      <c r="D69" s="1">
        <f>SUM(OSRRefD22_16x_0)</f>
        <v>159.97999999999999</v>
      </c>
      <c r="E69" s="1"/>
      <c r="F69" s="5">
        <f t="shared" ref="F69:F76" si="48">IF(D$12=0,0,D69/D$12)</f>
        <v>0</v>
      </c>
      <c r="G69" s="1"/>
      <c r="H69" s="1">
        <f>SUM(OSRRefH22_16x_0)</f>
        <v>0</v>
      </c>
      <c r="I69" s="1"/>
      <c r="J69" s="5">
        <f t="shared" ref="J69:J76" si="49">IF(H$12=0,0,H69/H$12)</f>
        <v>0</v>
      </c>
      <c r="K69" s="1"/>
      <c r="L69" s="1">
        <f t="shared" ref="L69:L76" si="50">+D69-H69</f>
        <v>159.97999999999999</v>
      </c>
      <c r="M69" s="1"/>
      <c r="N69" s="5">
        <f t="shared" ref="N69:N76" si="51">IF(H69=0,0,L69/H69)</f>
        <v>0</v>
      </c>
      <c r="O69" s="14"/>
      <c r="P69" s="1">
        <f>SUM(OSRRefP22_16x_0)</f>
        <v>319.95999999999998</v>
      </c>
      <c r="Q69" s="1"/>
      <c r="R69" s="5">
        <f t="shared" ref="R69:R76" si="52">IF(P$12=0,0,P69/P$12)</f>
        <v>0</v>
      </c>
      <c r="S69" s="1"/>
      <c r="T69" s="1">
        <f>SUM(OSRRefT22_16x_0)</f>
        <v>294.20999999999998</v>
      </c>
      <c r="U69" s="1"/>
      <c r="V69" s="5">
        <f t="shared" ref="V69:V76" si="53">IF(T$12=0,0,T69/T$12)</f>
        <v>0</v>
      </c>
      <c r="W69" s="1"/>
      <c r="X69" s="1">
        <f t="shared" ref="X69:X76" si="54">+P69-T69</f>
        <v>25.75</v>
      </c>
      <c r="Y69" s="1"/>
      <c r="Z69" s="5">
        <f t="shared" ref="Z69:Z76" si="55">IF(T69=0,0,X69/T69)</f>
        <v>8.7522517929370186E-2</v>
      </c>
    </row>
    <row r="70" spans="1:26" s="24" customFormat="1" hidden="1" outlineLevel="2" x14ac:dyDescent="0.25">
      <c r="A70" s="29"/>
      <c r="B70" s="11" t="str">
        <f>CONCATENATE("          ", "6275", " - ", "SUBSCRIPTIONS")</f>
        <v xml:space="preserve">          6275 - SUBSCRIPTIONS</v>
      </c>
      <c r="C70" s="11"/>
      <c r="D70" s="7">
        <v>159.97999999999999</v>
      </c>
      <c r="E70" s="2"/>
      <c r="F70" s="6">
        <f t="shared" si="48"/>
        <v>0</v>
      </c>
      <c r="G70" s="2"/>
      <c r="H70" s="7"/>
      <c r="I70" s="2"/>
      <c r="J70" s="6">
        <f t="shared" si="49"/>
        <v>0</v>
      </c>
      <c r="K70" s="2"/>
      <c r="L70" s="7">
        <f t="shared" si="50"/>
        <v>159.97999999999999</v>
      </c>
      <c r="M70" s="2"/>
      <c r="N70" s="6">
        <f t="shared" si="51"/>
        <v>0</v>
      </c>
      <c r="O70" s="11"/>
      <c r="P70" s="7">
        <v>319.95999999999998</v>
      </c>
      <c r="Q70" s="2"/>
      <c r="R70" s="6">
        <f t="shared" si="52"/>
        <v>0</v>
      </c>
      <c r="S70" s="2"/>
      <c r="T70" s="7">
        <v>294.20999999999998</v>
      </c>
      <c r="U70" s="2"/>
      <c r="V70" s="6">
        <f t="shared" si="53"/>
        <v>0</v>
      </c>
      <c r="W70" s="2"/>
      <c r="X70" s="7">
        <f t="shared" si="54"/>
        <v>25.75</v>
      </c>
      <c r="Y70" s="2"/>
      <c r="Z70" s="6">
        <f t="shared" si="55"/>
        <v>8.7522517929370186E-2</v>
      </c>
    </row>
    <row r="71" spans="1:26" s="27" customFormat="1" outlineLevel="1" collapsed="1" x14ac:dyDescent="0.25">
      <c r="A71" s="28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SUM(OSRRefD22_17x_0)</f>
        <v>-5649.6999999999989</v>
      </c>
      <c r="E71" s="1"/>
      <c r="F71" s="5">
        <f t="shared" si="48"/>
        <v>0</v>
      </c>
      <c r="G71" s="1"/>
      <c r="H71" s="1">
        <f>SUM(OSRRefH22_17x_0)</f>
        <v>2215.1</v>
      </c>
      <c r="I71" s="1"/>
      <c r="J71" s="5">
        <f t="shared" si="49"/>
        <v>0</v>
      </c>
      <c r="K71" s="1"/>
      <c r="L71" s="1">
        <f t="shared" si="50"/>
        <v>-7864.7999999999993</v>
      </c>
      <c r="M71" s="1"/>
      <c r="N71" s="5">
        <f t="shared" si="51"/>
        <v>-3.550539479030292</v>
      </c>
      <c r="O71" s="14"/>
      <c r="P71" s="1">
        <f>SUM(OSRRefP22_17x_0)</f>
        <v>-4247.8500000000004</v>
      </c>
      <c r="Q71" s="1"/>
      <c r="R71" s="5">
        <f t="shared" si="52"/>
        <v>0</v>
      </c>
      <c r="S71" s="1"/>
      <c r="T71" s="1">
        <f>SUM(OSRRefT22_17x_0)</f>
        <v>18120.13</v>
      </c>
      <c r="U71" s="1"/>
      <c r="V71" s="5">
        <f t="shared" si="53"/>
        <v>0</v>
      </c>
      <c r="W71" s="1"/>
      <c r="X71" s="1">
        <f t="shared" si="54"/>
        <v>-22367.980000000003</v>
      </c>
      <c r="Y71" s="1"/>
      <c r="Z71" s="5">
        <f t="shared" si="55"/>
        <v>-1.2344271260747026</v>
      </c>
    </row>
    <row r="72" spans="1:26" s="24" customFormat="1" hidden="1" outlineLevel="2" x14ac:dyDescent="0.25">
      <c r="A72" s="29"/>
      <c r="B72" s="11" t="str">
        <f>CONCATENATE("          ", "6234", " - ", "EXPENDABLE SUPPLIES &amp; EQUIPMEN")</f>
        <v xml:space="preserve">          6234 - EXPENDABLE SUPPLIES &amp; EQUIPMEN</v>
      </c>
      <c r="C72" s="11"/>
      <c r="D72" s="7">
        <v>14.02</v>
      </c>
      <c r="E72" s="2"/>
      <c r="F72" s="6">
        <f t="shared" si="48"/>
        <v>0</v>
      </c>
      <c r="G72" s="2"/>
      <c r="H72" s="7"/>
      <c r="I72" s="2"/>
      <c r="J72" s="6">
        <f t="shared" si="49"/>
        <v>0</v>
      </c>
      <c r="K72" s="2"/>
      <c r="L72" s="7">
        <f t="shared" si="50"/>
        <v>14.02</v>
      </c>
      <c r="M72" s="2"/>
      <c r="N72" s="6">
        <f t="shared" si="51"/>
        <v>0</v>
      </c>
      <c r="O72" s="11"/>
      <c r="P72" s="7">
        <v>714.78</v>
      </c>
      <c r="Q72" s="2"/>
      <c r="R72" s="6">
        <f t="shared" si="52"/>
        <v>0</v>
      </c>
      <c r="S72" s="2"/>
      <c r="T72" s="7">
        <v>357.21</v>
      </c>
      <c r="U72" s="2"/>
      <c r="V72" s="6">
        <f t="shared" si="53"/>
        <v>0</v>
      </c>
      <c r="W72" s="2"/>
      <c r="X72" s="7">
        <f t="shared" si="54"/>
        <v>357.57</v>
      </c>
      <c r="Y72" s="2"/>
      <c r="Z72" s="6">
        <f t="shared" si="55"/>
        <v>1.00100781053162</v>
      </c>
    </row>
    <row r="73" spans="1:26" s="24" customFormat="1" hidden="1" outlineLevel="2" x14ac:dyDescent="0.25">
      <c r="A73" s="29"/>
      <c r="B73" s="11" t="str">
        <f>CONCATENATE("          ", "6237", " - ", "JANITORIAL SUPPLIES")</f>
        <v xml:space="preserve">          6237 - JANITORIAL SUPPLIES</v>
      </c>
      <c r="C73" s="11"/>
      <c r="D73" s="7">
        <v>326.57</v>
      </c>
      <c r="E73" s="2"/>
      <c r="F73" s="6">
        <f t="shared" si="48"/>
        <v>0</v>
      </c>
      <c r="G73" s="2"/>
      <c r="H73" s="7">
        <v>464.32</v>
      </c>
      <c r="I73" s="2"/>
      <c r="J73" s="6">
        <f t="shared" si="49"/>
        <v>0</v>
      </c>
      <c r="K73" s="2"/>
      <c r="L73" s="7">
        <f t="shared" si="50"/>
        <v>-137.75</v>
      </c>
      <c r="M73" s="2"/>
      <c r="N73" s="6">
        <f t="shared" si="51"/>
        <v>-0.29667039972432807</v>
      </c>
      <c r="O73" s="11"/>
      <c r="P73" s="7">
        <v>775.4</v>
      </c>
      <c r="Q73" s="2"/>
      <c r="R73" s="6">
        <f t="shared" si="52"/>
        <v>0</v>
      </c>
      <c r="S73" s="2"/>
      <c r="T73" s="7">
        <v>1014.28</v>
      </c>
      <c r="U73" s="2"/>
      <c r="V73" s="6">
        <f t="shared" si="53"/>
        <v>0</v>
      </c>
      <c r="W73" s="2"/>
      <c r="X73" s="7">
        <f t="shared" si="54"/>
        <v>-238.88</v>
      </c>
      <c r="Y73" s="2"/>
      <c r="Z73" s="6">
        <f t="shared" si="55"/>
        <v>-0.23551681981306938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7">
        <v>2242.21</v>
      </c>
      <c r="E74" s="2"/>
      <c r="F74" s="6">
        <f t="shared" si="48"/>
        <v>0</v>
      </c>
      <c r="G74" s="2"/>
      <c r="H74" s="7">
        <v>1996.12</v>
      </c>
      <c r="I74" s="2"/>
      <c r="J74" s="6">
        <f t="shared" si="49"/>
        <v>0</v>
      </c>
      <c r="K74" s="2"/>
      <c r="L74" s="7">
        <f t="shared" si="50"/>
        <v>246.09000000000015</v>
      </c>
      <c r="M74" s="2"/>
      <c r="N74" s="6">
        <f t="shared" si="51"/>
        <v>0.12328417129230715</v>
      </c>
      <c r="O74" s="11"/>
      <c r="P74" s="7">
        <v>2592.33</v>
      </c>
      <c r="Q74" s="2"/>
      <c r="R74" s="6">
        <f t="shared" si="52"/>
        <v>0</v>
      </c>
      <c r="S74" s="2"/>
      <c r="T74" s="7">
        <v>3963.44</v>
      </c>
      <c r="U74" s="2"/>
      <c r="V74" s="6">
        <f t="shared" si="53"/>
        <v>0</v>
      </c>
      <c r="W74" s="2"/>
      <c r="X74" s="7">
        <f t="shared" si="54"/>
        <v>-1371.1100000000001</v>
      </c>
      <c r="Y74" s="2"/>
      <c r="Z74" s="6">
        <f t="shared" si="55"/>
        <v>-0.34593938598792973</v>
      </c>
    </row>
    <row r="75" spans="1:26" s="24" customFormat="1" hidden="1" outlineLevel="2" x14ac:dyDescent="0.25">
      <c r="A75" s="29"/>
      <c r="B75" s="11" t="str">
        <f>CONCATENATE("          ", "6245", " - ", "PRINTING")</f>
        <v xml:space="preserve">          6245 - PRINTING</v>
      </c>
      <c r="C75" s="11"/>
      <c r="D75" s="7">
        <v>19.73</v>
      </c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19.73</v>
      </c>
      <c r="M75" s="2"/>
      <c r="N75" s="6">
        <f t="shared" si="51"/>
        <v>0</v>
      </c>
      <c r="O75" s="11"/>
      <c r="P75" s="7">
        <v>19.73</v>
      </c>
      <c r="Q75" s="2"/>
      <c r="R75" s="6">
        <f t="shared" si="52"/>
        <v>0</v>
      </c>
      <c r="S75" s="2"/>
      <c r="T75" s="7">
        <v>277.58999999999997</v>
      </c>
      <c r="U75" s="2"/>
      <c r="V75" s="6">
        <f t="shared" si="53"/>
        <v>0</v>
      </c>
      <c r="W75" s="2"/>
      <c r="X75" s="7">
        <f t="shared" si="54"/>
        <v>-257.85999999999996</v>
      </c>
      <c r="Y75" s="2"/>
      <c r="Z75" s="6">
        <f t="shared" si="55"/>
        <v>-0.92892395259195204</v>
      </c>
    </row>
    <row r="76" spans="1:26" s="24" customFormat="1" hidden="1" outlineLevel="2" x14ac:dyDescent="0.25">
      <c r="A76" s="29"/>
      <c r="B76" s="11" t="str">
        <f>CONCATENATE("          ", "6247", " - ", "STORE SUPPLIES")</f>
        <v xml:space="preserve">          6247 - STORE SUPPLIES</v>
      </c>
      <c r="C76" s="11"/>
      <c r="D76" s="7">
        <v>-8252.23</v>
      </c>
      <c r="E76" s="2"/>
      <c r="F76" s="6">
        <f t="shared" si="48"/>
        <v>0</v>
      </c>
      <c r="G76" s="2"/>
      <c r="H76" s="7">
        <v>-245.34</v>
      </c>
      <c r="I76" s="2"/>
      <c r="J76" s="6">
        <f t="shared" si="49"/>
        <v>0</v>
      </c>
      <c r="K76" s="2"/>
      <c r="L76" s="7">
        <f t="shared" si="50"/>
        <v>-8006.8899999999994</v>
      </c>
      <c r="M76" s="2"/>
      <c r="N76" s="6">
        <f t="shared" si="51"/>
        <v>32.635893046384609</v>
      </c>
      <c r="O76" s="11"/>
      <c r="P76" s="7">
        <v>-8350.09</v>
      </c>
      <c r="Q76" s="2"/>
      <c r="R76" s="6">
        <f t="shared" si="52"/>
        <v>0</v>
      </c>
      <c r="S76" s="2"/>
      <c r="T76" s="7">
        <v>12507.61</v>
      </c>
      <c r="U76" s="2"/>
      <c r="V76" s="6">
        <f t="shared" si="53"/>
        <v>0</v>
      </c>
      <c r="W76" s="2"/>
      <c r="X76" s="7">
        <f t="shared" si="54"/>
        <v>-20857.7</v>
      </c>
      <c r="Y76" s="2"/>
      <c r="Z76" s="6">
        <f t="shared" si="55"/>
        <v>-1.6676007646544784</v>
      </c>
    </row>
    <row r="77" spans="1:26" s="27" customFormat="1" outlineLevel="1" collapsed="1" x14ac:dyDescent="0.25">
      <c r="A77" s="28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SUM(OSRRefD22_18x_0)</f>
        <v>507.66</v>
      </c>
      <c r="E77" s="1"/>
      <c r="F77" s="5">
        <f t="shared" ref="F77:F83" si="56">IF(D$12=0,0,D77/D$12)</f>
        <v>0</v>
      </c>
      <c r="G77" s="1"/>
      <c r="H77" s="1">
        <f>SUM(OSRRefH22_18x_0)</f>
        <v>478.46</v>
      </c>
      <c r="I77" s="1"/>
      <c r="J77" s="5">
        <f t="shared" ref="J77:J83" si="57">IF(H$12=0,0,H77/H$12)</f>
        <v>0</v>
      </c>
      <c r="K77" s="1"/>
      <c r="L77" s="1">
        <f t="shared" ref="L77:L83" si="58">+D77-H77</f>
        <v>29.200000000000045</v>
      </c>
      <c r="M77" s="1"/>
      <c r="N77" s="5">
        <f t="shared" ref="N77:N83" si="59">IF(H77=0,0,L77/H77)</f>
        <v>6.1029135141913736E-2</v>
      </c>
      <c r="O77" s="14"/>
      <c r="P77" s="1">
        <f>SUM(OSRRefP22_18x_0)</f>
        <v>905.02</v>
      </c>
      <c r="Q77" s="1"/>
      <c r="R77" s="5">
        <f t="shared" ref="R77:R83" si="60">IF(P$12=0,0,P77/P$12)</f>
        <v>0</v>
      </c>
      <c r="S77" s="1"/>
      <c r="T77" s="1">
        <f>SUM(OSRRefT22_18x_0)</f>
        <v>832.87</v>
      </c>
      <c r="U77" s="1"/>
      <c r="V77" s="5">
        <f t="shared" ref="V77:V83" si="61">IF(T$12=0,0,T77/T$12)</f>
        <v>0</v>
      </c>
      <c r="W77" s="1"/>
      <c r="X77" s="1">
        <f t="shared" ref="X77:X83" si="62">+P77-T77</f>
        <v>72.149999999999977</v>
      </c>
      <c r="Y77" s="1"/>
      <c r="Z77" s="5">
        <f t="shared" ref="Z77:Z83" si="63">IF(T77=0,0,X77/T77)</f>
        <v>8.6628165259884468E-2</v>
      </c>
    </row>
    <row r="78" spans="1:26" s="24" customFormat="1" hidden="1" outlineLevel="2" x14ac:dyDescent="0.25">
      <c r="A78" s="29"/>
      <c r="B78" s="11" t="str">
        <f>CONCATENATE("          ", "6309", " - ", "TELEPHONE")</f>
        <v xml:space="preserve">          6309 - TELEPHONE</v>
      </c>
      <c r="C78" s="11"/>
      <c r="D78" s="7">
        <v>507.66</v>
      </c>
      <c r="E78" s="2"/>
      <c r="F78" s="6">
        <f t="shared" si="56"/>
        <v>0</v>
      </c>
      <c r="G78" s="2"/>
      <c r="H78" s="7">
        <v>478.46</v>
      </c>
      <c r="I78" s="2"/>
      <c r="J78" s="6">
        <f t="shared" si="57"/>
        <v>0</v>
      </c>
      <c r="K78" s="2"/>
      <c r="L78" s="7">
        <f t="shared" si="58"/>
        <v>29.200000000000045</v>
      </c>
      <c r="M78" s="2"/>
      <c r="N78" s="6">
        <f t="shared" si="59"/>
        <v>6.1029135141913736E-2</v>
      </c>
      <c r="O78" s="11"/>
      <c r="P78" s="7">
        <v>905.02</v>
      </c>
      <c r="Q78" s="2"/>
      <c r="R78" s="6">
        <f t="shared" si="60"/>
        <v>0</v>
      </c>
      <c r="S78" s="2"/>
      <c r="T78" s="7">
        <v>832.87</v>
      </c>
      <c r="U78" s="2"/>
      <c r="V78" s="6">
        <f t="shared" si="61"/>
        <v>0</v>
      </c>
      <c r="W78" s="2"/>
      <c r="X78" s="7">
        <f t="shared" si="62"/>
        <v>72.149999999999977</v>
      </c>
      <c r="Y78" s="2"/>
      <c r="Z78" s="6">
        <f t="shared" si="63"/>
        <v>8.6628165259884468E-2</v>
      </c>
    </row>
    <row r="79" spans="1:26" s="27" customFormat="1" outlineLevel="1" collapsed="1" x14ac:dyDescent="0.25">
      <c r="A79" s="28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SUM(OSRRefD22_19x_0)</f>
        <v>6500</v>
      </c>
      <c r="E79" s="1"/>
      <c r="F79" s="5">
        <f t="shared" si="56"/>
        <v>0</v>
      </c>
      <c r="G79" s="1"/>
      <c r="H79" s="1">
        <f>SUM(OSRRefH22_19x_0)</f>
        <v>-2429.0500000000002</v>
      </c>
      <c r="I79" s="1"/>
      <c r="J79" s="5">
        <f t="shared" si="57"/>
        <v>0</v>
      </c>
      <c r="K79" s="1"/>
      <c r="L79" s="1">
        <f t="shared" si="58"/>
        <v>8929.0499999999993</v>
      </c>
      <c r="M79" s="1"/>
      <c r="N79" s="5">
        <f t="shared" si="59"/>
        <v>-3.6759432700026755</v>
      </c>
      <c r="O79" s="14"/>
      <c r="P79" s="1">
        <f>SUM(OSRRefP22_19x_0)</f>
        <v>6671.56</v>
      </c>
      <c r="Q79" s="1"/>
      <c r="R79" s="5">
        <f t="shared" si="60"/>
        <v>0</v>
      </c>
      <c r="S79" s="1"/>
      <c r="T79" s="1">
        <f>SUM(OSRRefT22_19x_0)</f>
        <v>-1263.6500000000001</v>
      </c>
      <c r="U79" s="1"/>
      <c r="V79" s="5">
        <f t="shared" si="61"/>
        <v>0</v>
      </c>
      <c r="W79" s="1"/>
      <c r="X79" s="1">
        <f t="shared" si="62"/>
        <v>7935.2100000000009</v>
      </c>
      <c r="Y79" s="1"/>
      <c r="Z79" s="5">
        <f t="shared" si="63"/>
        <v>-6.2795948245162823</v>
      </c>
    </row>
    <row r="80" spans="1:26" s="24" customFormat="1" hidden="1" outlineLevel="2" x14ac:dyDescent="0.25">
      <c r="A80" s="29"/>
      <c r="B80" s="11" t="str">
        <f>CONCATENATE("          ", "6376", " - ", "TRAINING")</f>
        <v xml:space="preserve">          6376 - TRAINING</v>
      </c>
      <c r="C80" s="11"/>
      <c r="D80" s="7">
        <v>6500</v>
      </c>
      <c r="E80" s="2"/>
      <c r="F80" s="6">
        <f t="shared" si="56"/>
        <v>0</v>
      </c>
      <c r="G80" s="2"/>
      <c r="H80" s="7">
        <v>-2429.0500000000002</v>
      </c>
      <c r="I80" s="2"/>
      <c r="J80" s="6">
        <f t="shared" si="57"/>
        <v>0</v>
      </c>
      <c r="K80" s="2"/>
      <c r="L80" s="7">
        <f t="shared" si="58"/>
        <v>8929.0499999999993</v>
      </c>
      <c r="M80" s="2"/>
      <c r="N80" s="6">
        <f t="shared" si="59"/>
        <v>-3.6759432700026755</v>
      </c>
      <c r="O80" s="11"/>
      <c r="P80" s="7">
        <v>6671.56</v>
      </c>
      <c r="Q80" s="2"/>
      <c r="R80" s="6">
        <f t="shared" si="60"/>
        <v>0</v>
      </c>
      <c r="S80" s="2"/>
      <c r="T80" s="7">
        <v>-1263.6500000000001</v>
      </c>
      <c r="U80" s="2"/>
      <c r="V80" s="6">
        <f t="shared" si="61"/>
        <v>0</v>
      </c>
      <c r="W80" s="2"/>
      <c r="X80" s="7">
        <f t="shared" si="62"/>
        <v>7935.2100000000009</v>
      </c>
      <c r="Y80" s="2"/>
      <c r="Z80" s="6">
        <f t="shared" si="63"/>
        <v>-6.2795948245162823</v>
      </c>
    </row>
    <row r="81" spans="1:26" s="27" customFormat="1" outlineLevel="1" collapsed="1" x14ac:dyDescent="0.25">
      <c r="A81" s="28"/>
      <c r="B81" s="14" t="str">
        <f>CONCATENATE("     ","Travel                                            ")</f>
        <v xml:space="preserve">     Travel                                            </v>
      </c>
      <c r="C81" s="14"/>
      <c r="D81" s="1">
        <f>SUM(OSRRefD22_20x_0)</f>
        <v>115.67999999999999</v>
      </c>
      <c r="E81" s="1"/>
      <c r="F81" s="5">
        <f t="shared" si="56"/>
        <v>0</v>
      </c>
      <c r="G81" s="1"/>
      <c r="H81" s="1">
        <f>SUM(OSRRefH22_20x_0)</f>
        <v>153.59</v>
      </c>
      <c r="I81" s="1"/>
      <c r="J81" s="5">
        <f t="shared" si="57"/>
        <v>0</v>
      </c>
      <c r="K81" s="1"/>
      <c r="L81" s="1">
        <f t="shared" si="58"/>
        <v>-37.910000000000011</v>
      </c>
      <c r="M81" s="1"/>
      <c r="N81" s="5">
        <f t="shared" si="59"/>
        <v>-0.24682596523211153</v>
      </c>
      <c r="O81" s="14"/>
      <c r="P81" s="1">
        <f>SUM(OSRRefP22_20x_0)</f>
        <v>337.36</v>
      </c>
      <c r="Q81" s="1"/>
      <c r="R81" s="5">
        <f t="shared" si="60"/>
        <v>0</v>
      </c>
      <c r="S81" s="1"/>
      <c r="T81" s="1">
        <f>SUM(OSRRefT22_20x_0)</f>
        <v>300.77999999999997</v>
      </c>
      <c r="U81" s="1"/>
      <c r="V81" s="5">
        <f t="shared" si="61"/>
        <v>0</v>
      </c>
      <c r="W81" s="1"/>
      <c r="X81" s="1">
        <f t="shared" si="62"/>
        <v>36.580000000000041</v>
      </c>
      <c r="Y81" s="1"/>
      <c r="Z81" s="5">
        <f t="shared" si="63"/>
        <v>0.12161712879845749</v>
      </c>
    </row>
    <row r="82" spans="1:26" s="24" customFormat="1" hidden="1" outlineLevel="2" x14ac:dyDescent="0.25">
      <c r="A82" s="29"/>
      <c r="B82" s="11" t="str">
        <f>CONCATENATE("          ", "6292", " - ", "TRAVEL/CONFERENCE")</f>
        <v xml:space="preserve">          6292 - TRAVEL/CONFERENCE</v>
      </c>
      <c r="C82" s="11"/>
      <c r="D82" s="7">
        <v>100.16</v>
      </c>
      <c r="E82" s="2"/>
      <c r="F82" s="6">
        <f t="shared" si="56"/>
        <v>0</v>
      </c>
      <c r="G82" s="2"/>
      <c r="H82" s="7">
        <v>126.16</v>
      </c>
      <c r="I82" s="2"/>
      <c r="J82" s="6">
        <f t="shared" si="57"/>
        <v>0</v>
      </c>
      <c r="K82" s="2"/>
      <c r="L82" s="7">
        <f t="shared" si="58"/>
        <v>-26</v>
      </c>
      <c r="M82" s="2"/>
      <c r="N82" s="6">
        <f t="shared" si="59"/>
        <v>-0.20608750792644262</v>
      </c>
      <c r="O82" s="11"/>
      <c r="P82" s="7">
        <v>250.64</v>
      </c>
      <c r="Q82" s="2"/>
      <c r="R82" s="6">
        <f t="shared" si="60"/>
        <v>0</v>
      </c>
      <c r="S82" s="2"/>
      <c r="T82" s="7">
        <v>250</v>
      </c>
      <c r="U82" s="2"/>
      <c r="V82" s="6">
        <f t="shared" si="61"/>
        <v>0</v>
      </c>
      <c r="W82" s="2"/>
      <c r="X82" s="7">
        <f t="shared" si="62"/>
        <v>0.63999999999998636</v>
      </c>
      <c r="Y82" s="2"/>
      <c r="Z82" s="6">
        <f t="shared" si="63"/>
        <v>2.5599999999999456E-3</v>
      </c>
    </row>
    <row r="83" spans="1:26" s="24" customFormat="1" hidden="1" outlineLevel="2" x14ac:dyDescent="0.25">
      <c r="A83" s="29"/>
      <c r="B83" s="11" t="str">
        <f>CONCATENATE("          ", "6298", " - ", "VEHICLE MILEAGE")</f>
        <v xml:space="preserve">          6298 - VEHICLE MILEAGE</v>
      </c>
      <c r="C83" s="11"/>
      <c r="D83" s="7">
        <v>15.52</v>
      </c>
      <c r="E83" s="2"/>
      <c r="F83" s="6">
        <f t="shared" si="56"/>
        <v>0</v>
      </c>
      <c r="G83" s="2"/>
      <c r="H83" s="7">
        <v>27.43</v>
      </c>
      <c r="I83" s="2"/>
      <c r="J83" s="6">
        <f t="shared" si="57"/>
        <v>0</v>
      </c>
      <c r="K83" s="2"/>
      <c r="L83" s="7">
        <f t="shared" si="58"/>
        <v>-11.91</v>
      </c>
      <c r="M83" s="2"/>
      <c r="N83" s="6">
        <f t="shared" si="59"/>
        <v>-0.43419613561793657</v>
      </c>
      <c r="O83" s="11"/>
      <c r="P83" s="7">
        <v>86.72</v>
      </c>
      <c r="Q83" s="2"/>
      <c r="R83" s="6">
        <f t="shared" si="60"/>
        <v>0</v>
      </c>
      <c r="S83" s="2"/>
      <c r="T83" s="7">
        <v>50.78</v>
      </c>
      <c r="U83" s="2"/>
      <c r="V83" s="6">
        <f t="shared" si="61"/>
        <v>0</v>
      </c>
      <c r="W83" s="2"/>
      <c r="X83" s="7">
        <f t="shared" si="62"/>
        <v>35.94</v>
      </c>
      <c r="Y83" s="2"/>
      <c r="Z83" s="6">
        <f t="shared" si="63"/>
        <v>0.70775896022055917</v>
      </c>
    </row>
    <row r="84" spans="1:26" s="27" customFormat="1" outlineLevel="1" collapsed="1" x14ac:dyDescent="0.25">
      <c r="A84" s="28"/>
      <c r="B84" s="14" t="str">
        <f>CONCATENATE("     ","Utilities                                         ")</f>
        <v xml:space="preserve">     Utilities                                         </v>
      </c>
      <c r="C84" s="14"/>
      <c r="D84" s="1">
        <f>SUM(OSRRefD22_21x_0)</f>
        <v>0</v>
      </c>
      <c r="E84" s="1"/>
      <c r="F84" s="5">
        <f t="shared" ref="F84:F85" si="64">IF(D$12=0,0,D84/D$12)</f>
        <v>0</v>
      </c>
      <c r="G84" s="1"/>
      <c r="H84" s="1">
        <f>SUM(OSRRefH22_21x_0)</f>
        <v>5950</v>
      </c>
      <c r="I84" s="1"/>
      <c r="J84" s="5">
        <f t="shared" ref="J84:J85" si="65">IF(H$12=0,0,H84/H$12)</f>
        <v>0</v>
      </c>
      <c r="K84" s="1"/>
      <c r="L84" s="1">
        <f t="shared" ref="L84:L85" si="66">+D84-H84</f>
        <v>-5950</v>
      </c>
      <c r="M84" s="1"/>
      <c r="N84" s="5">
        <f t="shared" ref="N84:N85" si="67">IF(H84=0,0,L84/H84)</f>
        <v>-1</v>
      </c>
      <c r="O84" s="14"/>
      <c r="P84" s="1">
        <f>SUM(OSRRefP22_21x_0)</f>
        <v>5593</v>
      </c>
      <c r="Q84" s="1"/>
      <c r="R84" s="5">
        <f t="shared" ref="R84:R85" si="68">IF(P$12=0,0,P84/P$12)</f>
        <v>0</v>
      </c>
      <c r="S84" s="1"/>
      <c r="T84" s="1">
        <f>SUM(OSRRefT22_21x_0)</f>
        <v>11900</v>
      </c>
      <c r="U84" s="1"/>
      <c r="V84" s="5">
        <f t="shared" ref="V84:V85" si="69">IF(T$12=0,0,T84/T$12)</f>
        <v>0</v>
      </c>
      <c r="W84" s="1"/>
      <c r="X84" s="1">
        <f t="shared" ref="X84:X85" si="70">+P84-T84</f>
        <v>-6307</v>
      </c>
      <c r="Y84" s="1"/>
      <c r="Z84" s="5">
        <f t="shared" ref="Z84:Z85" si="71">IF(T84=0,0,X84/T84)</f>
        <v>-0.53</v>
      </c>
    </row>
    <row r="85" spans="1:26" s="24" customFormat="1" hidden="1" outlineLevel="2" x14ac:dyDescent="0.25">
      <c r="A85" s="29"/>
      <c r="B85" s="11" t="str">
        <f>CONCATENATE("          ", "6274", " - ", "UTILITIES")</f>
        <v xml:space="preserve">          6274 - UTILITIES</v>
      </c>
      <c r="C85" s="11"/>
      <c r="D85" s="7"/>
      <c r="E85" s="2"/>
      <c r="F85" s="6">
        <f t="shared" si="64"/>
        <v>0</v>
      </c>
      <c r="G85" s="2"/>
      <c r="H85" s="7">
        <v>5950</v>
      </c>
      <c r="I85" s="2"/>
      <c r="J85" s="6">
        <f t="shared" si="65"/>
        <v>0</v>
      </c>
      <c r="K85" s="2"/>
      <c r="L85" s="7">
        <f t="shared" si="66"/>
        <v>-5950</v>
      </c>
      <c r="M85" s="2"/>
      <c r="N85" s="6">
        <f t="shared" si="67"/>
        <v>-1</v>
      </c>
      <c r="O85" s="11"/>
      <c r="P85" s="7">
        <v>5593</v>
      </c>
      <c r="Q85" s="2"/>
      <c r="R85" s="6">
        <f t="shared" si="68"/>
        <v>0</v>
      </c>
      <c r="S85" s="2"/>
      <c r="T85" s="7">
        <v>11900</v>
      </c>
      <c r="U85" s="2"/>
      <c r="V85" s="6">
        <f t="shared" si="69"/>
        <v>0</v>
      </c>
      <c r="W85" s="2"/>
      <c r="X85" s="7">
        <f t="shared" si="70"/>
        <v>-6307</v>
      </c>
      <c r="Y85" s="2"/>
      <c r="Z85" s="6">
        <f t="shared" si="71"/>
        <v>-0.53</v>
      </c>
    </row>
    <row r="86" spans="1:26" s="62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5" t="s">
        <v>0</v>
      </c>
      <c r="C87" s="10"/>
      <c r="D87" s="4">
        <f>SUM(OSRRefD25x_0)</f>
        <v>7183.0899999999992</v>
      </c>
      <c r="E87" s="4"/>
      <c r="F87" s="12">
        <f t="shared" ref="F87:F89" si="72">IF(D$12=0,0,D87/D$12)</f>
        <v>0</v>
      </c>
      <c r="G87" s="4"/>
      <c r="H87" s="4">
        <f>SUM(OSRRefH25x_0)</f>
        <v>49247.76</v>
      </c>
      <c r="I87" s="4"/>
      <c r="J87" s="12">
        <f t="shared" ref="J87:J89" si="73">IF(H$12=0,0,H87/H$12)</f>
        <v>0</v>
      </c>
      <c r="K87" s="4"/>
      <c r="L87" s="4">
        <f t="shared" ref="L87:L89" si="74">+D87-H87</f>
        <v>-42064.670000000006</v>
      </c>
      <c r="M87" s="4"/>
      <c r="N87" s="12">
        <f t="shared" ref="N87:N89" si="75">IF(H87=0,0,L87/H87)</f>
        <v>-0.85414382298809133</v>
      </c>
      <c r="O87" s="10"/>
      <c r="P87" s="4">
        <f>SUM(OSRRefP25x_0)</f>
        <v>54649.919999999998</v>
      </c>
      <c r="Q87" s="4"/>
      <c r="R87" s="12">
        <f t="shared" ref="R87:R89" si="76">IF(P$12=0,0,P87/P$12)</f>
        <v>0</v>
      </c>
      <c r="S87" s="4"/>
      <c r="T87" s="4">
        <f>SUM(OSRRefT25x_0)</f>
        <v>101860.1</v>
      </c>
      <c r="U87" s="4"/>
      <c r="V87" s="12">
        <f t="shared" ref="V87:V89" si="77">IF(T$12=0,0,T87/T$12)</f>
        <v>0</v>
      </c>
      <c r="W87" s="4"/>
      <c r="X87" s="4">
        <f t="shared" ref="X87:X89" si="78">+P87-T87</f>
        <v>-47210.180000000008</v>
      </c>
      <c r="Y87" s="4"/>
      <c r="Z87" s="12">
        <f t="shared" ref="Z87:Z89" si="79">IF(T87=0,0,X87/T87)</f>
        <v>-0.46348059740762088</v>
      </c>
    </row>
    <row r="88" spans="1:26" s="24" customFormat="1" hidden="1" outlineLevel="1" x14ac:dyDescent="0.25">
      <c r="A88" s="50"/>
      <c r="B88" s="11" t="str">
        <f>CONCATENATE("          ", "9150", " - ", "MISC. INCOME")</f>
        <v xml:space="preserve">          9150 - MISC. INCOME</v>
      </c>
      <c r="C88" s="11"/>
      <c r="D88" s="2">
        <f>--7353.11</f>
        <v>7353.11</v>
      </c>
      <c r="E88" s="2"/>
      <c r="F88" s="21">
        <f t="shared" si="72"/>
        <v>0</v>
      </c>
      <c r="G88" s="2"/>
      <c r="H88" s="2">
        <f>--49112.23</f>
        <v>49112.23</v>
      </c>
      <c r="I88" s="2"/>
      <c r="J88" s="21">
        <f t="shared" si="73"/>
        <v>0</v>
      </c>
      <c r="K88" s="2"/>
      <c r="L88" s="2">
        <f t="shared" si="74"/>
        <v>-41759.120000000003</v>
      </c>
      <c r="M88" s="2"/>
      <c r="N88" s="21">
        <f t="shared" si="75"/>
        <v>-0.85027945177810094</v>
      </c>
      <c r="O88" s="11"/>
      <c r="P88" s="2">
        <f>--54914.43</f>
        <v>54914.43</v>
      </c>
      <c r="Q88" s="2"/>
      <c r="R88" s="21">
        <f t="shared" si="76"/>
        <v>0</v>
      </c>
      <c r="S88" s="2"/>
      <c r="T88" s="2">
        <f>--101465.21</f>
        <v>101465.21</v>
      </c>
      <c r="U88" s="2"/>
      <c r="V88" s="21">
        <f t="shared" si="77"/>
        <v>0</v>
      </c>
      <c r="W88" s="2"/>
      <c r="X88" s="2">
        <f t="shared" si="78"/>
        <v>-46550.780000000006</v>
      </c>
      <c r="Y88" s="2"/>
      <c r="Z88" s="21">
        <f t="shared" si="79"/>
        <v>-0.45878562711297799</v>
      </c>
    </row>
    <row r="89" spans="1:26" s="24" customFormat="1" hidden="1" outlineLevel="1" x14ac:dyDescent="0.25">
      <c r="A89" s="50"/>
      <c r="B89" s="11" t="str">
        <f>CONCATENATE("          ", "9151", " - ", "MISC. INCOME")</f>
        <v xml:space="preserve">          9151 - MISC. INCOME</v>
      </c>
      <c r="C89" s="11"/>
      <c r="D89" s="2">
        <f>-170.02</f>
        <v>-170.02</v>
      </c>
      <c r="E89" s="2"/>
      <c r="F89" s="21">
        <f t="shared" si="72"/>
        <v>0</v>
      </c>
      <c r="G89" s="2"/>
      <c r="H89" s="2">
        <f>--135.53</f>
        <v>135.53</v>
      </c>
      <c r="I89" s="2"/>
      <c r="J89" s="21">
        <f t="shared" si="73"/>
        <v>0</v>
      </c>
      <c r="K89" s="2"/>
      <c r="L89" s="2">
        <f t="shared" si="74"/>
        <v>-305.55</v>
      </c>
      <c r="M89" s="2"/>
      <c r="N89" s="21">
        <f t="shared" si="75"/>
        <v>-2.2544824024201287</v>
      </c>
      <c r="O89" s="11"/>
      <c r="P89" s="2">
        <f>-264.51</f>
        <v>-264.51</v>
      </c>
      <c r="Q89" s="2"/>
      <c r="R89" s="21">
        <f t="shared" si="76"/>
        <v>0</v>
      </c>
      <c r="S89" s="2"/>
      <c r="T89" s="2">
        <f>--394.89</f>
        <v>394.89</v>
      </c>
      <c r="U89" s="2"/>
      <c r="V89" s="21">
        <f t="shared" si="77"/>
        <v>0</v>
      </c>
      <c r="W89" s="2"/>
      <c r="X89" s="2">
        <f t="shared" si="78"/>
        <v>-659.4</v>
      </c>
      <c r="Y89" s="2"/>
      <c r="Z89" s="21">
        <f t="shared" si="79"/>
        <v>-1.6698321051432043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6" t="s">
        <v>3</v>
      </c>
      <c r="C91" s="26"/>
      <c r="D91" s="20">
        <f>+D16-D18+D87</f>
        <v>-153901.43999999994</v>
      </c>
      <c r="E91" s="13"/>
      <c r="F91" s="19">
        <f>IF(D$12=0,0,D91/D$12)</f>
        <v>0</v>
      </c>
      <c r="G91" s="13"/>
      <c r="H91" s="20">
        <f>+H16-H18+H87</f>
        <v>-107088.32000000001</v>
      </c>
      <c r="I91" s="13"/>
      <c r="J91" s="19">
        <f>IF(H$12=0,0,H91/H$12)</f>
        <v>0</v>
      </c>
      <c r="K91" s="15"/>
      <c r="L91" s="20">
        <f>+D91-H91</f>
        <v>-46813.119999999937</v>
      </c>
      <c r="M91" s="15"/>
      <c r="N91" s="19">
        <f>IF(H91=0,0,L91/H91)</f>
        <v>0.43714496594960062</v>
      </c>
      <c r="O91" s="25"/>
      <c r="P91" s="20">
        <f>+P16-P18+P87</f>
        <v>-230877.67000000004</v>
      </c>
      <c r="Q91" s="13"/>
      <c r="R91" s="19">
        <f>IF(P$12=0,0,P91/P$12)</f>
        <v>0</v>
      </c>
      <c r="S91" s="13"/>
      <c r="T91" s="20">
        <f>+T16-T18+T87</f>
        <v>-226778.91000000006</v>
      </c>
      <c r="U91" s="13"/>
      <c r="V91" s="19">
        <f>IF(T$12=0,0,T91/T$12)</f>
        <v>0</v>
      </c>
      <c r="W91" s="15"/>
      <c r="X91" s="20">
        <f>+P91-T91</f>
        <v>-4098.7599999999802</v>
      </c>
      <c r="Y91" s="15"/>
      <c r="Z91" s="19">
        <f>IF(T91=0,0,X91/T91)</f>
        <v>1.8073814712311561E-2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4</v>
      </c>
      <c r="C95" s="26"/>
      <c r="D95" s="31">
        <f>+D91-D93</f>
        <v>-153901.43999999994</v>
      </c>
      <c r="E95" s="13"/>
      <c r="F95" s="36">
        <f>IF(D$12=0,0,D95/D$12)</f>
        <v>0</v>
      </c>
      <c r="G95" s="13"/>
      <c r="H95" s="31">
        <f>+H91-H93</f>
        <v>-107088.32000000001</v>
      </c>
      <c r="I95" s="13"/>
      <c r="J95" s="36">
        <f>IF(H$12=0,0,H95/H$12)</f>
        <v>0</v>
      </c>
      <c r="K95" s="15"/>
      <c r="L95" s="31">
        <f>D95-H95</f>
        <v>-46813.119999999937</v>
      </c>
      <c r="M95" s="15"/>
      <c r="N95" s="36">
        <f>IF(H95=0,0,L95/H95)</f>
        <v>0.43714496594960062</v>
      </c>
      <c r="O95" s="25"/>
      <c r="P95" s="31">
        <f>+P91-P93</f>
        <v>-230877.67000000004</v>
      </c>
      <c r="Q95" s="13"/>
      <c r="R95" s="36">
        <f>IF(P$12=0,0,P95/P$12)</f>
        <v>0</v>
      </c>
      <c r="S95" s="13"/>
      <c r="T95" s="31">
        <f>+T91-T93</f>
        <v>-226778.91000000006</v>
      </c>
      <c r="U95" s="13"/>
      <c r="V95" s="36">
        <f>IF(T$12=0,0,T95/T$12)</f>
        <v>0</v>
      </c>
      <c r="W95" s="15"/>
      <c r="X95" s="31">
        <f>P95-T95</f>
        <v>-4098.7599999999802</v>
      </c>
      <c r="Y95" s="15"/>
      <c r="Z95" s="36">
        <f>IF(T95=0,0,X95/T95)</f>
        <v>1.8073814712311561E-2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6" t="s">
        <v>5</v>
      </c>
      <c r="C98" s="26"/>
      <c r="D98" s="32">
        <f>SUM(D95:D97)</f>
        <v>-153901.43999999994</v>
      </c>
      <c r="E98" s="13"/>
      <c r="F98" s="30">
        <f>IF(D$12=0,0,D98/D$12)</f>
        <v>0</v>
      </c>
      <c r="G98" s="13"/>
      <c r="H98" s="32">
        <f>SUM(H95:H97)</f>
        <v>-107088.32000000001</v>
      </c>
      <c r="I98" s="13"/>
      <c r="J98" s="30">
        <f>IF(H$12=0,0,H98/H$12)</f>
        <v>0</v>
      </c>
      <c r="K98" s="15"/>
      <c r="L98" s="32">
        <f>+D98-H98</f>
        <v>-46813.119999999937</v>
      </c>
      <c r="M98" s="15"/>
      <c r="N98" s="30">
        <f>IF(H98=0,0,L98/H98)</f>
        <v>0.43714496594960062</v>
      </c>
      <c r="O98" s="25"/>
      <c r="P98" s="32">
        <f>SUM(P95:P97)</f>
        <v>-230877.67000000004</v>
      </c>
      <c r="Q98" s="13"/>
      <c r="R98" s="30">
        <f>IF(P$12=0,0,P98/P$12)</f>
        <v>0</v>
      </c>
      <c r="S98" s="13"/>
      <c r="T98" s="32">
        <f>SUM(T95:T97)</f>
        <v>-226778.91000000006</v>
      </c>
      <c r="U98" s="13"/>
      <c r="V98" s="30">
        <f>IF(T$12=0,0,T98/T$12)</f>
        <v>0</v>
      </c>
      <c r="W98" s="15"/>
      <c r="X98" s="32">
        <f>+P98-T98</f>
        <v>-4098.7599999999802</v>
      </c>
      <c r="Y98" s="15"/>
      <c r="Z98" s="30">
        <f>IF(T98=0,0,X98/T98)</f>
        <v>1.8073814712311561E-2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7">
        <v>43732.709578009257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60" t="s">
        <v>313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6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","306", " - ", "Warehouse")</f>
        <v>Department 306 - Warehouse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65464.189999999995</v>
      </c>
      <c r="E18" s="22"/>
      <c r="F18" s="33">
        <f t="shared" ref="F18:F28" si="0">IF(D$12=0,0,D18/D$12)</f>
        <v>0</v>
      </c>
      <c r="G18" s="22"/>
      <c r="H18" s="22">
        <f>SUM(OSRRefH22x_0)</f>
        <v>78371.75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-12907.560000000005</v>
      </c>
      <c r="M18" s="4"/>
      <c r="N18" s="33">
        <f t="shared" ref="N18:N28" si="3">IF(H18=0,0,L18/H18)</f>
        <v>-0.16469659028923056</v>
      </c>
      <c r="O18" s="10"/>
      <c r="P18" s="22">
        <f>SUM(OSRRefP22x_0)</f>
        <v>111418.08</v>
      </c>
      <c r="Q18" s="22"/>
      <c r="R18" s="33">
        <f t="shared" ref="R18:R28" si="4">IF(P$12=0,0,P18/P$12)</f>
        <v>0</v>
      </c>
      <c r="S18" s="22"/>
      <c r="T18" s="22">
        <f>SUM(OSRRefT22x_0)</f>
        <v>129727.77000000002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-18309.690000000017</v>
      </c>
      <c r="Y18" s="4"/>
      <c r="Z18" s="33">
        <f t="shared" ref="Z18:Z28" si="7">IF(T18=0,0,X18/T18)</f>
        <v>-0.14113932583594102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8032.53</v>
      </c>
      <c r="E19" s="1"/>
      <c r="F19" s="5">
        <f t="shared" si="0"/>
        <v>0</v>
      </c>
      <c r="G19" s="1"/>
      <c r="H19" s="1">
        <f>SUM(OSRRefH22_0x_0)</f>
        <v>8543.5999999999985</v>
      </c>
      <c r="I19" s="1"/>
      <c r="J19" s="5">
        <f t="shared" si="1"/>
        <v>0</v>
      </c>
      <c r="K19" s="1"/>
      <c r="L19" s="1">
        <f t="shared" si="2"/>
        <v>-511.0699999999988</v>
      </c>
      <c r="M19" s="1"/>
      <c r="N19" s="5">
        <f t="shared" si="3"/>
        <v>-5.9819045835479062E-2</v>
      </c>
      <c r="O19" s="14"/>
      <c r="P19" s="1">
        <f>SUM(OSRRefP22_0x_0)</f>
        <v>15694.820000000002</v>
      </c>
      <c r="Q19" s="1"/>
      <c r="R19" s="5">
        <f t="shared" si="4"/>
        <v>0</v>
      </c>
      <c r="S19" s="1"/>
      <c r="T19" s="1">
        <f>SUM(OSRRefT22_0x_0)</f>
        <v>16168.7</v>
      </c>
      <c r="U19" s="1"/>
      <c r="V19" s="5">
        <f t="shared" si="5"/>
        <v>0</v>
      </c>
      <c r="W19" s="1"/>
      <c r="X19" s="1">
        <f t="shared" si="6"/>
        <v>-473.8799999999992</v>
      </c>
      <c r="Y19" s="1"/>
      <c r="Z19" s="5">
        <f t="shared" si="7"/>
        <v>-2.930847872741774E-2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3423.12</v>
      </c>
      <c r="E20" s="2"/>
      <c r="F20" s="6">
        <f t="shared" si="0"/>
        <v>0</v>
      </c>
      <c r="G20" s="2"/>
      <c r="H20" s="7">
        <v>4091.03</v>
      </c>
      <c r="I20" s="2"/>
      <c r="J20" s="6">
        <f t="shared" si="1"/>
        <v>0</v>
      </c>
      <c r="K20" s="2"/>
      <c r="L20" s="7">
        <f t="shared" si="2"/>
        <v>-667.91000000000031</v>
      </c>
      <c r="M20" s="2"/>
      <c r="N20" s="6">
        <f t="shared" si="3"/>
        <v>-0.16326206358789846</v>
      </c>
      <c r="O20" s="11"/>
      <c r="P20" s="7">
        <v>5774.24</v>
      </c>
      <c r="Q20" s="2"/>
      <c r="R20" s="6">
        <f t="shared" si="4"/>
        <v>0</v>
      </c>
      <c r="S20" s="2"/>
      <c r="T20" s="7">
        <v>6530.43</v>
      </c>
      <c r="U20" s="2"/>
      <c r="V20" s="6">
        <f t="shared" si="5"/>
        <v>0</v>
      </c>
      <c r="W20" s="2"/>
      <c r="X20" s="7">
        <f t="shared" si="6"/>
        <v>-756.19000000000051</v>
      </c>
      <c r="Y20" s="2"/>
      <c r="Z20" s="6">
        <f t="shared" si="7"/>
        <v>-0.11579482514933939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906.1</v>
      </c>
      <c r="E21" s="2"/>
      <c r="F21" s="6">
        <f t="shared" si="0"/>
        <v>0</v>
      </c>
      <c r="G21" s="2"/>
      <c r="H21" s="7">
        <v>609.86</v>
      </c>
      <c r="I21" s="2"/>
      <c r="J21" s="6">
        <f t="shared" si="1"/>
        <v>0</v>
      </c>
      <c r="K21" s="2"/>
      <c r="L21" s="7">
        <f t="shared" si="2"/>
        <v>296.24</v>
      </c>
      <c r="M21" s="2"/>
      <c r="N21" s="6">
        <f t="shared" si="3"/>
        <v>0.48575082805889874</v>
      </c>
      <c r="O21" s="11"/>
      <c r="P21" s="7">
        <v>1508.88</v>
      </c>
      <c r="Q21" s="2"/>
      <c r="R21" s="6">
        <f t="shared" si="4"/>
        <v>0</v>
      </c>
      <c r="S21" s="2"/>
      <c r="T21" s="7">
        <v>1070.8900000000001</v>
      </c>
      <c r="U21" s="2"/>
      <c r="V21" s="6">
        <f t="shared" si="5"/>
        <v>0</v>
      </c>
      <c r="W21" s="2"/>
      <c r="X21" s="7">
        <f t="shared" si="6"/>
        <v>437.99</v>
      </c>
      <c r="Y21" s="2"/>
      <c r="Z21" s="6">
        <f t="shared" si="7"/>
        <v>0.40899625545107338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1949.27</v>
      </c>
      <c r="E22" s="2"/>
      <c r="F22" s="6">
        <f t="shared" si="0"/>
        <v>0</v>
      </c>
      <c r="G22" s="2"/>
      <c r="H22" s="7">
        <v>2104.1999999999998</v>
      </c>
      <c r="I22" s="2"/>
      <c r="J22" s="6">
        <f t="shared" si="1"/>
        <v>0</v>
      </c>
      <c r="K22" s="2"/>
      <c r="L22" s="7">
        <f t="shared" si="2"/>
        <v>-154.92999999999984</v>
      </c>
      <c r="M22" s="2"/>
      <c r="N22" s="6">
        <f t="shared" si="3"/>
        <v>-7.3628932610968464E-2</v>
      </c>
      <c r="O22" s="11"/>
      <c r="P22" s="7">
        <v>3898.54</v>
      </c>
      <c r="Q22" s="2"/>
      <c r="R22" s="6">
        <f t="shared" si="4"/>
        <v>0</v>
      </c>
      <c r="S22" s="2"/>
      <c r="T22" s="7">
        <v>2895.17</v>
      </c>
      <c r="U22" s="2"/>
      <c r="V22" s="6">
        <f t="shared" si="5"/>
        <v>0</v>
      </c>
      <c r="W22" s="2"/>
      <c r="X22" s="7">
        <f t="shared" si="6"/>
        <v>1003.3699999999999</v>
      </c>
      <c r="Y22" s="2"/>
      <c r="Z22" s="6">
        <f t="shared" si="7"/>
        <v>0.34656686826680294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116.2</v>
      </c>
      <c r="E23" s="2"/>
      <c r="F23" s="6">
        <f t="shared" si="0"/>
        <v>0</v>
      </c>
      <c r="G23" s="2"/>
      <c r="H23" s="7">
        <v>140.94</v>
      </c>
      <c r="I23" s="2"/>
      <c r="J23" s="6">
        <f t="shared" si="1"/>
        <v>0</v>
      </c>
      <c r="K23" s="2"/>
      <c r="L23" s="7">
        <f t="shared" si="2"/>
        <v>-24.739999999999995</v>
      </c>
      <c r="M23" s="2"/>
      <c r="N23" s="6">
        <f t="shared" si="3"/>
        <v>-0.17553568894565061</v>
      </c>
      <c r="O23" s="11"/>
      <c r="P23" s="7">
        <v>198.69</v>
      </c>
      <c r="Q23" s="2"/>
      <c r="R23" s="6">
        <f t="shared" si="4"/>
        <v>0</v>
      </c>
      <c r="S23" s="2"/>
      <c r="T23" s="7">
        <v>253.83</v>
      </c>
      <c r="U23" s="2"/>
      <c r="V23" s="6">
        <f t="shared" si="5"/>
        <v>0</v>
      </c>
      <c r="W23" s="2"/>
      <c r="X23" s="7">
        <f t="shared" si="6"/>
        <v>-55.140000000000015</v>
      </c>
      <c r="Y23" s="2"/>
      <c r="Z23" s="6">
        <f t="shared" si="7"/>
        <v>-0.21723200567308834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691.3</v>
      </c>
      <c r="E24" s="2"/>
      <c r="F24" s="6">
        <f t="shared" si="0"/>
        <v>0</v>
      </c>
      <c r="G24" s="2"/>
      <c r="H24" s="7">
        <v>616.78</v>
      </c>
      <c r="I24" s="2"/>
      <c r="J24" s="6">
        <f t="shared" si="1"/>
        <v>0</v>
      </c>
      <c r="K24" s="2"/>
      <c r="L24" s="7">
        <f t="shared" si="2"/>
        <v>74.519999999999982</v>
      </c>
      <c r="M24" s="2"/>
      <c r="N24" s="6">
        <f t="shared" si="3"/>
        <v>0.12082103829566455</v>
      </c>
      <c r="O24" s="11"/>
      <c r="P24" s="7">
        <v>1382.6</v>
      </c>
      <c r="Q24" s="2"/>
      <c r="R24" s="6">
        <f t="shared" si="4"/>
        <v>0</v>
      </c>
      <c r="S24" s="2"/>
      <c r="T24" s="7">
        <v>1532.97</v>
      </c>
      <c r="U24" s="2"/>
      <c r="V24" s="6">
        <f t="shared" si="5"/>
        <v>0</v>
      </c>
      <c r="W24" s="2"/>
      <c r="X24" s="7">
        <f t="shared" si="6"/>
        <v>-150.37000000000012</v>
      </c>
      <c r="Y24" s="2"/>
      <c r="Z24" s="6">
        <f t="shared" si="7"/>
        <v>-9.8090634519918923E-2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6">
        <f t="shared" si="0"/>
        <v>0</v>
      </c>
      <c r="G25" s="2"/>
      <c r="H25" s="7">
        <v>66.61</v>
      </c>
      <c r="I25" s="2"/>
      <c r="J25" s="6">
        <f t="shared" si="1"/>
        <v>0</v>
      </c>
      <c r="K25" s="2"/>
      <c r="L25" s="7">
        <f t="shared" si="2"/>
        <v>-66.61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119.31</v>
      </c>
      <c r="U25" s="2"/>
      <c r="V25" s="6">
        <f t="shared" si="5"/>
        <v>0</v>
      </c>
      <c r="W25" s="2"/>
      <c r="X25" s="7">
        <f t="shared" si="6"/>
        <v>-119.31</v>
      </c>
      <c r="Y25" s="2"/>
      <c r="Z25" s="6">
        <f t="shared" si="7"/>
        <v>-1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280.8</v>
      </c>
      <c r="E26" s="2"/>
      <c r="F26" s="6">
        <f t="shared" si="0"/>
        <v>0</v>
      </c>
      <c r="G26" s="2"/>
      <c r="H26" s="7">
        <v>265.12</v>
      </c>
      <c r="I26" s="2"/>
      <c r="J26" s="6">
        <f t="shared" si="1"/>
        <v>0</v>
      </c>
      <c r="K26" s="2"/>
      <c r="L26" s="7">
        <f t="shared" si="2"/>
        <v>15.680000000000007</v>
      </c>
      <c r="M26" s="2"/>
      <c r="N26" s="6">
        <f t="shared" si="3"/>
        <v>5.9143029571514807E-2</v>
      </c>
      <c r="O26" s="11"/>
      <c r="P26" s="7">
        <v>763.85</v>
      </c>
      <c r="Q26" s="2"/>
      <c r="R26" s="6">
        <f t="shared" si="4"/>
        <v>0</v>
      </c>
      <c r="S26" s="2"/>
      <c r="T26" s="7">
        <v>1384.35</v>
      </c>
      <c r="U26" s="2"/>
      <c r="V26" s="6">
        <f t="shared" si="5"/>
        <v>0</v>
      </c>
      <c r="W26" s="2"/>
      <c r="X26" s="7">
        <f t="shared" si="6"/>
        <v>-620.49999999999989</v>
      </c>
      <c r="Y26" s="2"/>
      <c r="Z26" s="6">
        <f t="shared" si="7"/>
        <v>-0.44822479864196185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374.44</v>
      </c>
      <c r="E27" s="2"/>
      <c r="F27" s="6">
        <f t="shared" si="0"/>
        <v>0</v>
      </c>
      <c r="G27" s="2"/>
      <c r="H27" s="7">
        <v>353.06</v>
      </c>
      <c r="I27" s="2"/>
      <c r="J27" s="6">
        <f t="shared" si="1"/>
        <v>0</v>
      </c>
      <c r="K27" s="2"/>
      <c r="L27" s="7">
        <f t="shared" si="2"/>
        <v>21.379999999999995</v>
      </c>
      <c r="M27" s="2"/>
      <c r="N27" s="6">
        <f t="shared" si="3"/>
        <v>6.0556279385940055E-2</v>
      </c>
      <c r="O27" s="11"/>
      <c r="P27" s="7">
        <v>1627.51</v>
      </c>
      <c r="Q27" s="2"/>
      <c r="R27" s="6">
        <f t="shared" si="4"/>
        <v>0</v>
      </c>
      <c r="S27" s="2"/>
      <c r="T27" s="7">
        <v>1878.92</v>
      </c>
      <c r="U27" s="2"/>
      <c r="V27" s="6">
        <f t="shared" si="5"/>
        <v>0</v>
      </c>
      <c r="W27" s="2"/>
      <c r="X27" s="7">
        <f t="shared" si="6"/>
        <v>-251.41000000000008</v>
      </c>
      <c r="Y27" s="2"/>
      <c r="Z27" s="6">
        <f t="shared" si="7"/>
        <v>-0.13380559044557516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291.3</v>
      </c>
      <c r="E28" s="2"/>
      <c r="F28" s="6">
        <f t="shared" si="0"/>
        <v>0</v>
      </c>
      <c r="G28" s="2"/>
      <c r="H28" s="7">
        <v>296</v>
      </c>
      <c r="I28" s="2"/>
      <c r="J28" s="6">
        <f t="shared" si="1"/>
        <v>0</v>
      </c>
      <c r="K28" s="2"/>
      <c r="L28" s="7">
        <f t="shared" si="2"/>
        <v>-4.6999999999999886</v>
      </c>
      <c r="M28" s="2"/>
      <c r="N28" s="6">
        <f t="shared" si="3"/>
        <v>-1.5878378378378341E-2</v>
      </c>
      <c r="O28" s="11"/>
      <c r="P28" s="7">
        <v>540.51</v>
      </c>
      <c r="Q28" s="2"/>
      <c r="R28" s="6">
        <f t="shared" si="4"/>
        <v>0</v>
      </c>
      <c r="S28" s="2"/>
      <c r="T28" s="7">
        <v>502.83</v>
      </c>
      <c r="U28" s="2"/>
      <c r="V28" s="6">
        <f t="shared" si="5"/>
        <v>0</v>
      </c>
      <c r="W28" s="2"/>
      <c r="X28" s="7">
        <f t="shared" si="6"/>
        <v>37.680000000000007</v>
      </c>
      <c r="Y28" s="2"/>
      <c r="Z28" s="6">
        <f t="shared" si="7"/>
        <v>7.4935863015333226E-2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57226.95</v>
      </c>
      <c r="E29" s="1"/>
      <c r="F29" s="5">
        <f t="shared" ref="F29:F34" si="8">IF(D$12=0,0,D29/D$12)</f>
        <v>0</v>
      </c>
      <c r="G29" s="1"/>
      <c r="H29" s="1">
        <f>SUM(OSRRefH22_1x_0)</f>
        <v>68318.02</v>
      </c>
      <c r="I29" s="1"/>
      <c r="J29" s="5">
        <f t="shared" ref="J29:J34" si="9">IF(H$12=0,0,H29/H$12)</f>
        <v>0</v>
      </c>
      <c r="K29" s="1"/>
      <c r="L29" s="1">
        <f t="shared" ref="L29:L34" si="10">+D29-H29</f>
        <v>-11091.070000000007</v>
      </c>
      <c r="M29" s="1"/>
      <c r="N29" s="5">
        <f t="shared" ref="N29:N34" si="11">IF(H29=0,0,L29/H29)</f>
        <v>-0.16234472251976867</v>
      </c>
      <c r="O29" s="14"/>
      <c r="P29" s="1">
        <f>SUM(OSRRefP22_1x_0)</f>
        <v>95222.37999999999</v>
      </c>
      <c r="Q29" s="1"/>
      <c r="R29" s="5">
        <f t="shared" ref="R29:R34" si="12">IF(P$12=0,0,P29/P$12)</f>
        <v>0</v>
      </c>
      <c r="S29" s="1"/>
      <c r="T29" s="1">
        <f>SUM(OSRRefT22_1x_0)</f>
        <v>110355.72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-15133.340000000011</v>
      </c>
      <c r="Y29" s="1"/>
      <c r="Z29" s="5">
        <f t="shared" ref="Z29:Z34" si="15">IF(T29=0,0,X29/T29)</f>
        <v>-0.13713235707220262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8116.84</v>
      </c>
      <c r="E30" s="2"/>
      <c r="F30" s="6">
        <f t="shared" si="8"/>
        <v>0</v>
      </c>
      <c r="G30" s="2"/>
      <c r="H30" s="7">
        <v>7654.42</v>
      </c>
      <c r="I30" s="2"/>
      <c r="J30" s="6">
        <f t="shared" si="9"/>
        <v>0</v>
      </c>
      <c r="K30" s="2"/>
      <c r="L30" s="7">
        <f t="shared" si="10"/>
        <v>462.42000000000007</v>
      </c>
      <c r="M30" s="2"/>
      <c r="N30" s="6">
        <f t="shared" si="11"/>
        <v>6.0412154023426999E-2</v>
      </c>
      <c r="O30" s="11"/>
      <c r="P30" s="7">
        <v>17496.68</v>
      </c>
      <c r="Q30" s="2"/>
      <c r="R30" s="6">
        <f t="shared" si="12"/>
        <v>0</v>
      </c>
      <c r="S30" s="2"/>
      <c r="T30" s="7">
        <v>16497.72</v>
      </c>
      <c r="U30" s="2"/>
      <c r="V30" s="6">
        <f t="shared" si="13"/>
        <v>0</v>
      </c>
      <c r="W30" s="2"/>
      <c r="X30" s="7">
        <f t="shared" si="14"/>
        <v>998.95999999999913</v>
      </c>
      <c r="Y30" s="2"/>
      <c r="Z30" s="6">
        <f t="shared" si="15"/>
        <v>6.0551397405217151E-2</v>
      </c>
    </row>
    <row r="31" spans="1:26" s="24" customFormat="1" hidden="1" outlineLevel="2" x14ac:dyDescent="0.25">
      <c r="A31" s="29"/>
      <c r="B31" s="11" t="str">
        <f>CONCATENATE("          ", "6005", " - ", "TEMPORARY WAGES-HOURLY")</f>
        <v xml:space="preserve">          6005 - TEMPORARY WAGES-HOURLY</v>
      </c>
      <c r="C31" s="11"/>
      <c r="D31" s="7">
        <v>2822.66</v>
      </c>
      <c r="E31" s="2"/>
      <c r="F31" s="6">
        <f t="shared" si="8"/>
        <v>0</v>
      </c>
      <c r="G31" s="2"/>
      <c r="H31" s="7">
        <v>3766.61</v>
      </c>
      <c r="I31" s="2"/>
      <c r="J31" s="6">
        <f t="shared" si="9"/>
        <v>0</v>
      </c>
      <c r="K31" s="2"/>
      <c r="L31" s="7">
        <f t="shared" si="10"/>
        <v>-943.95000000000027</v>
      </c>
      <c r="M31" s="2"/>
      <c r="N31" s="6">
        <f t="shared" si="11"/>
        <v>-0.25060996492867599</v>
      </c>
      <c r="O31" s="11"/>
      <c r="P31" s="7">
        <v>5226.9399999999996</v>
      </c>
      <c r="Q31" s="2"/>
      <c r="R31" s="6">
        <f t="shared" si="12"/>
        <v>0</v>
      </c>
      <c r="S31" s="2"/>
      <c r="T31" s="7">
        <v>6171.9</v>
      </c>
      <c r="U31" s="2"/>
      <c r="V31" s="6">
        <f t="shared" si="13"/>
        <v>0</v>
      </c>
      <c r="W31" s="2"/>
      <c r="X31" s="7">
        <f t="shared" si="14"/>
        <v>-944.96</v>
      </c>
      <c r="Y31" s="2"/>
      <c r="Z31" s="6">
        <f t="shared" si="15"/>
        <v>-0.15310682285843907</v>
      </c>
    </row>
    <row r="32" spans="1:26" s="24" customFormat="1" hidden="1" outlineLevel="2" x14ac:dyDescent="0.25">
      <c r="A32" s="29"/>
      <c r="B32" s="11" t="str">
        <f>CONCATENATE("          ", "6006", " - ", "TEMPORARY PART TIME")</f>
        <v xml:space="preserve">          6006 - TEMPORARY PART TIME</v>
      </c>
      <c r="C32" s="11"/>
      <c r="D32" s="7">
        <v>2679</v>
      </c>
      <c r="E32" s="2"/>
      <c r="F32" s="6">
        <f t="shared" si="8"/>
        <v>0</v>
      </c>
      <c r="G32" s="2"/>
      <c r="H32" s="7">
        <v>4613.88</v>
      </c>
      <c r="I32" s="2"/>
      <c r="J32" s="6">
        <f t="shared" si="9"/>
        <v>0</v>
      </c>
      <c r="K32" s="2"/>
      <c r="L32" s="7">
        <f t="shared" si="10"/>
        <v>-1934.88</v>
      </c>
      <c r="M32" s="2"/>
      <c r="N32" s="6">
        <f t="shared" si="11"/>
        <v>-0.41936071159197902</v>
      </c>
      <c r="O32" s="11"/>
      <c r="P32" s="7">
        <v>4464</v>
      </c>
      <c r="Q32" s="2"/>
      <c r="R32" s="6">
        <f t="shared" si="12"/>
        <v>0</v>
      </c>
      <c r="S32" s="2"/>
      <c r="T32" s="7">
        <v>8462.94</v>
      </c>
      <c r="U32" s="2"/>
      <c r="V32" s="6">
        <f t="shared" si="13"/>
        <v>0</v>
      </c>
      <c r="W32" s="2"/>
      <c r="X32" s="7">
        <f t="shared" si="14"/>
        <v>-3998.9400000000005</v>
      </c>
      <c r="Y32" s="2"/>
      <c r="Z32" s="6">
        <f t="shared" si="15"/>
        <v>-0.47252373288715271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42459.45</v>
      </c>
      <c r="E33" s="2"/>
      <c r="F33" s="6">
        <f t="shared" si="8"/>
        <v>0</v>
      </c>
      <c r="G33" s="2"/>
      <c r="H33" s="7">
        <v>49189.36</v>
      </c>
      <c r="I33" s="2"/>
      <c r="J33" s="6">
        <f t="shared" si="9"/>
        <v>0</v>
      </c>
      <c r="K33" s="2"/>
      <c r="L33" s="7">
        <f t="shared" si="10"/>
        <v>-6729.9100000000035</v>
      </c>
      <c r="M33" s="2"/>
      <c r="N33" s="6">
        <f t="shared" si="11"/>
        <v>-0.13681637654972545</v>
      </c>
      <c r="O33" s="11"/>
      <c r="P33" s="7">
        <v>66570.759999999995</v>
      </c>
      <c r="Q33" s="2"/>
      <c r="R33" s="6">
        <f t="shared" si="12"/>
        <v>0</v>
      </c>
      <c r="S33" s="2"/>
      <c r="T33" s="7">
        <v>74663.66</v>
      </c>
      <c r="U33" s="2"/>
      <c r="V33" s="6">
        <f t="shared" si="13"/>
        <v>0</v>
      </c>
      <c r="W33" s="2"/>
      <c r="X33" s="7">
        <f t="shared" si="14"/>
        <v>-8092.9000000000087</v>
      </c>
      <c r="Y33" s="2"/>
      <c r="Z33" s="6">
        <f t="shared" si="15"/>
        <v>-0.10839141826157475</v>
      </c>
    </row>
    <row r="34" spans="1:26" s="24" customFormat="1" hidden="1" outlineLevel="2" x14ac:dyDescent="0.25">
      <c r="A34" s="29"/>
      <c r="B34" s="11" t="str">
        <f>CONCATENATE("          ", "6008", " - ", "STUDENT HOURLY-FICA EXEMPT")</f>
        <v xml:space="preserve">          6008 - STUDENT HOURLY-FICA EXEMPT</v>
      </c>
      <c r="C34" s="11"/>
      <c r="D34" s="7">
        <v>1149</v>
      </c>
      <c r="E34" s="2"/>
      <c r="F34" s="6">
        <f t="shared" si="8"/>
        <v>0</v>
      </c>
      <c r="G34" s="2"/>
      <c r="H34" s="7">
        <v>3093.75</v>
      </c>
      <c r="I34" s="2"/>
      <c r="J34" s="6">
        <f t="shared" si="9"/>
        <v>0</v>
      </c>
      <c r="K34" s="2"/>
      <c r="L34" s="7">
        <f t="shared" si="10"/>
        <v>-1944.75</v>
      </c>
      <c r="M34" s="2"/>
      <c r="N34" s="6">
        <f t="shared" si="11"/>
        <v>-0.62860606060606061</v>
      </c>
      <c r="O34" s="11"/>
      <c r="P34" s="7">
        <v>1464</v>
      </c>
      <c r="Q34" s="2"/>
      <c r="R34" s="6">
        <f t="shared" si="12"/>
        <v>0</v>
      </c>
      <c r="S34" s="2"/>
      <c r="T34" s="7">
        <v>4559.5</v>
      </c>
      <c r="U34" s="2"/>
      <c r="V34" s="6">
        <f t="shared" si="13"/>
        <v>0</v>
      </c>
      <c r="W34" s="2"/>
      <c r="X34" s="7">
        <f t="shared" si="14"/>
        <v>-3095.5</v>
      </c>
      <c r="Y34" s="2"/>
      <c r="Z34" s="6">
        <f t="shared" si="15"/>
        <v>-0.67891216142120847</v>
      </c>
    </row>
    <row r="35" spans="1:26" s="27" customFormat="1" outlineLevel="1" collapsed="1" x14ac:dyDescent="0.25">
      <c r="A35" s="28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44" si="16">IF(D$12=0,0,D35/D$12)</f>
        <v>0</v>
      </c>
      <c r="G35" s="1"/>
      <c r="H35" s="1">
        <f>SUM(OSRRefH22_2x_0)</f>
        <v>0</v>
      </c>
      <c r="I35" s="1"/>
      <c r="J35" s="5">
        <f t="shared" ref="J35:J44" si="17">IF(H$12=0,0,H35/H$12)</f>
        <v>0</v>
      </c>
      <c r="K35" s="1"/>
      <c r="L35" s="1">
        <f t="shared" ref="L35:L44" si="18">+D35-H35</f>
        <v>0</v>
      </c>
      <c r="M35" s="1"/>
      <c r="N35" s="5">
        <f t="shared" ref="N35:N44" si="19">IF(H35=0,0,L35/H35)</f>
        <v>0</v>
      </c>
      <c r="O35" s="14"/>
      <c r="P35" s="1">
        <f>SUM(OSRRefP22_2x_0)</f>
        <v>138</v>
      </c>
      <c r="Q35" s="1"/>
      <c r="R35" s="5">
        <f t="shared" ref="R35:R44" si="20">IF(P$12=0,0,P35/P$12)</f>
        <v>0</v>
      </c>
      <c r="S35" s="1"/>
      <c r="T35" s="1">
        <f>SUM(OSRRefT22_2x_0)</f>
        <v>402</v>
      </c>
      <c r="U35" s="1"/>
      <c r="V35" s="5">
        <f t="shared" ref="V35:V44" si="21">IF(T$12=0,0,T35/T$12)</f>
        <v>0</v>
      </c>
      <c r="W35" s="1"/>
      <c r="X35" s="1">
        <f t="shared" ref="X35:X44" si="22">+P35-T35</f>
        <v>-264</v>
      </c>
      <c r="Y35" s="1"/>
      <c r="Z35" s="5">
        <f t="shared" ref="Z35:Z44" si="23">IF(T35=0,0,X35/T35)</f>
        <v>-0.65671641791044777</v>
      </c>
    </row>
    <row r="36" spans="1:26" s="24" customFormat="1" hidden="1" outlineLevel="2" x14ac:dyDescent="0.25">
      <c r="A36" s="29"/>
      <c r="B36" s="11" t="str">
        <f>CONCATENATE("          ", "6362", " - ", "ADVERTISING EXPENSE")</f>
        <v xml:space="preserve">          6362 - ADVERTISING EXPENSE</v>
      </c>
      <c r="C36" s="11"/>
      <c r="D36" s="7"/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138</v>
      </c>
      <c r="Q36" s="2"/>
      <c r="R36" s="6">
        <f t="shared" si="20"/>
        <v>0</v>
      </c>
      <c r="S36" s="2"/>
      <c r="T36" s="7">
        <v>402</v>
      </c>
      <c r="U36" s="2"/>
      <c r="V36" s="6">
        <f t="shared" si="21"/>
        <v>0</v>
      </c>
      <c r="W36" s="2"/>
      <c r="X36" s="7">
        <f t="shared" si="22"/>
        <v>-264</v>
      </c>
      <c r="Y36" s="2"/>
      <c r="Z36" s="6">
        <f t="shared" si="23"/>
        <v>-0.65671641791044777</v>
      </c>
    </row>
    <row r="37" spans="1:26" s="27" customFormat="1" outlineLevel="1" collapsed="1" x14ac:dyDescent="0.25">
      <c r="A37" s="28"/>
      <c r="B37" s="14" t="str">
        <f>CONCATENATE("     ","Equipment Rental                                  ")</f>
        <v xml:space="preserve">     Equipment Rental                                  </v>
      </c>
      <c r="C37" s="14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166.24</v>
      </c>
      <c r="I37" s="1"/>
      <c r="J37" s="5">
        <f t="shared" si="17"/>
        <v>0</v>
      </c>
      <c r="K37" s="1"/>
      <c r="L37" s="1">
        <f t="shared" si="18"/>
        <v>-166.24</v>
      </c>
      <c r="M37" s="1"/>
      <c r="N37" s="5">
        <f t="shared" si="19"/>
        <v>-1</v>
      </c>
      <c r="O37" s="14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332.48</v>
      </c>
      <c r="U37" s="1"/>
      <c r="V37" s="5">
        <f t="shared" si="21"/>
        <v>0</v>
      </c>
      <c r="W37" s="1"/>
      <c r="X37" s="1">
        <f t="shared" si="22"/>
        <v>-332.48</v>
      </c>
      <c r="Y37" s="1"/>
      <c r="Z37" s="5">
        <f t="shared" si="23"/>
        <v>-1</v>
      </c>
    </row>
    <row r="38" spans="1:26" s="24" customFormat="1" hidden="1" outlineLevel="2" x14ac:dyDescent="0.25">
      <c r="A38" s="29"/>
      <c r="B38" s="11" t="str">
        <f>CONCATENATE("          ", "6351", " - ", "EQUIPMENT RENTAL")</f>
        <v xml:space="preserve">          6351 - EQUIPMENT RENTAL</v>
      </c>
      <c r="C38" s="11"/>
      <c r="D38" s="7"/>
      <c r="E38" s="2"/>
      <c r="F38" s="6">
        <f t="shared" si="16"/>
        <v>0</v>
      </c>
      <c r="G38" s="2"/>
      <c r="H38" s="7">
        <v>166.24</v>
      </c>
      <c r="I38" s="2"/>
      <c r="J38" s="6">
        <f t="shared" si="17"/>
        <v>0</v>
      </c>
      <c r="K38" s="2"/>
      <c r="L38" s="7">
        <f t="shared" si="18"/>
        <v>-166.24</v>
      </c>
      <c r="M38" s="2"/>
      <c r="N38" s="6">
        <f t="shared" si="19"/>
        <v>-1</v>
      </c>
      <c r="O38" s="11"/>
      <c r="P38" s="7"/>
      <c r="Q38" s="2"/>
      <c r="R38" s="6">
        <f t="shared" si="20"/>
        <v>0</v>
      </c>
      <c r="S38" s="2"/>
      <c r="T38" s="7">
        <v>332.48</v>
      </c>
      <c r="U38" s="2"/>
      <c r="V38" s="6">
        <f t="shared" si="21"/>
        <v>0</v>
      </c>
      <c r="W38" s="2"/>
      <c r="X38" s="7">
        <f t="shared" si="22"/>
        <v>-332.48</v>
      </c>
      <c r="Y38" s="2"/>
      <c r="Z38" s="6">
        <f t="shared" si="23"/>
        <v>-1</v>
      </c>
    </row>
    <row r="39" spans="1:26" s="27" customFormat="1" outlineLevel="1" collapsed="1" x14ac:dyDescent="0.25">
      <c r="A39" s="28"/>
      <c r="B39" s="14" t="str">
        <f>CONCATENATE("     ","Repair and Maintenance                            ")</f>
        <v xml:space="preserve">     Repair and Maintenance                            </v>
      </c>
      <c r="C39" s="14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31.98</v>
      </c>
      <c r="I39" s="1"/>
      <c r="J39" s="5">
        <f t="shared" si="17"/>
        <v>0</v>
      </c>
      <c r="K39" s="1"/>
      <c r="L39" s="1">
        <f t="shared" si="18"/>
        <v>-31.98</v>
      </c>
      <c r="M39" s="1"/>
      <c r="N39" s="5">
        <f t="shared" si="19"/>
        <v>-1</v>
      </c>
      <c r="O39" s="14"/>
      <c r="P39" s="1">
        <f>SUM(OSRRefP22_4x_0)</f>
        <v>0</v>
      </c>
      <c r="Q39" s="1"/>
      <c r="R39" s="5">
        <f t="shared" si="20"/>
        <v>0</v>
      </c>
      <c r="S39" s="1"/>
      <c r="T39" s="1">
        <f>SUM(OSRRefT22_4x_0)</f>
        <v>58.1</v>
      </c>
      <c r="U39" s="1"/>
      <c r="V39" s="5">
        <f t="shared" si="21"/>
        <v>0</v>
      </c>
      <c r="W39" s="1"/>
      <c r="X39" s="1">
        <f t="shared" si="22"/>
        <v>-58.1</v>
      </c>
      <c r="Y39" s="1"/>
      <c r="Z39" s="5">
        <f t="shared" si="23"/>
        <v>-1</v>
      </c>
    </row>
    <row r="40" spans="1:26" s="24" customFormat="1" hidden="1" outlineLevel="2" x14ac:dyDescent="0.25">
      <c r="A40" s="29"/>
      <c r="B40" s="11" t="str">
        <f>CONCATENATE("          ", "6373", " - ", "MAINTENANCE CONTRACTS")</f>
        <v xml:space="preserve">          6373 - MAINTENANCE CONTRACTS</v>
      </c>
      <c r="C40" s="11"/>
      <c r="D40" s="7"/>
      <c r="E40" s="2"/>
      <c r="F40" s="6">
        <f t="shared" si="16"/>
        <v>0</v>
      </c>
      <c r="G40" s="2"/>
      <c r="H40" s="7">
        <v>31.98</v>
      </c>
      <c r="I40" s="2"/>
      <c r="J40" s="6">
        <f t="shared" si="17"/>
        <v>0</v>
      </c>
      <c r="K40" s="2"/>
      <c r="L40" s="7">
        <f t="shared" si="18"/>
        <v>-31.98</v>
      </c>
      <c r="M40" s="2"/>
      <c r="N40" s="6">
        <f t="shared" si="19"/>
        <v>-1</v>
      </c>
      <c r="O40" s="11"/>
      <c r="P40" s="7"/>
      <c r="Q40" s="2"/>
      <c r="R40" s="6">
        <f t="shared" si="20"/>
        <v>0</v>
      </c>
      <c r="S40" s="2"/>
      <c r="T40" s="7">
        <v>58.1</v>
      </c>
      <c r="U40" s="2"/>
      <c r="V40" s="6">
        <f t="shared" si="21"/>
        <v>0</v>
      </c>
      <c r="W40" s="2"/>
      <c r="X40" s="7">
        <f t="shared" si="22"/>
        <v>-58.1</v>
      </c>
      <c r="Y40" s="2"/>
      <c r="Z40" s="6">
        <f t="shared" si="23"/>
        <v>-1</v>
      </c>
    </row>
    <row r="41" spans="1:26" s="27" customFormat="1" outlineLevel="1" collapsed="1" x14ac:dyDescent="0.25">
      <c r="A41" s="28"/>
      <c r="B41" s="14" t="str">
        <f>CONCATENATE("     ","Supplies                                          ")</f>
        <v xml:space="preserve">     Supplies                                          </v>
      </c>
      <c r="C41" s="14"/>
      <c r="D41" s="1">
        <f>SUM(OSRRefD22_5x_0)</f>
        <v>60.06</v>
      </c>
      <c r="E41" s="1"/>
      <c r="F41" s="5">
        <f t="shared" si="16"/>
        <v>0</v>
      </c>
      <c r="G41" s="1"/>
      <c r="H41" s="1">
        <f>SUM(OSRRefH22_5x_0)</f>
        <v>1151.56</v>
      </c>
      <c r="I41" s="1"/>
      <c r="J41" s="5">
        <f t="shared" si="17"/>
        <v>0</v>
      </c>
      <c r="K41" s="1"/>
      <c r="L41" s="1">
        <f t="shared" si="18"/>
        <v>-1091.5</v>
      </c>
      <c r="M41" s="1"/>
      <c r="N41" s="5">
        <f t="shared" si="19"/>
        <v>-0.94784466289207692</v>
      </c>
      <c r="O41" s="14"/>
      <c r="P41" s="1">
        <f>SUM(OSRRefP22_5x_0)</f>
        <v>135.03</v>
      </c>
      <c r="Q41" s="1"/>
      <c r="R41" s="5">
        <f t="shared" si="20"/>
        <v>0</v>
      </c>
      <c r="S41" s="1"/>
      <c r="T41" s="1">
        <f>SUM(OSRRefT22_5x_0)</f>
        <v>1800.67</v>
      </c>
      <c r="U41" s="1"/>
      <c r="V41" s="5">
        <f t="shared" si="21"/>
        <v>0</v>
      </c>
      <c r="W41" s="1"/>
      <c r="X41" s="1">
        <f t="shared" si="22"/>
        <v>-1665.64</v>
      </c>
      <c r="Y41" s="1"/>
      <c r="Z41" s="5">
        <f t="shared" si="23"/>
        <v>-0.92501124581405814</v>
      </c>
    </row>
    <row r="42" spans="1:26" s="24" customFormat="1" hidden="1" outlineLevel="2" x14ac:dyDescent="0.25">
      <c r="A42" s="29"/>
      <c r="B42" s="11" t="str">
        <f>CONCATENATE("          ", "6241", " - ", "OFFICE EXPENSE")</f>
        <v xml:space="preserve">          6241 - OFFICE EXPENSE</v>
      </c>
      <c r="C42" s="11"/>
      <c r="D42" s="7">
        <v>60.06</v>
      </c>
      <c r="E42" s="2"/>
      <c r="F42" s="6">
        <f t="shared" si="16"/>
        <v>0</v>
      </c>
      <c r="G42" s="2"/>
      <c r="H42" s="7">
        <v>881.11</v>
      </c>
      <c r="I42" s="2"/>
      <c r="J42" s="6">
        <f t="shared" si="17"/>
        <v>0</v>
      </c>
      <c r="K42" s="2"/>
      <c r="L42" s="7">
        <f t="shared" si="18"/>
        <v>-821.05</v>
      </c>
      <c r="M42" s="2"/>
      <c r="N42" s="6">
        <f t="shared" si="19"/>
        <v>-0.9318359796166199</v>
      </c>
      <c r="O42" s="11"/>
      <c r="P42" s="7">
        <v>135.03</v>
      </c>
      <c r="Q42" s="2"/>
      <c r="R42" s="6">
        <f t="shared" si="20"/>
        <v>0</v>
      </c>
      <c r="S42" s="2"/>
      <c r="T42" s="7">
        <v>1011.66</v>
      </c>
      <c r="U42" s="2"/>
      <c r="V42" s="6">
        <f t="shared" si="21"/>
        <v>0</v>
      </c>
      <c r="W42" s="2"/>
      <c r="X42" s="7">
        <f t="shared" si="22"/>
        <v>-876.63</v>
      </c>
      <c r="Y42" s="2"/>
      <c r="Z42" s="6">
        <f t="shared" si="23"/>
        <v>-0.86652630330348146</v>
      </c>
    </row>
    <row r="43" spans="1:26" s="24" customFormat="1" hidden="1" outlineLevel="2" x14ac:dyDescent="0.25">
      <c r="A43" s="29"/>
      <c r="B43" s="11" t="str">
        <f>CONCATENATE("          ", "6245", " - ", "PRINTING")</f>
        <v xml:space="preserve">          6245 - PRINTING</v>
      </c>
      <c r="C43" s="11"/>
      <c r="D43" s="7"/>
      <c r="E43" s="2"/>
      <c r="F43" s="6">
        <f t="shared" si="16"/>
        <v>0</v>
      </c>
      <c r="G43" s="2"/>
      <c r="H43" s="7">
        <v>3.09</v>
      </c>
      <c r="I43" s="2"/>
      <c r="J43" s="6">
        <f t="shared" si="17"/>
        <v>0</v>
      </c>
      <c r="K43" s="2"/>
      <c r="L43" s="7">
        <f t="shared" si="18"/>
        <v>-3.09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3.09</v>
      </c>
      <c r="U43" s="2"/>
      <c r="V43" s="6">
        <f t="shared" si="21"/>
        <v>0</v>
      </c>
      <c r="W43" s="2"/>
      <c r="X43" s="7">
        <f t="shared" si="22"/>
        <v>-3.09</v>
      </c>
      <c r="Y43" s="2"/>
      <c r="Z43" s="6">
        <f t="shared" si="23"/>
        <v>-1</v>
      </c>
    </row>
    <row r="44" spans="1:26" s="24" customFormat="1" hidden="1" outlineLevel="2" x14ac:dyDescent="0.25">
      <c r="A44" s="29"/>
      <c r="B44" s="11" t="str">
        <f>CONCATENATE("          ", "6247", " - ", "STORE SUPPLIES")</f>
        <v xml:space="preserve">          6247 - STORE SUPPLIES</v>
      </c>
      <c r="C44" s="11"/>
      <c r="D44" s="7"/>
      <c r="E44" s="2"/>
      <c r="F44" s="6">
        <f t="shared" si="16"/>
        <v>0</v>
      </c>
      <c r="G44" s="2"/>
      <c r="H44" s="7">
        <v>267.36</v>
      </c>
      <c r="I44" s="2"/>
      <c r="J44" s="6">
        <f t="shared" si="17"/>
        <v>0</v>
      </c>
      <c r="K44" s="2"/>
      <c r="L44" s="7">
        <f t="shared" si="18"/>
        <v>-267.36</v>
      </c>
      <c r="M44" s="2"/>
      <c r="N44" s="6">
        <f t="shared" si="19"/>
        <v>-1</v>
      </c>
      <c r="O44" s="11"/>
      <c r="P44" s="7"/>
      <c r="Q44" s="2"/>
      <c r="R44" s="6">
        <f t="shared" si="20"/>
        <v>0</v>
      </c>
      <c r="S44" s="2"/>
      <c r="T44" s="7">
        <v>785.92</v>
      </c>
      <c r="U44" s="2"/>
      <c r="V44" s="6">
        <f t="shared" si="21"/>
        <v>0</v>
      </c>
      <c r="W44" s="2"/>
      <c r="X44" s="7">
        <f t="shared" si="22"/>
        <v>-785.92</v>
      </c>
      <c r="Y44" s="2"/>
      <c r="Z44" s="6">
        <f t="shared" si="23"/>
        <v>-1</v>
      </c>
    </row>
    <row r="45" spans="1:26" s="27" customFormat="1" outlineLevel="1" collapsed="1" x14ac:dyDescent="0.25">
      <c r="A45" s="28"/>
      <c r="B45" s="14" t="str">
        <f>CONCATENATE("     ","Telephone/Data Lines                              ")</f>
        <v xml:space="preserve">     Telephone/Data Lines                              </v>
      </c>
      <c r="C45" s="14"/>
      <c r="D45" s="1">
        <f>SUM(OSRRefD22_6x_0)</f>
        <v>144.65</v>
      </c>
      <c r="E45" s="1"/>
      <c r="F45" s="5">
        <f t="shared" ref="F45:F48" si="24">IF(D$12=0,0,D45/D$12)</f>
        <v>0</v>
      </c>
      <c r="G45" s="1"/>
      <c r="H45" s="1">
        <f>SUM(OSRRefH22_6x_0)</f>
        <v>160.35</v>
      </c>
      <c r="I45" s="1"/>
      <c r="J45" s="5">
        <f t="shared" ref="J45:J48" si="25">IF(H$12=0,0,H45/H$12)</f>
        <v>0</v>
      </c>
      <c r="K45" s="1"/>
      <c r="L45" s="1">
        <f t="shared" ref="L45:L48" si="26">+D45-H45</f>
        <v>-15.699999999999989</v>
      </c>
      <c r="M45" s="1"/>
      <c r="N45" s="5">
        <f t="shared" ref="N45:N48" si="27">IF(H45=0,0,L45/H45)</f>
        <v>-9.7910820081072589E-2</v>
      </c>
      <c r="O45" s="14"/>
      <c r="P45" s="1">
        <f>SUM(OSRRefP22_6x_0)</f>
        <v>227.85</v>
      </c>
      <c r="Q45" s="1"/>
      <c r="R45" s="5">
        <f t="shared" ref="R45:R48" si="28">IF(P$12=0,0,P45/P$12)</f>
        <v>0</v>
      </c>
      <c r="S45" s="1"/>
      <c r="T45" s="1">
        <f>SUM(OSRRefT22_6x_0)</f>
        <v>215.1</v>
      </c>
      <c r="U45" s="1"/>
      <c r="V45" s="5">
        <f t="shared" ref="V45:V48" si="29">IF(T$12=0,0,T45/T$12)</f>
        <v>0</v>
      </c>
      <c r="W45" s="1"/>
      <c r="X45" s="1">
        <f t="shared" ref="X45:X48" si="30">+P45-T45</f>
        <v>12.75</v>
      </c>
      <c r="Y45" s="1"/>
      <c r="Z45" s="5">
        <f t="shared" ref="Z45:Z48" si="31">IF(T45=0,0,X45/T45)</f>
        <v>5.9274755927475595E-2</v>
      </c>
    </row>
    <row r="46" spans="1:26" s="24" customFormat="1" hidden="1" outlineLevel="2" x14ac:dyDescent="0.25">
      <c r="A46" s="29"/>
      <c r="B46" s="11" t="str">
        <f>CONCATENATE("          ", "6309", " - ", "TELEPHONE")</f>
        <v xml:space="preserve">          6309 - TELEPHONE</v>
      </c>
      <c r="C46" s="11"/>
      <c r="D46" s="7">
        <v>144.65</v>
      </c>
      <c r="E46" s="2"/>
      <c r="F46" s="6">
        <f t="shared" si="24"/>
        <v>0</v>
      </c>
      <c r="G46" s="2"/>
      <c r="H46" s="7">
        <v>160.35</v>
      </c>
      <c r="I46" s="2"/>
      <c r="J46" s="6">
        <f t="shared" si="25"/>
        <v>0</v>
      </c>
      <c r="K46" s="2"/>
      <c r="L46" s="7">
        <f t="shared" si="26"/>
        <v>-15.699999999999989</v>
      </c>
      <c r="M46" s="2"/>
      <c r="N46" s="6">
        <f t="shared" si="27"/>
        <v>-9.7910820081072589E-2</v>
      </c>
      <c r="O46" s="11"/>
      <c r="P46" s="7">
        <v>227.85</v>
      </c>
      <c r="Q46" s="2"/>
      <c r="R46" s="6">
        <f t="shared" si="28"/>
        <v>0</v>
      </c>
      <c r="S46" s="2"/>
      <c r="T46" s="7">
        <v>215.1</v>
      </c>
      <c r="U46" s="2"/>
      <c r="V46" s="6">
        <f t="shared" si="29"/>
        <v>0</v>
      </c>
      <c r="W46" s="2"/>
      <c r="X46" s="7">
        <f t="shared" si="30"/>
        <v>12.75</v>
      </c>
      <c r="Y46" s="2"/>
      <c r="Z46" s="6">
        <f t="shared" si="31"/>
        <v>5.9274755927475595E-2</v>
      </c>
    </row>
    <row r="47" spans="1:26" s="27" customFormat="1" outlineLevel="1" collapsed="1" x14ac:dyDescent="0.25">
      <c r="A47" s="28"/>
      <c r="B47" s="14" t="str">
        <f>CONCATENATE("     ","Training                                          ")</f>
        <v xml:space="preserve">     Training                                          </v>
      </c>
      <c r="C47" s="14"/>
      <c r="D47" s="1">
        <f>SUM(OSRRefD22_7x_0)</f>
        <v>0</v>
      </c>
      <c r="E47" s="1"/>
      <c r="F47" s="5">
        <f t="shared" si="24"/>
        <v>0</v>
      </c>
      <c r="G47" s="1"/>
      <c r="H47" s="1">
        <f>SUM(OSRRefH22_7x_0)</f>
        <v>0</v>
      </c>
      <c r="I47" s="1"/>
      <c r="J47" s="5">
        <f t="shared" si="25"/>
        <v>0</v>
      </c>
      <c r="K47" s="1"/>
      <c r="L47" s="1">
        <f t="shared" si="26"/>
        <v>0</v>
      </c>
      <c r="M47" s="1"/>
      <c r="N47" s="5">
        <f t="shared" si="27"/>
        <v>0</v>
      </c>
      <c r="O47" s="14"/>
      <c r="P47" s="1">
        <f>SUM(OSRRefP22_7x_0)</f>
        <v>0</v>
      </c>
      <c r="Q47" s="1"/>
      <c r="R47" s="5">
        <f t="shared" si="28"/>
        <v>0</v>
      </c>
      <c r="S47" s="1"/>
      <c r="T47" s="1">
        <f>SUM(OSRRefT22_7x_0)</f>
        <v>395</v>
      </c>
      <c r="U47" s="1"/>
      <c r="V47" s="5">
        <f t="shared" si="29"/>
        <v>0</v>
      </c>
      <c r="W47" s="1"/>
      <c r="X47" s="1">
        <f t="shared" si="30"/>
        <v>-395</v>
      </c>
      <c r="Y47" s="1"/>
      <c r="Z47" s="5">
        <f t="shared" si="31"/>
        <v>-1</v>
      </c>
    </row>
    <row r="48" spans="1:26" s="24" customFormat="1" hidden="1" outlineLevel="2" x14ac:dyDescent="0.25">
      <c r="A48" s="29"/>
      <c r="B48" s="11" t="str">
        <f>CONCATENATE("          ", "6376", " - ", "TRAINING")</f>
        <v xml:space="preserve">          6376 - TRAINING</v>
      </c>
      <c r="C48" s="11"/>
      <c r="D48" s="7"/>
      <c r="E48" s="2"/>
      <c r="F48" s="6">
        <f t="shared" si="24"/>
        <v>0</v>
      </c>
      <c r="G48" s="2"/>
      <c r="H48" s="7"/>
      <c r="I48" s="2"/>
      <c r="J48" s="6">
        <f t="shared" si="25"/>
        <v>0</v>
      </c>
      <c r="K48" s="2"/>
      <c r="L48" s="7">
        <f t="shared" si="26"/>
        <v>0</v>
      </c>
      <c r="M48" s="2"/>
      <c r="N48" s="6">
        <f t="shared" si="27"/>
        <v>0</v>
      </c>
      <c r="O48" s="11"/>
      <c r="P48" s="7"/>
      <c r="Q48" s="2"/>
      <c r="R48" s="6">
        <f t="shared" si="28"/>
        <v>0</v>
      </c>
      <c r="S48" s="2"/>
      <c r="T48" s="7">
        <v>395</v>
      </c>
      <c r="U48" s="2"/>
      <c r="V48" s="6">
        <f t="shared" si="29"/>
        <v>0</v>
      </c>
      <c r="W48" s="2"/>
      <c r="X48" s="7">
        <f t="shared" si="30"/>
        <v>-395</v>
      </c>
      <c r="Y48" s="2"/>
      <c r="Z48" s="6">
        <f t="shared" si="31"/>
        <v>-1</v>
      </c>
    </row>
    <row r="49" spans="1:26" s="62" customFormat="1" x14ac:dyDescent="0.25">
      <c r="A49" s="37"/>
      <c r="B49" s="37"/>
      <c r="C49" s="37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7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25">
      <c r="A50" s="10"/>
      <c r="B50" s="25" t="s">
        <v>0</v>
      </c>
      <c r="C50" s="10"/>
      <c r="D50" s="4">
        <f>SUM(0)</f>
        <v>0</v>
      </c>
      <c r="E50" s="4"/>
      <c r="F50" s="12">
        <f>IF(D$12=0,0,D50/D$12)</f>
        <v>0</v>
      </c>
      <c r="G50" s="4"/>
      <c r="H50" s="4">
        <f>SUM(0)</f>
        <v>0</v>
      </c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>
        <f>SUM(0)</f>
        <v>0</v>
      </c>
      <c r="Q50" s="4"/>
      <c r="R50" s="12">
        <f>IF(P$12=0,0,P50/P$12)</f>
        <v>0</v>
      </c>
      <c r="S50" s="4"/>
      <c r="T50" s="4">
        <f>SUM(0)</f>
        <v>0</v>
      </c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6" t="s">
        <v>3</v>
      </c>
      <c r="C52" s="26"/>
      <c r="D52" s="20">
        <f>+D16-D18+D50</f>
        <v>-65464.189999999995</v>
      </c>
      <c r="E52" s="13"/>
      <c r="F52" s="19">
        <f>IF(D$12=0,0,D52/D$12)</f>
        <v>0</v>
      </c>
      <c r="G52" s="13"/>
      <c r="H52" s="20">
        <f>+H16-H18+H50</f>
        <v>-78371.75</v>
      </c>
      <c r="I52" s="13"/>
      <c r="J52" s="19">
        <f>IF(H$12=0,0,H52/H$12)</f>
        <v>0</v>
      </c>
      <c r="K52" s="15"/>
      <c r="L52" s="20">
        <f>+D52-H52</f>
        <v>12907.560000000005</v>
      </c>
      <c r="M52" s="15"/>
      <c r="N52" s="19">
        <f>IF(H52=0,0,L52/H52)</f>
        <v>-0.16469659028923056</v>
      </c>
      <c r="O52" s="25"/>
      <c r="P52" s="20">
        <f>+P16-P18+P50</f>
        <v>-111418.08</v>
      </c>
      <c r="Q52" s="13"/>
      <c r="R52" s="19">
        <f>IF(P$12=0,0,P52/P$12)</f>
        <v>0</v>
      </c>
      <c r="S52" s="13"/>
      <c r="T52" s="20">
        <f>+T16-T18+T50</f>
        <v>-129727.77000000002</v>
      </c>
      <c r="U52" s="13"/>
      <c r="V52" s="19">
        <f>IF(T$12=0,0,T52/T$12)</f>
        <v>0</v>
      </c>
      <c r="W52" s="15"/>
      <c r="X52" s="20">
        <f>+P52-T52</f>
        <v>18309.690000000017</v>
      </c>
      <c r="Y52" s="15"/>
      <c r="Z52" s="19">
        <f>IF(T52=0,0,X52/T52)</f>
        <v>-0.14113932583594102</v>
      </c>
    </row>
    <row r="53" spans="1:26" x14ac:dyDescent="0.25">
      <c r="A53" s="9"/>
      <c r="B53" s="10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51"/>
      <c r="B54" s="10" t="s">
        <v>13</v>
      </c>
      <c r="C54" s="10"/>
      <c r="D54" s="4"/>
      <c r="E54" s="4"/>
      <c r="F54" s="12">
        <f>IF(D$12=0,0,D54/D$12)</f>
        <v>0</v>
      </c>
      <c r="G54" s="4"/>
      <c r="H54" s="4"/>
      <c r="I54" s="4"/>
      <c r="J54" s="12">
        <f>IF(H$12=0,0,H54/H$12)</f>
        <v>0</v>
      </c>
      <c r="K54" s="4"/>
      <c r="L54" s="4">
        <f>+D54-H54</f>
        <v>0</v>
      </c>
      <c r="M54" s="4"/>
      <c r="N54" s="12">
        <f>IF(H54=0,0,L54/H54)</f>
        <v>0</v>
      </c>
      <c r="O54" s="10"/>
      <c r="P54" s="4"/>
      <c r="Q54" s="4"/>
      <c r="R54" s="12">
        <f>IF(P$12=0,0,P54/P$12)</f>
        <v>0</v>
      </c>
      <c r="S54" s="4"/>
      <c r="T54" s="4"/>
      <c r="U54" s="4"/>
      <c r="V54" s="12">
        <f>IF(T$12=0,0,T54/T$12)</f>
        <v>0</v>
      </c>
      <c r="W54" s="4"/>
      <c r="X54" s="4">
        <f>+P54-T54</f>
        <v>0</v>
      </c>
      <c r="Y54" s="4"/>
      <c r="Z54" s="12">
        <f>IF(T54=0,0,X54/T54)</f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6" t="s">
        <v>4</v>
      </c>
      <c r="C56" s="26"/>
      <c r="D56" s="31">
        <f>+D52-D54</f>
        <v>-65464.189999999995</v>
      </c>
      <c r="E56" s="13"/>
      <c r="F56" s="36">
        <f>IF(D$12=0,0,D56/D$12)</f>
        <v>0</v>
      </c>
      <c r="G56" s="13"/>
      <c r="H56" s="31">
        <f>+H52-H54</f>
        <v>-78371.75</v>
      </c>
      <c r="I56" s="13"/>
      <c r="J56" s="36">
        <f>IF(H$12=0,0,H56/H$12)</f>
        <v>0</v>
      </c>
      <c r="K56" s="15"/>
      <c r="L56" s="31">
        <f>D56-H56</f>
        <v>12907.560000000005</v>
      </c>
      <c r="M56" s="15"/>
      <c r="N56" s="36">
        <f>IF(H56=0,0,L56/H56)</f>
        <v>-0.16469659028923056</v>
      </c>
      <c r="O56" s="25"/>
      <c r="P56" s="31">
        <f>+P52-P54</f>
        <v>-111418.08</v>
      </c>
      <c r="Q56" s="13"/>
      <c r="R56" s="36">
        <f>IF(P$12=0,0,P56/P$12)</f>
        <v>0</v>
      </c>
      <c r="S56" s="13"/>
      <c r="T56" s="31">
        <f>+T52-T54</f>
        <v>-129727.77000000002</v>
      </c>
      <c r="U56" s="13"/>
      <c r="V56" s="36">
        <f>IF(T$12=0,0,T56/T$12)</f>
        <v>0</v>
      </c>
      <c r="W56" s="15"/>
      <c r="X56" s="31">
        <f>P56-T56</f>
        <v>18309.690000000017</v>
      </c>
      <c r="Y56" s="15"/>
      <c r="Z56" s="36">
        <f>IF(T56=0,0,X56/T56)</f>
        <v>-0.14113932583594102</v>
      </c>
    </row>
    <row r="57" spans="1:26" ht="15.75" thickTop="1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6" t="s">
        <v>5</v>
      </c>
      <c r="C59" s="26"/>
      <c r="D59" s="32">
        <f>SUM(D56:D58)</f>
        <v>-65464.189999999995</v>
      </c>
      <c r="E59" s="13"/>
      <c r="F59" s="30">
        <f>IF(D$12=0,0,D59/D$12)</f>
        <v>0</v>
      </c>
      <c r="G59" s="13"/>
      <c r="H59" s="32">
        <f>SUM(H56:H58)</f>
        <v>-78371.75</v>
      </c>
      <c r="I59" s="13"/>
      <c r="J59" s="30">
        <f>IF(H$12=0,0,H59/H$12)</f>
        <v>0</v>
      </c>
      <c r="K59" s="15"/>
      <c r="L59" s="32">
        <f>+D59-H59</f>
        <v>12907.560000000005</v>
      </c>
      <c r="M59" s="15"/>
      <c r="N59" s="30">
        <f>IF(H59=0,0,L59/H59)</f>
        <v>-0.16469659028923056</v>
      </c>
      <c r="O59" s="25"/>
      <c r="P59" s="32">
        <f>SUM(P56:P58)</f>
        <v>-111418.08</v>
      </c>
      <c r="Q59" s="13"/>
      <c r="R59" s="30">
        <f>IF(P$12=0,0,P59/P$12)</f>
        <v>0</v>
      </c>
      <c r="S59" s="13"/>
      <c r="T59" s="32">
        <f>SUM(T56:T58)</f>
        <v>-129727.77000000002</v>
      </c>
      <c r="U59" s="13"/>
      <c r="V59" s="30">
        <f>IF(T$12=0,0,T59/T$12)</f>
        <v>0</v>
      </c>
      <c r="W59" s="15"/>
      <c r="X59" s="32">
        <f>+P59-T59</f>
        <v>18309.690000000017</v>
      </c>
      <c r="Y59" s="15"/>
      <c r="Z59" s="30">
        <f>IF(T59=0,0,X59/T59)</f>
        <v>-0.14113932583594102</v>
      </c>
    </row>
    <row r="60" spans="1:26" ht="15.75" thickTop="1" x14ac:dyDescent="0.25">
      <c r="A60" s="9"/>
      <c r="C60" s="9"/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A61" s="9"/>
      <c r="B61" s="57">
        <v>43732.709640277775</v>
      </c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A62" s="9"/>
      <c r="B62" s="60" t="s">
        <v>313</v>
      </c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56"/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304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133332.23000000007</v>
      </c>
      <c r="E12" s="4"/>
      <c r="F12" s="12"/>
      <c r="G12" s="4"/>
      <c r="H12" s="4">
        <f>SUM(OSRRefH13x_0)</f>
        <v>129063.71999999999</v>
      </c>
      <c r="I12" s="4"/>
      <c r="J12" s="12"/>
      <c r="K12" s="4"/>
      <c r="L12" s="4">
        <f t="shared" ref="L12:L47" si="0">+D12-H12</f>
        <v>4268.5100000000821</v>
      </c>
      <c r="M12" s="4"/>
      <c r="N12" s="12">
        <f t="shared" ref="N12:N47" si="1">IF(H12=0,0,L12/H12)</f>
        <v>3.3072888337637274E-2</v>
      </c>
      <c r="O12" s="10"/>
      <c r="P12" s="4">
        <f>SUM(OSRRefP13x_0)</f>
        <v>152101.01000000007</v>
      </c>
      <c r="Q12" s="4"/>
      <c r="R12" s="12"/>
      <c r="S12" s="4"/>
      <c r="T12" s="4">
        <f>SUM(OSRRefT13x_0)</f>
        <v>147072.63000000006</v>
      </c>
      <c r="U12" s="4"/>
      <c r="V12" s="12"/>
      <c r="W12" s="4"/>
      <c r="X12" s="4">
        <f t="shared" ref="X12:X47" si="2">+P12-T12</f>
        <v>5028.3800000000047</v>
      </c>
      <c r="Y12" s="4"/>
      <c r="Z12" s="12">
        <f t="shared" ref="Z12:Z47" si="3">IF(T12=0,0,X12/T12)</f>
        <v>3.4189774127245852E-2</v>
      </c>
    </row>
    <row r="13" spans="1:26" s="24" customFormat="1" hidden="1" outlineLevel="1" x14ac:dyDescent="0.25">
      <c r="A13" s="50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--152.83</f>
        <v>152.83000000000001</v>
      </c>
      <c r="E13" s="2"/>
      <c r="F13" s="21"/>
      <c r="G13" s="2"/>
      <c r="H13" s="2">
        <f>--335.74</f>
        <v>335.74</v>
      </c>
      <c r="I13" s="2"/>
      <c r="J13" s="21"/>
      <c r="K13" s="2"/>
      <c r="L13" s="2">
        <f t="shared" si="0"/>
        <v>-182.91</v>
      </c>
      <c r="M13" s="2"/>
      <c r="N13" s="21">
        <f t="shared" si="1"/>
        <v>-0.54479656877345561</v>
      </c>
      <c r="O13" s="11"/>
      <c r="P13" s="2">
        <f>--157.3</f>
        <v>157.30000000000001</v>
      </c>
      <c r="Q13" s="2"/>
      <c r="R13" s="21"/>
      <c r="S13" s="2"/>
      <c r="T13" s="2">
        <f>--600.35</f>
        <v>600.35</v>
      </c>
      <c r="U13" s="2"/>
      <c r="V13" s="21"/>
      <c r="W13" s="2"/>
      <c r="X13" s="2">
        <f t="shared" si="2"/>
        <v>-443.05</v>
      </c>
      <c r="Y13" s="2"/>
      <c r="Z13" s="21">
        <f t="shared" si="3"/>
        <v>-0.73798617473140671</v>
      </c>
    </row>
    <row r="14" spans="1:26" s="24" customFormat="1" hidden="1" outlineLevel="1" x14ac:dyDescent="0.25">
      <c r="A14" s="50"/>
      <c r="B14" s="11" t="str">
        <f>CONCATENATE("          ", "4019", " - ", "TAXABLE SALES-BOOK RELATED")</f>
        <v xml:space="preserve">          4019 - TAXABLE SALES-BOOK RELATED</v>
      </c>
      <c r="C14" s="11"/>
      <c r="D14" s="2">
        <f>--14.95</f>
        <v>14.95</v>
      </c>
      <c r="E14" s="2"/>
      <c r="F14" s="21"/>
      <c r="G14" s="2"/>
      <c r="H14" s="2">
        <f>0</f>
        <v>0</v>
      </c>
      <c r="I14" s="2"/>
      <c r="J14" s="21"/>
      <c r="K14" s="2"/>
      <c r="L14" s="2">
        <f t="shared" si="0"/>
        <v>14.95</v>
      </c>
      <c r="M14" s="2"/>
      <c r="N14" s="21">
        <f t="shared" si="1"/>
        <v>0</v>
      </c>
      <c r="O14" s="11"/>
      <c r="P14" s="2">
        <f>--14.95</f>
        <v>14.95</v>
      </c>
      <c r="Q14" s="2"/>
      <c r="R14" s="21"/>
      <c r="S14" s="2"/>
      <c r="T14" s="2">
        <f>--39.9</f>
        <v>39.9</v>
      </c>
      <c r="U14" s="2"/>
      <c r="V14" s="21"/>
      <c r="W14" s="2"/>
      <c r="X14" s="2">
        <f t="shared" si="2"/>
        <v>-24.95</v>
      </c>
      <c r="Y14" s="2"/>
      <c r="Z14" s="21">
        <f t="shared" si="3"/>
        <v>-0.62531328320802004</v>
      </c>
    </row>
    <row r="15" spans="1:26" s="24" customFormat="1" hidden="1" outlineLevel="1" x14ac:dyDescent="0.25">
      <c r="A15" s="50"/>
      <c r="B15" s="11" t="str">
        <f>CONCATENATE("          ", "4025", " - ", "TAXABLE SALES-TEST FORMS")</f>
        <v xml:space="preserve">          4025 - TAXABLE SALES-TEST FORMS</v>
      </c>
      <c r="C15" s="11"/>
      <c r="D15" s="2">
        <f>--4066.24</f>
        <v>4066.24</v>
      </c>
      <c r="E15" s="2"/>
      <c r="F15" s="21"/>
      <c r="G15" s="2"/>
      <c r="H15" s="2">
        <f>--4253.28</f>
        <v>4253.28</v>
      </c>
      <c r="I15" s="2"/>
      <c r="J15" s="21"/>
      <c r="K15" s="2"/>
      <c r="L15" s="2">
        <f t="shared" si="0"/>
        <v>-187.03999999999996</v>
      </c>
      <c r="M15" s="2"/>
      <c r="N15" s="21">
        <f t="shared" si="1"/>
        <v>-4.3975473046683963E-2</v>
      </c>
      <c r="O15" s="11"/>
      <c r="P15" s="2">
        <f>--4458.53</f>
        <v>4458.53</v>
      </c>
      <c r="Q15" s="2"/>
      <c r="R15" s="21"/>
      <c r="S15" s="2"/>
      <c r="T15" s="2">
        <f>--4873.16</f>
        <v>4873.16</v>
      </c>
      <c r="U15" s="2"/>
      <c r="V15" s="21"/>
      <c r="W15" s="2"/>
      <c r="X15" s="2">
        <f t="shared" si="2"/>
        <v>-414.63000000000011</v>
      </c>
      <c r="Y15" s="2"/>
      <c r="Z15" s="21">
        <f t="shared" si="3"/>
        <v>-8.5084421607334898E-2</v>
      </c>
    </row>
    <row r="16" spans="1:26" s="24" customFormat="1" hidden="1" outlineLevel="1" x14ac:dyDescent="0.25">
      <c r="A16" s="50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--10815.03</f>
        <v>10815.03</v>
      </c>
      <c r="E16" s="2"/>
      <c r="F16" s="21"/>
      <c r="G16" s="2"/>
      <c r="H16" s="2">
        <f>--10509.51</f>
        <v>10509.51</v>
      </c>
      <c r="I16" s="2"/>
      <c r="J16" s="21"/>
      <c r="K16" s="2"/>
      <c r="L16" s="2">
        <f t="shared" si="0"/>
        <v>305.52000000000044</v>
      </c>
      <c r="M16" s="2"/>
      <c r="N16" s="21">
        <f t="shared" si="1"/>
        <v>2.9070813006505578E-2</v>
      </c>
      <c r="O16" s="11"/>
      <c r="P16" s="2">
        <f>--12711.98</f>
        <v>12711.98</v>
      </c>
      <c r="Q16" s="2"/>
      <c r="R16" s="21"/>
      <c r="S16" s="2"/>
      <c r="T16" s="2">
        <f>--12552.2</f>
        <v>12552.2</v>
      </c>
      <c r="U16" s="2"/>
      <c r="V16" s="21"/>
      <c r="W16" s="2"/>
      <c r="X16" s="2">
        <f t="shared" si="2"/>
        <v>159.77999999999884</v>
      </c>
      <c r="Y16" s="2"/>
      <c r="Z16" s="21">
        <f t="shared" si="3"/>
        <v>1.2729242682557545E-2</v>
      </c>
    </row>
    <row r="17" spans="1:26" s="24" customFormat="1" hidden="1" outlineLevel="1" x14ac:dyDescent="0.25">
      <c r="A17" s="50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--65908.82</f>
        <v>65908.820000000007</v>
      </c>
      <c r="E17" s="2"/>
      <c r="F17" s="21"/>
      <c r="G17" s="2"/>
      <c r="H17" s="2">
        <f>--61113.06</f>
        <v>61113.06</v>
      </c>
      <c r="I17" s="2"/>
      <c r="J17" s="21"/>
      <c r="K17" s="2"/>
      <c r="L17" s="2">
        <f t="shared" si="0"/>
        <v>4795.7600000000093</v>
      </c>
      <c r="M17" s="2"/>
      <c r="N17" s="21">
        <f t="shared" si="1"/>
        <v>7.84735701337817E-2</v>
      </c>
      <c r="O17" s="11"/>
      <c r="P17" s="2">
        <f>--79058.82</f>
        <v>79058.820000000007</v>
      </c>
      <c r="Q17" s="2"/>
      <c r="R17" s="21"/>
      <c r="S17" s="2"/>
      <c r="T17" s="2">
        <f>--73019.19</f>
        <v>73019.19</v>
      </c>
      <c r="U17" s="2"/>
      <c r="V17" s="21"/>
      <c r="W17" s="2"/>
      <c r="X17" s="2">
        <f t="shared" si="2"/>
        <v>6039.6300000000047</v>
      </c>
      <c r="Y17" s="2"/>
      <c r="Z17" s="21">
        <f t="shared" si="3"/>
        <v>8.2712914235285331E-2</v>
      </c>
    </row>
    <row r="18" spans="1:26" s="24" customFormat="1" hidden="1" outlineLevel="1" x14ac:dyDescent="0.25">
      <c r="A18" s="50"/>
      <c r="B18" s="11" t="str">
        <f>CONCATENATE("          ", "4028", " - ", "TAXABLE SALES-ART/TECH")</f>
        <v xml:space="preserve">          4028 - TAXABLE SALES-ART/TECH</v>
      </c>
      <c r="C18" s="11"/>
      <c r="D18" s="2">
        <f>--46631.39</f>
        <v>46631.39</v>
      </c>
      <c r="E18" s="2"/>
      <c r="F18" s="21"/>
      <c r="G18" s="2"/>
      <c r="H18" s="2">
        <f>--45686.16</f>
        <v>45686.16</v>
      </c>
      <c r="I18" s="2"/>
      <c r="J18" s="21"/>
      <c r="K18" s="2"/>
      <c r="L18" s="2">
        <f t="shared" si="0"/>
        <v>945.22999999999593</v>
      </c>
      <c r="M18" s="2"/>
      <c r="N18" s="21">
        <f t="shared" si="1"/>
        <v>2.0689635548270982E-2</v>
      </c>
      <c r="O18" s="11"/>
      <c r="P18" s="2">
        <f>--48915.55</f>
        <v>48915.55</v>
      </c>
      <c r="Q18" s="2"/>
      <c r="R18" s="21"/>
      <c r="S18" s="2"/>
      <c r="T18" s="2">
        <f>--47699.65</f>
        <v>47699.65</v>
      </c>
      <c r="U18" s="2"/>
      <c r="V18" s="21"/>
      <c r="W18" s="2"/>
      <c r="X18" s="2">
        <f t="shared" si="2"/>
        <v>1215.9000000000015</v>
      </c>
      <c r="Y18" s="2"/>
      <c r="Z18" s="21">
        <f t="shared" si="3"/>
        <v>2.5490753076804578E-2</v>
      </c>
    </row>
    <row r="19" spans="1:26" s="24" customFormat="1" hidden="1" outlineLevel="1" x14ac:dyDescent="0.25">
      <c r="A19" s="50"/>
      <c r="B19" s="11" t="str">
        <f>CONCATENATE("          ", "4031", " - ", "TAXABLE SALES-FOOD")</f>
        <v xml:space="preserve">          4031 - TAXABLE SALES-FOOD</v>
      </c>
      <c r="C19" s="11"/>
      <c r="D19" s="2">
        <f>--30.82</f>
        <v>30.82</v>
      </c>
      <c r="E19" s="2"/>
      <c r="F19" s="21"/>
      <c r="G19" s="2"/>
      <c r="H19" s="2">
        <f>--43.71</f>
        <v>43.71</v>
      </c>
      <c r="I19" s="2"/>
      <c r="J19" s="21"/>
      <c r="K19" s="2"/>
      <c r="L19" s="2">
        <f t="shared" si="0"/>
        <v>-12.89</v>
      </c>
      <c r="M19" s="2"/>
      <c r="N19" s="21">
        <f t="shared" si="1"/>
        <v>-0.29489819263326472</v>
      </c>
      <c r="O19" s="11"/>
      <c r="P19" s="2">
        <f>--32.34</f>
        <v>32.340000000000003</v>
      </c>
      <c r="Q19" s="2"/>
      <c r="R19" s="21"/>
      <c r="S19" s="2"/>
      <c r="T19" s="2">
        <f>--44.94</f>
        <v>44.94</v>
      </c>
      <c r="U19" s="2"/>
      <c r="V19" s="21"/>
      <c r="W19" s="2"/>
      <c r="X19" s="2">
        <f t="shared" si="2"/>
        <v>-12.599999999999994</v>
      </c>
      <c r="Y19" s="2"/>
      <c r="Z19" s="21">
        <f t="shared" si="3"/>
        <v>-0.2803738317757008</v>
      </c>
    </row>
    <row r="20" spans="1:26" s="24" customFormat="1" hidden="1" outlineLevel="1" x14ac:dyDescent="0.25">
      <c r="A20" s="50"/>
      <c r="B20" s="11" t="str">
        <f>CONCATENATE("          ", "4032", " - ", "TAXABLE SALES-JUICE")</f>
        <v xml:space="preserve">          4032 - TAXABLE SALES-JUICE</v>
      </c>
      <c r="C20" s="11"/>
      <c r="D20" s="2">
        <f>--2.34</f>
        <v>2.34</v>
      </c>
      <c r="E20" s="2"/>
      <c r="F20" s="21"/>
      <c r="G20" s="2"/>
      <c r="H20" s="2">
        <f>--2.15</f>
        <v>2.15</v>
      </c>
      <c r="I20" s="2"/>
      <c r="J20" s="21"/>
      <c r="K20" s="2"/>
      <c r="L20" s="2">
        <f t="shared" si="0"/>
        <v>0.18999999999999995</v>
      </c>
      <c r="M20" s="2"/>
      <c r="N20" s="21">
        <f t="shared" si="1"/>
        <v>8.8372093023255799E-2</v>
      </c>
      <c r="O20" s="11"/>
      <c r="P20" s="2">
        <f>--3.81</f>
        <v>3.81</v>
      </c>
      <c r="Q20" s="2"/>
      <c r="R20" s="21"/>
      <c r="S20" s="2"/>
      <c r="T20" s="2">
        <f>--2.37</f>
        <v>2.37</v>
      </c>
      <c r="U20" s="2"/>
      <c r="V20" s="21"/>
      <c r="W20" s="2"/>
      <c r="X20" s="2">
        <f t="shared" si="2"/>
        <v>1.44</v>
      </c>
      <c r="Y20" s="2"/>
      <c r="Z20" s="21">
        <f t="shared" si="3"/>
        <v>0.60759493670886067</v>
      </c>
    </row>
    <row r="21" spans="1:26" s="24" customFormat="1" hidden="1" outlineLevel="1" x14ac:dyDescent="0.25">
      <c r="A21" s="50"/>
      <c r="B21" s="11" t="str">
        <f>CONCATENATE("          ", "4033", " - ", "TAXABLE SALES-CANDY")</f>
        <v xml:space="preserve">          4033 - TAXABLE SALES-CANDY</v>
      </c>
      <c r="C21" s="11"/>
      <c r="D21" s="2">
        <f>--9.83</f>
        <v>9.83</v>
      </c>
      <c r="E21" s="2"/>
      <c r="F21" s="21"/>
      <c r="G21" s="2"/>
      <c r="H21" s="2">
        <f>--2.36</f>
        <v>2.36</v>
      </c>
      <c r="I21" s="2"/>
      <c r="J21" s="21"/>
      <c r="K21" s="2"/>
      <c r="L21" s="2">
        <f t="shared" si="0"/>
        <v>7.4700000000000006</v>
      </c>
      <c r="M21" s="2"/>
      <c r="N21" s="21">
        <f t="shared" si="1"/>
        <v>3.1652542372881358</v>
      </c>
      <c r="O21" s="11"/>
      <c r="P21" s="2">
        <f>--13</f>
        <v>13</v>
      </c>
      <c r="Q21" s="2"/>
      <c r="R21" s="21"/>
      <c r="S21" s="2"/>
      <c r="T21" s="2">
        <f>--3.04</f>
        <v>3.04</v>
      </c>
      <c r="U21" s="2"/>
      <c r="V21" s="21"/>
      <c r="W21" s="2"/>
      <c r="X21" s="2">
        <f t="shared" si="2"/>
        <v>9.9600000000000009</v>
      </c>
      <c r="Y21" s="2"/>
      <c r="Z21" s="21">
        <f t="shared" si="3"/>
        <v>3.2763157894736845</v>
      </c>
    </row>
    <row r="22" spans="1:26" s="24" customFormat="1" hidden="1" outlineLevel="1" x14ac:dyDescent="0.25">
      <c r="A22" s="50"/>
      <c r="B22" s="11" t="str">
        <f>CONCATENATE("          ", "4034", " - ", "TAXABLE SALES-SODA")</f>
        <v xml:space="preserve">          4034 - TAXABLE SALES-SODA</v>
      </c>
      <c r="C22" s="11"/>
      <c r="D22" s="2">
        <f>--280.8</f>
        <v>280.8</v>
      </c>
      <c r="E22" s="2"/>
      <c r="F22" s="21"/>
      <c r="G22" s="2"/>
      <c r="H22" s="2">
        <f>--334.42</f>
        <v>334.42</v>
      </c>
      <c r="I22" s="2"/>
      <c r="J22" s="21"/>
      <c r="K22" s="2"/>
      <c r="L22" s="2">
        <f t="shared" si="0"/>
        <v>-53.620000000000005</v>
      </c>
      <c r="M22" s="2"/>
      <c r="N22" s="21">
        <f t="shared" si="1"/>
        <v>-0.16033730040069374</v>
      </c>
      <c r="O22" s="11"/>
      <c r="P22" s="2">
        <f>--315.54</f>
        <v>315.54000000000002</v>
      </c>
      <c r="Q22" s="2"/>
      <c r="R22" s="21"/>
      <c r="S22" s="2"/>
      <c r="T22" s="2">
        <f>--365.68</f>
        <v>365.68</v>
      </c>
      <c r="U22" s="2"/>
      <c r="V22" s="21"/>
      <c r="W22" s="2"/>
      <c r="X22" s="2">
        <f t="shared" si="2"/>
        <v>-50.139999999999986</v>
      </c>
      <c r="Y22" s="2"/>
      <c r="Z22" s="21">
        <f t="shared" si="3"/>
        <v>-0.13711441697659152</v>
      </c>
    </row>
    <row r="23" spans="1:26" s="24" customFormat="1" hidden="1" outlineLevel="1" x14ac:dyDescent="0.25">
      <c r="A23" s="50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--92.48</f>
        <v>92.48</v>
      </c>
      <c r="E23" s="2"/>
      <c r="F23" s="21"/>
      <c r="G23" s="2"/>
      <c r="H23" s="2">
        <f>--97.58</f>
        <v>97.58</v>
      </c>
      <c r="I23" s="2"/>
      <c r="J23" s="21"/>
      <c r="K23" s="2"/>
      <c r="L23" s="2">
        <f t="shared" si="0"/>
        <v>-5.0999999999999943</v>
      </c>
      <c r="M23" s="2"/>
      <c r="N23" s="21">
        <f t="shared" si="1"/>
        <v>-5.2264808362369283E-2</v>
      </c>
      <c r="O23" s="11"/>
      <c r="P23" s="2">
        <f>--98.45</f>
        <v>98.45</v>
      </c>
      <c r="Q23" s="2"/>
      <c r="R23" s="21"/>
      <c r="S23" s="2"/>
      <c r="T23" s="2">
        <f>--145.63</f>
        <v>145.63</v>
      </c>
      <c r="U23" s="2"/>
      <c r="V23" s="21"/>
      <c r="W23" s="2"/>
      <c r="X23" s="2">
        <f t="shared" si="2"/>
        <v>-47.179999999999993</v>
      </c>
      <c r="Y23" s="2"/>
      <c r="Z23" s="21">
        <f t="shared" si="3"/>
        <v>-0.32397170912586687</v>
      </c>
    </row>
    <row r="24" spans="1:26" s="24" customFormat="1" hidden="1" outlineLevel="1" x14ac:dyDescent="0.25">
      <c r="A24" s="50"/>
      <c r="B24" s="11" t="str">
        <f>CONCATENATE("          ", "4037", " - ", "TAXABLE SALES-WATER")</f>
        <v xml:space="preserve">          4037 - TAXABLE SALES-WATER</v>
      </c>
      <c r="C24" s="11"/>
      <c r="D24" s="2">
        <f>--36.88</f>
        <v>36.880000000000003</v>
      </c>
      <c r="E24" s="2"/>
      <c r="F24" s="21"/>
      <c r="G24" s="2"/>
      <c r="H24" s="2">
        <f>--27.96</f>
        <v>27.96</v>
      </c>
      <c r="I24" s="2"/>
      <c r="J24" s="21"/>
      <c r="K24" s="2"/>
      <c r="L24" s="2">
        <f t="shared" si="0"/>
        <v>8.9200000000000017</v>
      </c>
      <c r="M24" s="2"/>
      <c r="N24" s="21">
        <f t="shared" si="1"/>
        <v>0.31902718168812594</v>
      </c>
      <c r="O24" s="11"/>
      <c r="P24" s="2">
        <f>--42.17</f>
        <v>42.17</v>
      </c>
      <c r="Q24" s="2"/>
      <c r="R24" s="21"/>
      <c r="S24" s="2"/>
      <c r="T24" s="2">
        <f>--33.27</f>
        <v>33.270000000000003</v>
      </c>
      <c r="U24" s="2"/>
      <c r="V24" s="21"/>
      <c r="W24" s="2"/>
      <c r="X24" s="2">
        <f t="shared" si="2"/>
        <v>8.8999999999999986</v>
      </c>
      <c r="Y24" s="2"/>
      <c r="Z24" s="21">
        <f t="shared" si="3"/>
        <v>0.26750826570483915</v>
      </c>
    </row>
    <row r="25" spans="1:26" s="24" customFormat="1" hidden="1" outlineLevel="1" x14ac:dyDescent="0.25">
      <c r="A25" s="50"/>
      <c r="B25" s="11" t="str">
        <f>CONCATENATE("          ", "4042", " - ", "TAXABLE SALES-EVERYDAY GIFTS")</f>
        <v xml:space="preserve">          4042 - TAXABLE SALES-EVERYDAY GIFTS</v>
      </c>
      <c r="C25" s="11"/>
      <c r="D25" s="2">
        <f>0</f>
        <v>0</v>
      </c>
      <c r="E25" s="2"/>
      <c r="F25" s="21"/>
      <c r="G25" s="2"/>
      <c r="H25" s="2">
        <f>--225.7</f>
        <v>225.7</v>
      </c>
      <c r="I25" s="2"/>
      <c r="J25" s="21"/>
      <c r="K25" s="2"/>
      <c r="L25" s="2">
        <f t="shared" si="0"/>
        <v>-225.7</v>
      </c>
      <c r="M25" s="2"/>
      <c r="N25" s="21">
        <f t="shared" si="1"/>
        <v>-1</v>
      </c>
      <c r="O25" s="11"/>
      <c r="P25" s="2">
        <f>0</f>
        <v>0</v>
      </c>
      <c r="Q25" s="2"/>
      <c r="R25" s="21"/>
      <c r="S25" s="2"/>
      <c r="T25" s="2">
        <f>--265.65</f>
        <v>265.64999999999998</v>
      </c>
      <c r="U25" s="2"/>
      <c r="V25" s="21"/>
      <c r="W25" s="2"/>
      <c r="X25" s="2">
        <f t="shared" si="2"/>
        <v>-265.64999999999998</v>
      </c>
      <c r="Y25" s="2"/>
      <c r="Z25" s="21">
        <f t="shared" si="3"/>
        <v>-1</v>
      </c>
    </row>
    <row r="26" spans="1:26" s="24" customFormat="1" hidden="1" outlineLevel="1" x14ac:dyDescent="0.25">
      <c r="A26" s="50"/>
      <c r="B26" s="11" t="str">
        <f>CONCATENATE("          ", "4081", " - ", "TAXABLE SALES-ELECTRONICS")</f>
        <v xml:space="preserve">          4081 - TAXABLE SALES-ELECTRONICS</v>
      </c>
      <c r="C26" s="11"/>
      <c r="D26" s="2">
        <f>--260.88</f>
        <v>260.88</v>
      </c>
      <c r="E26" s="2"/>
      <c r="F26" s="21"/>
      <c r="G26" s="2"/>
      <c r="H26" s="2">
        <f>--294.81</f>
        <v>294.81</v>
      </c>
      <c r="I26" s="2"/>
      <c r="J26" s="21"/>
      <c r="K26" s="2"/>
      <c r="L26" s="2">
        <f t="shared" si="0"/>
        <v>-33.930000000000007</v>
      </c>
      <c r="M26" s="2"/>
      <c r="N26" s="21">
        <f t="shared" si="1"/>
        <v>-0.11509107560801875</v>
      </c>
      <c r="O26" s="11"/>
      <c r="P26" s="2">
        <f>--268.86</f>
        <v>268.86</v>
      </c>
      <c r="Q26" s="2"/>
      <c r="R26" s="21"/>
      <c r="S26" s="2"/>
      <c r="T26" s="2">
        <f>--297.8</f>
        <v>297.8</v>
      </c>
      <c r="U26" s="2"/>
      <c r="V26" s="21"/>
      <c r="W26" s="2"/>
      <c r="X26" s="2">
        <f t="shared" si="2"/>
        <v>-28.939999999999998</v>
      </c>
      <c r="Y26" s="2"/>
      <c r="Z26" s="21">
        <f t="shared" si="3"/>
        <v>-9.7179314976494277E-2</v>
      </c>
    </row>
    <row r="27" spans="1:26" s="24" customFormat="1" hidden="1" outlineLevel="1" x14ac:dyDescent="0.25">
      <c r="A27" s="50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--19</f>
        <v>19</v>
      </c>
      <c r="E27" s="2"/>
      <c r="F27" s="21"/>
      <c r="G27" s="2"/>
      <c r="H27" s="2">
        <f>--29</f>
        <v>29</v>
      </c>
      <c r="I27" s="2"/>
      <c r="J27" s="21"/>
      <c r="K27" s="2"/>
      <c r="L27" s="2">
        <f t="shared" si="0"/>
        <v>-10</v>
      </c>
      <c r="M27" s="2"/>
      <c r="N27" s="21">
        <f t="shared" si="1"/>
        <v>-0.34482758620689657</v>
      </c>
      <c r="O27" s="11"/>
      <c r="P27" s="2">
        <f>--38</f>
        <v>38</v>
      </c>
      <c r="Q27" s="2"/>
      <c r="R27" s="21"/>
      <c r="S27" s="2"/>
      <c r="T27" s="2">
        <f>--29</f>
        <v>29</v>
      </c>
      <c r="U27" s="2"/>
      <c r="V27" s="21"/>
      <c r="W27" s="2"/>
      <c r="X27" s="2">
        <f t="shared" si="2"/>
        <v>9</v>
      </c>
      <c r="Y27" s="2"/>
      <c r="Z27" s="21">
        <f t="shared" si="3"/>
        <v>0.31034482758620691</v>
      </c>
    </row>
    <row r="28" spans="1:26" s="24" customFormat="1" hidden="1" outlineLevel="1" x14ac:dyDescent="0.25">
      <c r="A28" s="50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--29.98</f>
        <v>29.98</v>
      </c>
      <c r="E28" s="2"/>
      <c r="F28" s="21"/>
      <c r="G28" s="2"/>
      <c r="H28" s="2">
        <f>--114.9</f>
        <v>114.9</v>
      </c>
      <c r="I28" s="2"/>
      <c r="J28" s="21"/>
      <c r="K28" s="2"/>
      <c r="L28" s="2">
        <f t="shared" si="0"/>
        <v>-84.92</v>
      </c>
      <c r="M28" s="2"/>
      <c r="N28" s="21">
        <f t="shared" si="1"/>
        <v>-0.73907745865970409</v>
      </c>
      <c r="O28" s="11"/>
      <c r="P28" s="2">
        <f>--29.98</f>
        <v>29.98</v>
      </c>
      <c r="Q28" s="2"/>
      <c r="R28" s="21"/>
      <c r="S28" s="2"/>
      <c r="T28" s="2">
        <f>--134.88</f>
        <v>134.88</v>
      </c>
      <c r="U28" s="2"/>
      <c r="V28" s="21"/>
      <c r="W28" s="2"/>
      <c r="X28" s="2">
        <f t="shared" si="2"/>
        <v>-104.89999999999999</v>
      </c>
      <c r="Y28" s="2"/>
      <c r="Z28" s="21">
        <f t="shared" si="3"/>
        <v>-0.77772835112692762</v>
      </c>
    </row>
    <row r="29" spans="1:26" s="24" customFormat="1" hidden="1" outlineLevel="1" x14ac:dyDescent="0.25">
      <c r="A29" s="50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--93.96</f>
        <v>93.96</v>
      </c>
      <c r="E29" s="2"/>
      <c r="F29" s="21"/>
      <c r="G29" s="2"/>
      <c r="H29" s="2">
        <f>--144.93</f>
        <v>144.93</v>
      </c>
      <c r="I29" s="2"/>
      <c r="J29" s="21"/>
      <c r="K29" s="2"/>
      <c r="L29" s="2">
        <f t="shared" si="0"/>
        <v>-50.970000000000013</v>
      </c>
      <c r="M29" s="2"/>
      <c r="N29" s="21">
        <f t="shared" si="1"/>
        <v>-0.35168702132063762</v>
      </c>
      <c r="O29" s="11"/>
      <c r="P29" s="2">
        <f>--108.95</f>
        <v>108.95</v>
      </c>
      <c r="Q29" s="2"/>
      <c r="R29" s="21"/>
      <c r="S29" s="2"/>
      <c r="T29" s="2">
        <f>--169.91</f>
        <v>169.91</v>
      </c>
      <c r="U29" s="2"/>
      <c r="V29" s="21"/>
      <c r="W29" s="2"/>
      <c r="X29" s="2">
        <f t="shared" si="2"/>
        <v>-60.959999999999994</v>
      </c>
      <c r="Y29" s="2"/>
      <c r="Z29" s="21">
        <f t="shared" si="3"/>
        <v>-0.3587781766817727</v>
      </c>
    </row>
    <row r="30" spans="1:26" s="24" customFormat="1" hidden="1" outlineLevel="1" x14ac:dyDescent="0.25">
      <c r="A30" s="50"/>
      <c r="B30" s="11" t="str">
        <f>CONCATENATE("          ", "4125", " - ", "NON-TAXABLE SALES-TEST FORMS")</f>
        <v xml:space="preserve">          4125 - NON-TAXABLE SALES-TEST FORMS</v>
      </c>
      <c r="C30" s="11"/>
      <c r="D30" s="2">
        <f>--77.17</f>
        <v>77.17</v>
      </c>
      <c r="E30" s="2"/>
      <c r="F30" s="21"/>
      <c r="G30" s="2"/>
      <c r="H30" s="2">
        <f>--102.67</f>
        <v>102.67</v>
      </c>
      <c r="I30" s="2"/>
      <c r="J30" s="21"/>
      <c r="K30" s="2"/>
      <c r="L30" s="2">
        <f t="shared" si="0"/>
        <v>-25.5</v>
      </c>
      <c r="M30" s="2"/>
      <c r="N30" s="21">
        <f t="shared" si="1"/>
        <v>-0.24836855946235512</v>
      </c>
      <c r="O30" s="11"/>
      <c r="P30" s="2">
        <f>--82.15</f>
        <v>82.15</v>
      </c>
      <c r="Q30" s="2"/>
      <c r="R30" s="21"/>
      <c r="S30" s="2"/>
      <c r="T30" s="2">
        <f>--108.79</f>
        <v>108.79</v>
      </c>
      <c r="U30" s="2"/>
      <c r="V30" s="21"/>
      <c r="W30" s="2"/>
      <c r="X30" s="2">
        <f t="shared" si="2"/>
        <v>-26.64</v>
      </c>
      <c r="Y30" s="2"/>
      <c r="Z30" s="21">
        <f t="shared" si="3"/>
        <v>-0.24487544811103962</v>
      </c>
    </row>
    <row r="31" spans="1:26" s="24" customFormat="1" hidden="1" outlineLevel="1" x14ac:dyDescent="0.25">
      <c r="A31" s="50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>--844.09</f>
        <v>844.09</v>
      </c>
      <c r="E31" s="2"/>
      <c r="F31" s="21"/>
      <c r="G31" s="2"/>
      <c r="H31" s="2">
        <f>--916.07</f>
        <v>916.07</v>
      </c>
      <c r="I31" s="2"/>
      <c r="J31" s="21"/>
      <c r="K31" s="2"/>
      <c r="L31" s="2">
        <f t="shared" si="0"/>
        <v>-71.980000000000018</v>
      </c>
      <c r="M31" s="2"/>
      <c r="N31" s="21">
        <f t="shared" si="1"/>
        <v>-7.8574781403167898E-2</v>
      </c>
      <c r="O31" s="11"/>
      <c r="P31" s="2">
        <f>--1011.12</f>
        <v>1011.12</v>
      </c>
      <c r="Q31" s="2"/>
      <c r="R31" s="21"/>
      <c r="S31" s="2"/>
      <c r="T31" s="2">
        <f>--1180.97</f>
        <v>1180.97</v>
      </c>
      <c r="U31" s="2"/>
      <c r="V31" s="21"/>
      <c r="W31" s="2"/>
      <c r="X31" s="2">
        <f t="shared" si="2"/>
        <v>-169.85000000000002</v>
      </c>
      <c r="Y31" s="2"/>
      <c r="Z31" s="21">
        <f t="shared" si="3"/>
        <v>-0.14382245103601279</v>
      </c>
    </row>
    <row r="32" spans="1:26" s="24" customFormat="1" hidden="1" outlineLevel="1" x14ac:dyDescent="0.25">
      <c r="A32" s="50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>--1692.39</f>
        <v>1692.39</v>
      </c>
      <c r="E32" s="2"/>
      <c r="F32" s="21"/>
      <c r="G32" s="2"/>
      <c r="H32" s="2">
        <f>--1764.56</f>
        <v>1764.56</v>
      </c>
      <c r="I32" s="2"/>
      <c r="J32" s="21"/>
      <c r="K32" s="2"/>
      <c r="L32" s="2">
        <f t="shared" si="0"/>
        <v>-72.169999999999845</v>
      </c>
      <c r="M32" s="2"/>
      <c r="N32" s="21">
        <f t="shared" si="1"/>
        <v>-4.0899714376388362E-2</v>
      </c>
      <c r="O32" s="11"/>
      <c r="P32" s="2">
        <f>--1870.28</f>
        <v>1870.28</v>
      </c>
      <c r="Q32" s="2"/>
      <c r="R32" s="21"/>
      <c r="S32" s="2"/>
      <c r="T32" s="2">
        <f>--1899.72</f>
        <v>1899.72</v>
      </c>
      <c r="U32" s="2"/>
      <c r="V32" s="21"/>
      <c r="W32" s="2"/>
      <c r="X32" s="2">
        <f t="shared" si="2"/>
        <v>-29.440000000000055</v>
      </c>
      <c r="Y32" s="2"/>
      <c r="Z32" s="21">
        <f t="shared" si="3"/>
        <v>-1.5497020613564132E-2</v>
      </c>
    </row>
    <row r="33" spans="1:26" s="24" customFormat="1" hidden="1" outlineLevel="1" x14ac:dyDescent="0.25">
      <c r="A33" s="50"/>
      <c r="B33" s="11" t="str">
        <f>CONCATENATE("          ", "4128", " - ", "NON-TAXABLE SALES-ART/TECH")</f>
        <v xml:space="preserve">          4128 - NON-TAXABLE SALES-ART/TECH</v>
      </c>
      <c r="C33" s="11"/>
      <c r="D33" s="2">
        <f>--128.61</f>
        <v>128.61000000000001</v>
      </c>
      <c r="E33" s="2"/>
      <c r="F33" s="21"/>
      <c r="G33" s="2"/>
      <c r="H33" s="2">
        <f>--373.3</f>
        <v>373.3</v>
      </c>
      <c r="I33" s="2"/>
      <c r="J33" s="21"/>
      <c r="K33" s="2"/>
      <c r="L33" s="2">
        <f t="shared" si="0"/>
        <v>-244.69</v>
      </c>
      <c r="M33" s="2"/>
      <c r="N33" s="21">
        <f t="shared" si="1"/>
        <v>-0.65547816769354406</v>
      </c>
      <c r="O33" s="11"/>
      <c r="P33" s="2">
        <f>--130.1</f>
        <v>130.1</v>
      </c>
      <c r="Q33" s="2"/>
      <c r="R33" s="21"/>
      <c r="S33" s="2"/>
      <c r="T33" s="2">
        <f>--403.99</f>
        <v>403.99</v>
      </c>
      <c r="U33" s="2"/>
      <c r="V33" s="21"/>
      <c r="W33" s="2"/>
      <c r="X33" s="2">
        <f t="shared" si="2"/>
        <v>-273.89</v>
      </c>
      <c r="Y33" s="2"/>
      <c r="Z33" s="21">
        <f t="shared" si="3"/>
        <v>-0.67796232580014348</v>
      </c>
    </row>
    <row r="34" spans="1:26" s="24" customFormat="1" hidden="1" outlineLevel="1" x14ac:dyDescent="0.25">
      <c r="A34" s="50"/>
      <c r="B34" s="11" t="str">
        <f>CONCATENATE("          ", "4131", " - ", "NON-TAXABLE SALES-FOOD")</f>
        <v xml:space="preserve">          4131 - NON-TAXABLE SALES-FOOD</v>
      </c>
      <c r="C34" s="11"/>
      <c r="D34" s="2">
        <f>--2447.58</f>
        <v>2447.58</v>
      </c>
      <c r="E34" s="2"/>
      <c r="F34" s="21"/>
      <c r="G34" s="2"/>
      <c r="H34" s="2">
        <f>--2624.89</f>
        <v>2624.89</v>
      </c>
      <c r="I34" s="2"/>
      <c r="J34" s="21"/>
      <c r="K34" s="2"/>
      <c r="L34" s="2">
        <f t="shared" si="0"/>
        <v>-177.30999999999995</v>
      </c>
      <c r="M34" s="2"/>
      <c r="N34" s="21">
        <f t="shared" si="1"/>
        <v>-6.7549497312268308E-2</v>
      </c>
      <c r="O34" s="11"/>
      <c r="P34" s="2">
        <f>--2717.2</f>
        <v>2717.2</v>
      </c>
      <c r="Q34" s="2"/>
      <c r="R34" s="21"/>
      <c r="S34" s="2"/>
      <c r="T34" s="2">
        <f>--2954.45</f>
        <v>2954.45</v>
      </c>
      <c r="U34" s="2"/>
      <c r="V34" s="21"/>
      <c r="W34" s="2"/>
      <c r="X34" s="2">
        <f t="shared" si="2"/>
        <v>-237.25</v>
      </c>
      <c r="Y34" s="2"/>
      <c r="Z34" s="21">
        <f t="shared" si="3"/>
        <v>-8.030259439151112E-2</v>
      </c>
    </row>
    <row r="35" spans="1:26" s="24" customFormat="1" hidden="1" outlineLevel="1" x14ac:dyDescent="0.25">
      <c r="A35" s="50"/>
      <c r="B35" s="11" t="str">
        <f>CONCATENATE("          ", "4132", " - ", "NON-TAXABLE SALES-JUICE")</f>
        <v xml:space="preserve">          4132 - NON-TAXABLE SALES-JUICE</v>
      </c>
      <c r="C35" s="11"/>
      <c r="D35" s="2">
        <f>--713.6</f>
        <v>713.6</v>
      </c>
      <c r="E35" s="2"/>
      <c r="F35" s="21"/>
      <c r="G35" s="2"/>
      <c r="H35" s="2">
        <f>--623.58</f>
        <v>623.58000000000004</v>
      </c>
      <c r="I35" s="2"/>
      <c r="J35" s="21"/>
      <c r="K35" s="2"/>
      <c r="L35" s="2">
        <f t="shared" si="0"/>
        <v>90.019999999999982</v>
      </c>
      <c r="M35" s="2"/>
      <c r="N35" s="21">
        <f t="shared" si="1"/>
        <v>0.14435998588793736</v>
      </c>
      <c r="O35" s="11"/>
      <c r="P35" s="2">
        <f>--758.91</f>
        <v>758.91</v>
      </c>
      <c r="Q35" s="2"/>
      <c r="R35" s="21"/>
      <c r="S35" s="2"/>
      <c r="T35" s="2">
        <f>--694.49</f>
        <v>694.49</v>
      </c>
      <c r="U35" s="2"/>
      <c r="V35" s="21"/>
      <c r="W35" s="2"/>
      <c r="X35" s="2">
        <f t="shared" si="2"/>
        <v>64.419999999999959</v>
      </c>
      <c r="Y35" s="2"/>
      <c r="Z35" s="21">
        <f t="shared" si="3"/>
        <v>9.2758715028294081E-2</v>
      </c>
    </row>
    <row r="36" spans="1:26" s="24" customFormat="1" hidden="1" outlineLevel="1" x14ac:dyDescent="0.25">
      <c r="A36" s="50"/>
      <c r="B36" s="11" t="str">
        <f>CONCATENATE("          ", "4133", " - ", "NON-TAXABLE SALES-CANDY")</f>
        <v xml:space="preserve">          4133 - NON-TAXABLE SALES-CANDY</v>
      </c>
      <c r="C36" s="11"/>
      <c r="D36" s="2">
        <f>--900.13</f>
        <v>900.13</v>
      </c>
      <c r="E36" s="2"/>
      <c r="F36" s="21"/>
      <c r="G36" s="2"/>
      <c r="H36" s="2">
        <f>--824.26</f>
        <v>824.26</v>
      </c>
      <c r="I36" s="2"/>
      <c r="J36" s="21"/>
      <c r="K36" s="2"/>
      <c r="L36" s="2">
        <f t="shared" si="0"/>
        <v>75.87</v>
      </c>
      <c r="M36" s="2"/>
      <c r="N36" s="21">
        <f t="shared" si="1"/>
        <v>9.2046199014873958E-2</v>
      </c>
      <c r="O36" s="11"/>
      <c r="P36" s="2">
        <f>--1372.35</f>
        <v>1372.35</v>
      </c>
      <c r="Q36" s="2"/>
      <c r="R36" s="21"/>
      <c r="S36" s="2"/>
      <c r="T36" s="2">
        <f>--1192.81</f>
        <v>1192.81</v>
      </c>
      <c r="U36" s="2"/>
      <c r="V36" s="21"/>
      <c r="W36" s="2"/>
      <c r="X36" s="2">
        <f t="shared" si="2"/>
        <v>179.53999999999996</v>
      </c>
      <c r="Y36" s="2"/>
      <c r="Z36" s="21">
        <f t="shared" si="3"/>
        <v>0.15051852348655692</v>
      </c>
    </row>
    <row r="37" spans="1:26" s="24" customFormat="1" hidden="1" outlineLevel="1" x14ac:dyDescent="0.25">
      <c r="A37" s="50"/>
      <c r="B37" s="11" t="str">
        <f>CONCATENATE("          ", "4134", " - ", "NON-TAXABLE SALES-SODA")</f>
        <v xml:space="preserve">          4134 - NON-TAXABLE SALES-SODA</v>
      </c>
      <c r="C37" s="11"/>
      <c r="D37" s="2">
        <f>0</f>
        <v>0</v>
      </c>
      <c r="E37" s="2"/>
      <c r="F37" s="21"/>
      <c r="G37" s="2"/>
      <c r="H37" s="2">
        <f>--48.48</f>
        <v>48.48</v>
      </c>
      <c r="I37" s="2"/>
      <c r="J37" s="21"/>
      <c r="K37" s="2"/>
      <c r="L37" s="2">
        <f t="shared" si="0"/>
        <v>-48.48</v>
      </c>
      <c r="M37" s="2"/>
      <c r="N37" s="21">
        <f t="shared" si="1"/>
        <v>-1</v>
      </c>
      <c r="O37" s="11"/>
      <c r="P37" s="2">
        <f>0</f>
        <v>0</v>
      </c>
      <c r="Q37" s="2"/>
      <c r="R37" s="21"/>
      <c r="S37" s="2"/>
      <c r="T37" s="2">
        <f>--53.73</f>
        <v>53.73</v>
      </c>
      <c r="U37" s="2"/>
      <c r="V37" s="21"/>
      <c r="W37" s="2"/>
      <c r="X37" s="2">
        <f t="shared" si="2"/>
        <v>-53.73</v>
      </c>
      <c r="Y37" s="2"/>
      <c r="Z37" s="21">
        <f t="shared" si="3"/>
        <v>-1</v>
      </c>
    </row>
    <row r="38" spans="1:26" s="24" customFormat="1" hidden="1" outlineLevel="1" x14ac:dyDescent="0.25">
      <c r="A38" s="50"/>
      <c r="B38" s="11" t="str">
        <f>CONCATENATE("          ", "4135", " - ", "NON-TAXABLE SALES")</f>
        <v xml:space="preserve">          4135 - NON-TAXABLE SALES</v>
      </c>
      <c r="C38" s="11"/>
      <c r="D38" s="2">
        <f>--32.21</f>
        <v>32.21</v>
      </c>
      <c r="E38" s="2"/>
      <c r="F38" s="21"/>
      <c r="G38" s="2"/>
      <c r="H38" s="2">
        <f>--9.41</f>
        <v>9.41</v>
      </c>
      <c r="I38" s="2"/>
      <c r="J38" s="21"/>
      <c r="K38" s="2"/>
      <c r="L38" s="2">
        <f t="shared" si="0"/>
        <v>22.8</v>
      </c>
      <c r="M38" s="2"/>
      <c r="N38" s="21">
        <f t="shared" si="1"/>
        <v>2.4229543039319874</v>
      </c>
      <c r="O38" s="11"/>
      <c r="P38" s="2">
        <f>--53.75</f>
        <v>53.75</v>
      </c>
      <c r="Q38" s="2"/>
      <c r="R38" s="21"/>
      <c r="S38" s="2"/>
      <c r="T38" s="2">
        <f>--16.59</f>
        <v>16.59</v>
      </c>
      <c r="U38" s="2"/>
      <c r="V38" s="21"/>
      <c r="W38" s="2"/>
      <c r="X38" s="2">
        <f t="shared" si="2"/>
        <v>37.159999999999997</v>
      </c>
      <c r="Y38" s="2"/>
      <c r="Z38" s="21">
        <f t="shared" si="3"/>
        <v>2.2399035563592524</v>
      </c>
    </row>
    <row r="39" spans="1:26" s="24" customFormat="1" hidden="1" outlineLevel="1" x14ac:dyDescent="0.25">
      <c r="A39" s="50"/>
      <c r="B39" s="11" t="str">
        <f>CONCATENATE("          ", "4137", " - ", "NON-TAXABLE SALES-WATER")</f>
        <v xml:space="preserve">          4137 - NON-TAXABLE SALES-WATER</v>
      </c>
      <c r="C39" s="11"/>
      <c r="D39" s="2">
        <f>--522.2</f>
        <v>522.20000000000005</v>
      </c>
      <c r="E39" s="2"/>
      <c r="F39" s="21"/>
      <c r="G39" s="2"/>
      <c r="H39" s="2">
        <f>--392.09</f>
        <v>392.09</v>
      </c>
      <c r="I39" s="2"/>
      <c r="J39" s="21"/>
      <c r="K39" s="2"/>
      <c r="L39" s="2">
        <f t="shared" si="0"/>
        <v>130.11000000000007</v>
      </c>
      <c r="M39" s="2"/>
      <c r="N39" s="21">
        <f t="shared" si="1"/>
        <v>0.331837078221837</v>
      </c>
      <c r="O39" s="11"/>
      <c r="P39" s="2">
        <f>--552.72</f>
        <v>552.72</v>
      </c>
      <c r="Q39" s="2"/>
      <c r="R39" s="21"/>
      <c r="S39" s="2"/>
      <c r="T39" s="2">
        <f>--427.97</f>
        <v>427.97</v>
      </c>
      <c r="U39" s="2"/>
      <c r="V39" s="21"/>
      <c r="W39" s="2"/>
      <c r="X39" s="2">
        <f t="shared" si="2"/>
        <v>124.75</v>
      </c>
      <c r="Y39" s="2"/>
      <c r="Z39" s="21">
        <f t="shared" si="3"/>
        <v>0.29149239432670515</v>
      </c>
    </row>
    <row r="40" spans="1:26" s="24" customFormat="1" hidden="1" outlineLevel="1" x14ac:dyDescent="0.25">
      <c r="A40" s="50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 t="shared" ref="D40:D41" si="4">0</f>
        <v>0</v>
      </c>
      <c r="E40" s="2"/>
      <c r="F40" s="21"/>
      <c r="G40" s="2"/>
      <c r="H40" s="2">
        <f>0</f>
        <v>0</v>
      </c>
      <c r="I40" s="2"/>
      <c r="J40" s="21"/>
      <c r="K40" s="2"/>
      <c r="L40" s="2">
        <f t="shared" si="0"/>
        <v>0</v>
      </c>
      <c r="M40" s="2"/>
      <c r="N40" s="21">
        <f t="shared" si="1"/>
        <v>0</v>
      </c>
      <c r="O40" s="11"/>
      <c r="P40" s="2">
        <f t="shared" ref="P40:P41" si="5">0</f>
        <v>0</v>
      </c>
      <c r="Q40" s="2"/>
      <c r="R40" s="21"/>
      <c r="S40" s="2"/>
      <c r="T40" s="2">
        <f>-14.99</f>
        <v>-14.99</v>
      </c>
      <c r="U40" s="2"/>
      <c r="V40" s="21"/>
      <c r="W40" s="2"/>
      <c r="X40" s="2">
        <f t="shared" si="2"/>
        <v>14.99</v>
      </c>
      <c r="Y40" s="2"/>
      <c r="Z40" s="21">
        <f t="shared" si="3"/>
        <v>-1</v>
      </c>
    </row>
    <row r="41" spans="1:26" s="24" customFormat="1" hidden="1" outlineLevel="1" x14ac:dyDescent="0.25">
      <c r="A41" s="50"/>
      <c r="B41" s="11" t="str">
        <f>CONCATENATE("          ", "4217", " - ", "NON-TAXABLE SALES-DORM/HOUSEWA")</f>
        <v xml:space="preserve">          4217 - NON-TAXABLE SALES-DORM/HOUSEWA</v>
      </c>
      <c r="C41" s="11"/>
      <c r="D41" s="2">
        <f t="shared" si="4"/>
        <v>0</v>
      </c>
      <c r="E41" s="2"/>
      <c r="F41" s="21"/>
      <c r="G41" s="2"/>
      <c r="H41" s="2">
        <f>-1.5</f>
        <v>-1.5</v>
      </c>
      <c r="I41" s="2"/>
      <c r="J41" s="21"/>
      <c r="K41" s="2"/>
      <c r="L41" s="2">
        <f t="shared" si="0"/>
        <v>1.5</v>
      </c>
      <c r="M41" s="2"/>
      <c r="N41" s="21">
        <f t="shared" si="1"/>
        <v>-1</v>
      </c>
      <c r="O41" s="11"/>
      <c r="P41" s="2">
        <f t="shared" si="5"/>
        <v>0</v>
      </c>
      <c r="Q41" s="2"/>
      <c r="R41" s="21"/>
      <c r="S41" s="2"/>
      <c r="T41" s="2">
        <f>-1.5</f>
        <v>-1.5</v>
      </c>
      <c r="U41" s="2"/>
      <c r="V41" s="21"/>
      <c r="W41" s="2"/>
      <c r="X41" s="2">
        <f t="shared" si="2"/>
        <v>1.5</v>
      </c>
      <c r="Y41" s="2"/>
      <c r="Z41" s="21">
        <f t="shared" si="3"/>
        <v>-1</v>
      </c>
    </row>
    <row r="42" spans="1:26" s="24" customFormat="1" hidden="1" outlineLevel="1" x14ac:dyDescent="0.25">
      <c r="A42" s="50"/>
      <c r="B42" s="11" t="str">
        <f>CONCATENATE("          ", "4225", " - ", "SALES RETURN TAXABLE-TEST FORM")</f>
        <v xml:space="preserve">          4225 - SALES RETURN TAXABLE-TEST FORM</v>
      </c>
      <c r="C42" s="11"/>
      <c r="D42" s="2">
        <f>-8.61</f>
        <v>-8.61</v>
      </c>
      <c r="E42" s="2"/>
      <c r="F42" s="21"/>
      <c r="G42" s="2"/>
      <c r="H42" s="2">
        <f>-7.02</f>
        <v>-7.02</v>
      </c>
      <c r="I42" s="2"/>
      <c r="J42" s="21"/>
      <c r="K42" s="2"/>
      <c r="L42" s="2">
        <f t="shared" si="0"/>
        <v>-1.5899999999999999</v>
      </c>
      <c r="M42" s="2"/>
      <c r="N42" s="21">
        <f t="shared" si="1"/>
        <v>0.2264957264957265</v>
      </c>
      <c r="O42" s="11"/>
      <c r="P42" s="2">
        <f>-12.69</f>
        <v>-12.69</v>
      </c>
      <c r="Q42" s="2"/>
      <c r="R42" s="21"/>
      <c r="S42" s="2"/>
      <c r="T42" s="2">
        <f>-13.8</f>
        <v>-13.8</v>
      </c>
      <c r="U42" s="2"/>
      <c r="V42" s="21"/>
      <c r="W42" s="2"/>
      <c r="X42" s="2">
        <f t="shared" si="2"/>
        <v>1.1100000000000012</v>
      </c>
      <c r="Y42" s="2"/>
      <c r="Z42" s="21">
        <f t="shared" si="3"/>
        <v>-8.0434782608695729E-2</v>
      </c>
    </row>
    <row r="43" spans="1:26" s="24" customFormat="1" hidden="1" outlineLevel="1" x14ac:dyDescent="0.25">
      <c r="A43" s="50"/>
      <c r="B43" s="11" t="str">
        <f>CONCATENATE("          ", "4226", " - ", "SALES RETURN TAXABLE-WRITING I")</f>
        <v xml:space="preserve">          4226 - SALES RETURN TAXABLE-WRITING I</v>
      </c>
      <c r="C43" s="11"/>
      <c r="D43" s="2">
        <f>-60.28</f>
        <v>-60.28</v>
      </c>
      <c r="E43" s="2"/>
      <c r="F43" s="21"/>
      <c r="G43" s="2"/>
      <c r="H43" s="2">
        <f>-58.07</f>
        <v>-58.07</v>
      </c>
      <c r="I43" s="2"/>
      <c r="J43" s="21"/>
      <c r="K43" s="2"/>
      <c r="L43" s="2">
        <f t="shared" si="0"/>
        <v>-2.2100000000000009</v>
      </c>
      <c r="M43" s="2"/>
      <c r="N43" s="21">
        <f t="shared" si="1"/>
        <v>3.8057516790080952E-2</v>
      </c>
      <c r="O43" s="11"/>
      <c r="P43" s="2">
        <f>-124.21</f>
        <v>-124.21</v>
      </c>
      <c r="Q43" s="2"/>
      <c r="R43" s="21"/>
      <c r="S43" s="2"/>
      <c r="T43" s="2">
        <f>-69.24</f>
        <v>-69.239999999999995</v>
      </c>
      <c r="U43" s="2"/>
      <c r="V43" s="21"/>
      <c r="W43" s="2"/>
      <c r="X43" s="2">
        <f t="shared" si="2"/>
        <v>-54.97</v>
      </c>
      <c r="Y43" s="2"/>
      <c r="Z43" s="21">
        <f t="shared" si="3"/>
        <v>0.79390525707683424</v>
      </c>
    </row>
    <row r="44" spans="1:26" s="24" customFormat="1" hidden="1" outlineLevel="1" x14ac:dyDescent="0.25">
      <c r="A44" s="50"/>
      <c r="B44" s="11" t="str">
        <f>CONCATENATE("          ", "4227", " - ", "SALES RETURN TAXABLE-SCHOOL SU")</f>
        <v xml:space="preserve">          4227 - SALES RETURN TAXABLE-SCHOOL SU</v>
      </c>
      <c r="C44" s="11"/>
      <c r="D44" s="2">
        <f>-1531.15</f>
        <v>-1531.15</v>
      </c>
      <c r="E44" s="2"/>
      <c r="F44" s="21"/>
      <c r="G44" s="2"/>
      <c r="H44" s="2">
        <f>-844.93</f>
        <v>-844.93</v>
      </c>
      <c r="I44" s="2"/>
      <c r="J44" s="21"/>
      <c r="K44" s="2"/>
      <c r="L44" s="2">
        <f t="shared" si="0"/>
        <v>-686.22000000000014</v>
      </c>
      <c r="M44" s="2"/>
      <c r="N44" s="21">
        <f t="shared" si="1"/>
        <v>0.81216195424473059</v>
      </c>
      <c r="O44" s="11"/>
      <c r="P44" s="2">
        <f>-1696.59</f>
        <v>-1696.59</v>
      </c>
      <c r="Q44" s="2"/>
      <c r="R44" s="21"/>
      <c r="S44" s="2"/>
      <c r="T44" s="2">
        <f>-966.9</f>
        <v>-966.9</v>
      </c>
      <c r="U44" s="2"/>
      <c r="V44" s="21"/>
      <c r="W44" s="2"/>
      <c r="X44" s="2">
        <f t="shared" si="2"/>
        <v>-729.68999999999994</v>
      </c>
      <c r="Y44" s="2"/>
      <c r="Z44" s="21">
        <f t="shared" si="3"/>
        <v>0.75466956251939188</v>
      </c>
    </row>
    <row r="45" spans="1:26" s="24" customFormat="1" hidden="1" outlineLevel="1" x14ac:dyDescent="0.25">
      <c r="A45" s="50"/>
      <c r="B45" s="11" t="str">
        <f>CONCATENATE("          ", "4228", " - ", "SALES RETURN TAXABLE-ART/TECH")</f>
        <v xml:space="preserve">          4228 - SALES RETURN TAXABLE-ART/TECH</v>
      </c>
      <c r="C45" s="11"/>
      <c r="D45" s="2">
        <f>-858.36</f>
        <v>-858.36</v>
      </c>
      <c r="E45" s="2"/>
      <c r="F45" s="21"/>
      <c r="G45" s="2"/>
      <c r="H45" s="2">
        <f>-916.05</f>
        <v>-916.05</v>
      </c>
      <c r="I45" s="2"/>
      <c r="J45" s="21"/>
      <c r="K45" s="2"/>
      <c r="L45" s="2">
        <f t="shared" si="0"/>
        <v>57.689999999999941</v>
      </c>
      <c r="M45" s="2"/>
      <c r="N45" s="21">
        <f t="shared" si="1"/>
        <v>-6.2976911740625446E-2</v>
      </c>
      <c r="O45" s="11"/>
      <c r="P45" s="2">
        <f>-868.73</f>
        <v>-868.73</v>
      </c>
      <c r="Q45" s="2"/>
      <c r="R45" s="21"/>
      <c r="S45" s="2"/>
      <c r="T45" s="2">
        <f>-1065.49</f>
        <v>-1065.49</v>
      </c>
      <c r="U45" s="2"/>
      <c r="V45" s="21"/>
      <c r="W45" s="2"/>
      <c r="X45" s="2">
        <f t="shared" si="2"/>
        <v>196.76</v>
      </c>
      <c r="Y45" s="2"/>
      <c r="Z45" s="21">
        <f t="shared" si="3"/>
        <v>-0.18466620991281005</v>
      </c>
    </row>
    <row r="46" spans="1:26" s="24" customFormat="1" hidden="1" outlineLevel="1" x14ac:dyDescent="0.25">
      <c r="A46" s="50"/>
      <c r="B46" s="11" t="str">
        <f>CONCATENATE("          ", "4326", " - ", "SALES RETURN NON TAXABLE-WRITI")</f>
        <v xml:space="preserve">          4326 - SALES RETURN NON TAXABLE-WRITI</v>
      </c>
      <c r="C46" s="11"/>
      <c r="D46" s="2">
        <f>0</f>
        <v>0</v>
      </c>
      <c r="E46" s="2"/>
      <c r="F46" s="21"/>
      <c r="G46" s="2"/>
      <c r="H46" s="2">
        <f>-3.29</f>
        <v>-3.29</v>
      </c>
      <c r="I46" s="2"/>
      <c r="J46" s="21"/>
      <c r="K46" s="2"/>
      <c r="L46" s="2">
        <f t="shared" si="0"/>
        <v>3.29</v>
      </c>
      <c r="M46" s="2"/>
      <c r="N46" s="21">
        <f t="shared" si="1"/>
        <v>-1</v>
      </c>
      <c r="O46" s="11"/>
      <c r="P46" s="2">
        <f>0</f>
        <v>0</v>
      </c>
      <c r="Q46" s="2"/>
      <c r="R46" s="21"/>
      <c r="S46" s="2"/>
      <c r="T46" s="2">
        <f>-5.58</f>
        <v>-5.58</v>
      </c>
      <c r="U46" s="2"/>
      <c r="V46" s="21"/>
      <c r="W46" s="2"/>
      <c r="X46" s="2">
        <f t="shared" si="2"/>
        <v>5.58</v>
      </c>
      <c r="Y46" s="2"/>
      <c r="Z46" s="21">
        <f t="shared" si="3"/>
        <v>-1</v>
      </c>
    </row>
    <row r="47" spans="1:26" s="24" customFormat="1" hidden="1" outlineLevel="1" x14ac:dyDescent="0.25">
      <c r="A47" s="50"/>
      <c r="B47" s="11" t="str">
        <f>CONCATENATE("          ", "4327", " - ", "SALES RETURN NON TAXABLE-SCHOO")</f>
        <v xml:space="preserve">          4327 - SALES RETURN NON TAXABLE-SCHOO</v>
      </c>
      <c r="C47" s="11"/>
      <c r="D47" s="2">
        <f>-13.58</f>
        <v>-13.58</v>
      </c>
      <c r="E47" s="2"/>
      <c r="F47" s="21"/>
      <c r="G47" s="2"/>
      <c r="H47" s="2">
        <f>0</f>
        <v>0</v>
      </c>
      <c r="I47" s="2"/>
      <c r="J47" s="21"/>
      <c r="K47" s="2"/>
      <c r="L47" s="2">
        <f t="shared" si="0"/>
        <v>-13.58</v>
      </c>
      <c r="M47" s="2"/>
      <c r="N47" s="21">
        <f t="shared" si="1"/>
        <v>0</v>
      </c>
      <c r="O47" s="11"/>
      <c r="P47" s="2">
        <f>-13.58</f>
        <v>-13.58</v>
      </c>
      <c r="Q47" s="2"/>
      <c r="R47" s="21"/>
      <c r="S47" s="2"/>
      <c r="T47" s="2">
        <f>0</f>
        <v>0</v>
      </c>
      <c r="U47" s="2"/>
      <c r="V47" s="21"/>
      <c r="W47" s="2"/>
      <c r="X47" s="2">
        <f t="shared" si="2"/>
        <v>-13.58</v>
      </c>
      <c r="Y47" s="2"/>
      <c r="Z47" s="21">
        <f t="shared" si="3"/>
        <v>0</v>
      </c>
    </row>
    <row r="48" spans="1:26" x14ac:dyDescent="0.25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collapsed="1" x14ac:dyDescent="0.25">
      <c r="A49" s="10"/>
      <c r="B49" s="25" t="s">
        <v>8</v>
      </c>
      <c r="C49" s="10"/>
      <c r="D49" s="4">
        <f>SUM(OSRRefD16x_0)</f>
        <v>62562.200000000004</v>
      </c>
      <c r="E49" s="4"/>
      <c r="F49" s="12">
        <f t="shared" ref="F49:F70" si="6">IF(D$12=0,0,D49/D$12)</f>
        <v>0.46922038279866746</v>
      </c>
      <c r="G49" s="4"/>
      <c r="H49" s="4">
        <f>SUM(OSRRefH16x_0)</f>
        <v>67498.94</v>
      </c>
      <c r="I49" s="4"/>
      <c r="J49" s="12">
        <f t="shared" ref="J49:J70" si="7">IF(H$12=0,0,H49/H$12)</f>
        <v>0.52298926452763028</v>
      </c>
      <c r="K49" s="4"/>
      <c r="L49" s="4">
        <f t="shared" ref="L49:L70" si="8">+D49-H49</f>
        <v>-4936.739999999998</v>
      </c>
      <c r="M49" s="4"/>
      <c r="N49" s="12">
        <f t="shared" ref="N49:N70" si="9">IF(H49=0,0,L49/H49)</f>
        <v>-7.3138037426958083E-2</v>
      </c>
      <c r="O49" s="10"/>
      <c r="P49" s="4">
        <f>SUM(OSRRefP16x_0)</f>
        <v>72075.780000000013</v>
      </c>
      <c r="Q49" s="4"/>
      <c r="R49" s="12">
        <f t="shared" ref="R49:R70" si="10">IF(P$12=0,0,P49/P$12)</f>
        <v>0.47386785926010605</v>
      </c>
      <c r="S49" s="4"/>
      <c r="T49" s="4">
        <f>SUM(OSRRefT16x_0)</f>
        <v>76708.02</v>
      </c>
      <c r="U49" s="4"/>
      <c r="V49" s="12">
        <f t="shared" ref="V49:V70" si="11">IF(T$12=0,0,T49/T$12)</f>
        <v>0.52156556933808806</v>
      </c>
      <c r="W49" s="4"/>
      <c r="X49" s="4">
        <f t="shared" ref="X49:X70" si="12">+P49-T49</f>
        <v>-4632.2399999999907</v>
      </c>
      <c r="Y49" s="4"/>
      <c r="Z49" s="12">
        <f t="shared" ref="Z49:Z70" si="13">IF(T49=0,0,X49/T49)</f>
        <v>-6.0387949004549857E-2</v>
      </c>
    </row>
    <row r="50" spans="1:26" s="24" customFormat="1" hidden="1" outlineLevel="1" x14ac:dyDescent="0.25">
      <c r="A50" s="50"/>
      <c r="B50" s="11" t="str">
        <f>CONCATENATE("          ", "5017", " - ", "PURCHASES @ COST-DORM/HOUSEWAR")</f>
        <v xml:space="preserve">          5017 - PURCHASES @ COST-DORM/HOUSEWAR</v>
      </c>
      <c r="C50" s="11"/>
      <c r="D50" s="2">
        <v>139.86000000000001</v>
      </c>
      <c r="E50" s="2"/>
      <c r="F50" s="21">
        <f t="shared" si="6"/>
        <v>1.0489586801330777E-3</v>
      </c>
      <c r="G50" s="2"/>
      <c r="H50" s="2">
        <v>959.6</v>
      </c>
      <c r="I50" s="2"/>
      <c r="J50" s="21">
        <f t="shared" si="7"/>
        <v>7.435087102711747E-3</v>
      </c>
      <c r="K50" s="2"/>
      <c r="L50" s="2">
        <f t="shared" si="8"/>
        <v>-819.74</v>
      </c>
      <c r="M50" s="2"/>
      <c r="N50" s="21">
        <f t="shared" si="9"/>
        <v>-0.85425177157148813</v>
      </c>
      <c r="O50" s="11"/>
      <c r="P50" s="2">
        <v>139.86000000000001</v>
      </c>
      <c r="Q50" s="2"/>
      <c r="R50" s="21">
        <f t="shared" si="10"/>
        <v>9.1952052126412546E-4</v>
      </c>
      <c r="S50" s="2"/>
      <c r="T50" s="2">
        <v>959.6</v>
      </c>
      <c r="U50" s="2"/>
      <c r="V50" s="21">
        <f t="shared" si="11"/>
        <v>6.5246674381222369E-3</v>
      </c>
      <c r="W50" s="2"/>
      <c r="X50" s="2">
        <f t="shared" si="12"/>
        <v>-819.74</v>
      </c>
      <c r="Y50" s="2"/>
      <c r="Z50" s="21">
        <f t="shared" si="13"/>
        <v>-0.85425177157148813</v>
      </c>
    </row>
    <row r="51" spans="1:26" s="24" customFormat="1" hidden="1" outlineLevel="1" x14ac:dyDescent="0.25">
      <c r="A51" s="50"/>
      <c r="B51" s="11" t="str">
        <f>CONCATENATE("          ", "5025", " - ", "PURCHASES @ COST-TEST FORMS")</f>
        <v xml:space="preserve">          5025 - PURCHASES @ COST-TEST FORMS</v>
      </c>
      <c r="C51" s="11"/>
      <c r="D51" s="2">
        <v>878.02</v>
      </c>
      <c r="E51" s="2"/>
      <c r="F51" s="21">
        <f t="shared" si="6"/>
        <v>6.5852044925671727E-3</v>
      </c>
      <c r="G51" s="2"/>
      <c r="H51" s="2"/>
      <c r="I51" s="2"/>
      <c r="J51" s="21">
        <f t="shared" si="7"/>
        <v>0</v>
      </c>
      <c r="K51" s="2"/>
      <c r="L51" s="2">
        <f t="shared" si="8"/>
        <v>878.02</v>
      </c>
      <c r="M51" s="2"/>
      <c r="N51" s="21">
        <f t="shared" si="9"/>
        <v>0</v>
      </c>
      <c r="O51" s="11"/>
      <c r="P51" s="2">
        <v>1757.14</v>
      </c>
      <c r="Q51" s="2"/>
      <c r="R51" s="21">
        <f t="shared" si="10"/>
        <v>1.1552454516902941E-2</v>
      </c>
      <c r="S51" s="2"/>
      <c r="T51" s="2">
        <v>1035</v>
      </c>
      <c r="U51" s="2"/>
      <c r="V51" s="21">
        <f t="shared" si="11"/>
        <v>7.0373393064365516E-3</v>
      </c>
      <c r="W51" s="2"/>
      <c r="X51" s="2">
        <f t="shared" si="12"/>
        <v>722.1400000000001</v>
      </c>
      <c r="Y51" s="2"/>
      <c r="Z51" s="21">
        <f t="shared" si="13"/>
        <v>0.69771980676328516</v>
      </c>
    </row>
    <row r="52" spans="1:26" s="24" customFormat="1" hidden="1" outlineLevel="1" x14ac:dyDescent="0.25">
      <c r="A52" s="50"/>
      <c r="B52" s="11" t="str">
        <f>CONCATENATE("          ", "5026", " - ", "PURCHASES @ COST-WRITING INSTR")</f>
        <v xml:space="preserve">          5026 - PURCHASES @ COST-WRITING INSTR</v>
      </c>
      <c r="C52" s="11"/>
      <c r="D52" s="2">
        <v>2184.39</v>
      </c>
      <c r="E52" s="2"/>
      <c r="F52" s="21">
        <f t="shared" si="6"/>
        <v>1.6383060569826205E-2</v>
      </c>
      <c r="G52" s="2"/>
      <c r="H52" s="2">
        <v>-16628.670000000002</v>
      </c>
      <c r="I52" s="2"/>
      <c r="J52" s="21">
        <f t="shared" si="7"/>
        <v>-0.12884077725328236</v>
      </c>
      <c r="K52" s="2"/>
      <c r="L52" s="2">
        <f t="shared" si="8"/>
        <v>18813.060000000001</v>
      </c>
      <c r="M52" s="2"/>
      <c r="N52" s="21">
        <f t="shared" si="9"/>
        <v>-1.1313628810963234</v>
      </c>
      <c r="O52" s="11"/>
      <c r="P52" s="2">
        <v>12590.15</v>
      </c>
      <c r="Q52" s="2"/>
      <c r="R52" s="21">
        <f t="shared" si="10"/>
        <v>8.2774927004100718E-2</v>
      </c>
      <c r="S52" s="2"/>
      <c r="T52" s="2">
        <v>4390.96</v>
      </c>
      <c r="U52" s="2"/>
      <c r="V52" s="21">
        <f t="shared" si="11"/>
        <v>2.9855725025111728E-2</v>
      </c>
      <c r="W52" s="2"/>
      <c r="X52" s="2">
        <f t="shared" si="12"/>
        <v>8199.1899999999987</v>
      </c>
      <c r="Y52" s="2"/>
      <c r="Z52" s="21">
        <f t="shared" si="13"/>
        <v>1.8672887022427893</v>
      </c>
    </row>
    <row r="53" spans="1:26" s="24" customFormat="1" hidden="1" outlineLevel="1" x14ac:dyDescent="0.25">
      <c r="A53" s="50"/>
      <c r="B53" s="11" t="str">
        <f>CONCATENATE("          ", "5027", " - ", "PURCHASES @ COST-SCHOOL SUPPLI")</f>
        <v xml:space="preserve">          5027 - PURCHASES @ COST-SCHOOL SUPPLI</v>
      </c>
      <c r="C53" s="11"/>
      <c r="D53" s="2">
        <v>-650.94000000000005</v>
      </c>
      <c r="E53" s="2"/>
      <c r="F53" s="21">
        <f t="shared" si="6"/>
        <v>-4.8820903992980525E-3</v>
      </c>
      <c r="G53" s="2"/>
      <c r="H53" s="2">
        <v>-11688.93</v>
      </c>
      <c r="I53" s="2"/>
      <c r="J53" s="21">
        <f t="shared" si="7"/>
        <v>-9.0567124518028785E-2</v>
      </c>
      <c r="K53" s="2"/>
      <c r="L53" s="2">
        <f t="shared" si="8"/>
        <v>11037.99</v>
      </c>
      <c r="M53" s="2"/>
      <c r="N53" s="21">
        <f t="shared" si="9"/>
        <v>-0.94431141259294049</v>
      </c>
      <c r="O53" s="11"/>
      <c r="P53" s="2">
        <v>49463.21</v>
      </c>
      <c r="Q53" s="2"/>
      <c r="R53" s="21">
        <f t="shared" si="10"/>
        <v>0.32519974719431499</v>
      </c>
      <c r="S53" s="2"/>
      <c r="T53" s="2">
        <v>43055.33</v>
      </c>
      <c r="U53" s="2"/>
      <c r="V53" s="21">
        <f t="shared" si="11"/>
        <v>0.29274875957545593</v>
      </c>
      <c r="W53" s="2"/>
      <c r="X53" s="2">
        <f t="shared" si="12"/>
        <v>6407.8799999999974</v>
      </c>
      <c r="Y53" s="2"/>
      <c r="Z53" s="21">
        <f t="shared" si="13"/>
        <v>0.14882896031687592</v>
      </c>
    </row>
    <row r="54" spans="1:26" s="24" customFormat="1" hidden="1" outlineLevel="1" x14ac:dyDescent="0.25">
      <c r="A54" s="50"/>
      <c r="B54" s="11" t="str">
        <f>CONCATENATE("          ", "5028", " - ", "PURCHASES @ COST-ART/TECH")</f>
        <v xml:space="preserve">          5028 - PURCHASES @ COST-ART/TECH</v>
      </c>
      <c r="C54" s="11"/>
      <c r="D54" s="2">
        <v>27987.119999999999</v>
      </c>
      <c r="E54" s="2"/>
      <c r="F54" s="21">
        <f t="shared" si="6"/>
        <v>0.20990513696500826</v>
      </c>
      <c r="G54" s="2"/>
      <c r="H54" s="2">
        <v>11572.23</v>
      </c>
      <c r="I54" s="2"/>
      <c r="J54" s="21">
        <f t="shared" si="7"/>
        <v>8.966291999021879E-2</v>
      </c>
      <c r="K54" s="2"/>
      <c r="L54" s="2">
        <f t="shared" si="8"/>
        <v>16414.89</v>
      </c>
      <c r="M54" s="2"/>
      <c r="N54" s="21">
        <f t="shared" si="9"/>
        <v>1.4184724983862229</v>
      </c>
      <c r="O54" s="11"/>
      <c r="P54" s="2">
        <v>56014.77</v>
      </c>
      <c r="Q54" s="2"/>
      <c r="R54" s="21">
        <f t="shared" si="10"/>
        <v>0.36827349141205551</v>
      </c>
      <c r="S54" s="2"/>
      <c r="T54" s="2">
        <v>37596.310000000005</v>
      </c>
      <c r="U54" s="2"/>
      <c r="V54" s="21">
        <f t="shared" si="11"/>
        <v>0.25563090834780061</v>
      </c>
      <c r="W54" s="2"/>
      <c r="X54" s="2">
        <f t="shared" si="12"/>
        <v>18418.459999999992</v>
      </c>
      <c r="Y54" s="2"/>
      <c r="Z54" s="21">
        <f t="shared" si="13"/>
        <v>0.48990073759898217</v>
      </c>
    </row>
    <row r="55" spans="1:26" s="24" customFormat="1" hidden="1" outlineLevel="1" x14ac:dyDescent="0.25">
      <c r="A55" s="50"/>
      <c r="B55" s="11" t="str">
        <f>CONCATENATE("          ", "5031", " - ", "PURCHASES @ COST-FOOD")</f>
        <v xml:space="preserve">          5031 - PURCHASES @ COST-FOOD</v>
      </c>
      <c r="C55" s="11"/>
      <c r="D55" s="2">
        <v>2679.04</v>
      </c>
      <c r="E55" s="2"/>
      <c r="F55" s="21">
        <f t="shared" si="6"/>
        <v>2.0092966269295867E-2</v>
      </c>
      <c r="G55" s="2"/>
      <c r="H55" s="2">
        <v>2874.01</v>
      </c>
      <c r="I55" s="2"/>
      <c r="J55" s="21">
        <f t="shared" si="7"/>
        <v>2.2268147857507907E-2</v>
      </c>
      <c r="K55" s="2"/>
      <c r="L55" s="2">
        <f t="shared" si="8"/>
        <v>-194.97000000000025</v>
      </c>
      <c r="M55" s="2"/>
      <c r="N55" s="21">
        <f t="shared" si="9"/>
        <v>-6.7839012390353629E-2</v>
      </c>
      <c r="O55" s="11"/>
      <c r="P55" s="2">
        <v>2679.04</v>
      </c>
      <c r="Q55" s="2"/>
      <c r="R55" s="21">
        <f t="shared" si="10"/>
        <v>1.7613558253163464E-2</v>
      </c>
      <c r="S55" s="2"/>
      <c r="T55" s="2">
        <v>2963.17</v>
      </c>
      <c r="U55" s="2"/>
      <c r="V55" s="21">
        <f t="shared" si="11"/>
        <v>2.0147664456670142E-2</v>
      </c>
      <c r="W55" s="2"/>
      <c r="X55" s="2">
        <f t="shared" si="12"/>
        <v>-284.13000000000011</v>
      </c>
      <c r="Y55" s="2"/>
      <c r="Z55" s="21">
        <f t="shared" si="13"/>
        <v>-9.5887174883655044E-2</v>
      </c>
    </row>
    <row r="56" spans="1:26" s="24" customFormat="1" hidden="1" outlineLevel="1" x14ac:dyDescent="0.25">
      <c r="A56" s="50"/>
      <c r="B56" s="11" t="str">
        <f>CONCATENATE("          ", "5032", " - ", "PURCHASES @ COST-JUICE")</f>
        <v xml:space="preserve">          5032 - PURCHASES @ COST-JUICE</v>
      </c>
      <c r="C56" s="11"/>
      <c r="D56" s="2">
        <v>227.18</v>
      </c>
      <c r="E56" s="2"/>
      <c r="F56" s="21">
        <f t="shared" si="6"/>
        <v>1.7038640994754223E-3</v>
      </c>
      <c r="G56" s="2"/>
      <c r="H56" s="2">
        <v>982.09</v>
      </c>
      <c r="I56" s="2"/>
      <c r="J56" s="21">
        <f t="shared" si="7"/>
        <v>7.6093421141123167E-3</v>
      </c>
      <c r="K56" s="2"/>
      <c r="L56" s="2">
        <f t="shared" si="8"/>
        <v>-754.91000000000008</v>
      </c>
      <c r="M56" s="2"/>
      <c r="N56" s="21">
        <f t="shared" si="9"/>
        <v>-0.76867700516245974</v>
      </c>
      <c r="O56" s="11"/>
      <c r="P56" s="2">
        <v>341.6</v>
      </c>
      <c r="Q56" s="2"/>
      <c r="R56" s="21">
        <f t="shared" si="10"/>
        <v>2.2458759478322984E-3</v>
      </c>
      <c r="S56" s="2"/>
      <c r="T56" s="2">
        <v>982.09</v>
      </c>
      <c r="U56" s="2"/>
      <c r="V56" s="21">
        <f t="shared" si="11"/>
        <v>6.6775850816021961E-3</v>
      </c>
      <c r="W56" s="2"/>
      <c r="X56" s="2">
        <f t="shared" si="12"/>
        <v>-640.49</v>
      </c>
      <c r="Y56" s="2"/>
      <c r="Z56" s="21">
        <f t="shared" si="13"/>
        <v>-0.65217037135089451</v>
      </c>
    </row>
    <row r="57" spans="1:26" s="24" customFormat="1" hidden="1" outlineLevel="1" x14ac:dyDescent="0.25">
      <c r="A57" s="50"/>
      <c r="B57" s="11" t="str">
        <f>CONCATENATE("          ", "5033", " - ", "PURCHASES @ COST-CANDY")</f>
        <v xml:space="preserve">          5033 - PURCHASES @ COST-CANDY</v>
      </c>
      <c r="C57" s="11"/>
      <c r="D57" s="2">
        <v>986.46</v>
      </c>
      <c r="E57" s="2"/>
      <c r="F57" s="21">
        <f t="shared" si="6"/>
        <v>7.3985112226803637E-3</v>
      </c>
      <c r="G57" s="2"/>
      <c r="H57" s="2">
        <v>926.93</v>
      </c>
      <c r="I57" s="2"/>
      <c r="J57" s="21">
        <f t="shared" si="7"/>
        <v>7.1819563235896193E-3</v>
      </c>
      <c r="K57" s="2"/>
      <c r="L57" s="2">
        <f t="shared" si="8"/>
        <v>59.530000000000086</v>
      </c>
      <c r="M57" s="2"/>
      <c r="N57" s="21">
        <f t="shared" si="9"/>
        <v>6.4222756842480105E-2</v>
      </c>
      <c r="O57" s="11"/>
      <c r="P57" s="2">
        <v>986.46</v>
      </c>
      <c r="Q57" s="2"/>
      <c r="R57" s="21">
        <f t="shared" si="10"/>
        <v>6.4855585114129066E-3</v>
      </c>
      <c r="S57" s="2"/>
      <c r="T57" s="2">
        <v>1089.92</v>
      </c>
      <c r="U57" s="2"/>
      <c r="V57" s="21">
        <f t="shared" si="11"/>
        <v>7.410760248184857E-3</v>
      </c>
      <c r="W57" s="2"/>
      <c r="X57" s="2">
        <f t="shared" si="12"/>
        <v>-103.46000000000004</v>
      </c>
      <c r="Y57" s="2"/>
      <c r="Z57" s="21">
        <f t="shared" si="13"/>
        <v>-9.4924398120963038E-2</v>
      </c>
    </row>
    <row r="58" spans="1:26" s="24" customFormat="1" hidden="1" outlineLevel="1" x14ac:dyDescent="0.25">
      <c r="A58" s="50"/>
      <c r="B58" s="11" t="str">
        <f>CONCATENATE("          ", "5034", " - ", "PURCHASES @ COST-SODA")</f>
        <v xml:space="preserve">          5034 - PURCHASES @ COST-SODA</v>
      </c>
      <c r="C58" s="11"/>
      <c r="D58" s="2">
        <v>350.04</v>
      </c>
      <c r="E58" s="2"/>
      <c r="F58" s="21">
        <f t="shared" si="6"/>
        <v>2.6253217245372695E-3</v>
      </c>
      <c r="G58" s="2"/>
      <c r="H58" s="2">
        <v>538.94000000000005</v>
      </c>
      <c r="I58" s="2"/>
      <c r="J58" s="21">
        <f t="shared" si="7"/>
        <v>4.1757668227756038E-3</v>
      </c>
      <c r="K58" s="2"/>
      <c r="L58" s="2">
        <f t="shared" si="8"/>
        <v>-188.90000000000003</v>
      </c>
      <c r="M58" s="2"/>
      <c r="N58" s="21">
        <f t="shared" si="9"/>
        <v>-0.3505028389060007</v>
      </c>
      <c r="O58" s="11"/>
      <c r="P58" s="2">
        <v>288.5</v>
      </c>
      <c r="Q58" s="2"/>
      <c r="R58" s="21">
        <f t="shared" si="10"/>
        <v>1.8967658400164461E-3</v>
      </c>
      <c r="S58" s="2"/>
      <c r="T58" s="2">
        <v>548.17999999999995</v>
      </c>
      <c r="U58" s="2"/>
      <c r="V58" s="21">
        <f t="shared" si="11"/>
        <v>3.7272740686013417E-3</v>
      </c>
      <c r="W58" s="2"/>
      <c r="X58" s="2">
        <f t="shared" si="12"/>
        <v>-259.67999999999995</v>
      </c>
      <c r="Y58" s="2"/>
      <c r="Z58" s="21">
        <f t="shared" si="13"/>
        <v>-0.47371301397351229</v>
      </c>
    </row>
    <row r="59" spans="1:26" s="24" customFormat="1" hidden="1" outlineLevel="1" x14ac:dyDescent="0.25">
      <c r="A59" s="50"/>
      <c r="B59" s="11" t="str">
        <f>CONCATENATE("          ", "5035", " - ", "PURCHASES @ COST-HEALTH &amp; BEAU")</f>
        <v xml:space="preserve">          5035 - PURCHASES @ COST-HEALTH &amp; BEAU</v>
      </c>
      <c r="C59" s="11"/>
      <c r="D59" s="2">
        <v>76.73</v>
      </c>
      <c r="E59" s="2"/>
      <c r="F59" s="21">
        <f t="shared" si="6"/>
        <v>5.7547976209503112E-4</v>
      </c>
      <c r="G59" s="2"/>
      <c r="H59" s="2">
        <v>44.49</v>
      </c>
      <c r="I59" s="2"/>
      <c r="J59" s="21">
        <f t="shared" si="7"/>
        <v>3.4471344851984747E-4</v>
      </c>
      <c r="K59" s="2"/>
      <c r="L59" s="2">
        <f t="shared" si="8"/>
        <v>32.24</v>
      </c>
      <c r="M59" s="2"/>
      <c r="N59" s="21">
        <f t="shared" si="9"/>
        <v>0.72465722634299845</v>
      </c>
      <c r="O59" s="11"/>
      <c r="P59" s="2">
        <v>76.73</v>
      </c>
      <c r="Q59" s="2"/>
      <c r="R59" s="21">
        <f t="shared" si="10"/>
        <v>5.0446739308305686E-4</v>
      </c>
      <c r="S59" s="2"/>
      <c r="T59" s="2">
        <v>44.49</v>
      </c>
      <c r="U59" s="2"/>
      <c r="V59" s="21">
        <f t="shared" si="11"/>
        <v>3.0250359975204076E-4</v>
      </c>
      <c r="W59" s="2"/>
      <c r="X59" s="2">
        <f t="shared" si="12"/>
        <v>32.24</v>
      </c>
      <c r="Y59" s="2"/>
      <c r="Z59" s="21">
        <f t="shared" si="13"/>
        <v>0.72465722634299845</v>
      </c>
    </row>
    <row r="60" spans="1:26" s="24" customFormat="1" hidden="1" outlineLevel="1" x14ac:dyDescent="0.25">
      <c r="A60" s="50"/>
      <c r="B60" s="11" t="str">
        <f>CONCATENATE("          ", "5037", " - ", "PURCHASES @ COST-WATER")</f>
        <v xml:space="preserve">          5037 - PURCHASES @ COST-WATER</v>
      </c>
      <c r="C60" s="11"/>
      <c r="D60" s="2">
        <v>449.64</v>
      </c>
      <c r="E60" s="2"/>
      <c r="F60" s="21">
        <f t="shared" si="6"/>
        <v>3.3723279060134206E-3</v>
      </c>
      <c r="G60" s="2"/>
      <c r="H60" s="2">
        <v>591.05999999999995</v>
      </c>
      <c r="I60" s="2"/>
      <c r="J60" s="21">
        <f t="shared" si="7"/>
        <v>4.5795983565327268E-3</v>
      </c>
      <c r="K60" s="2"/>
      <c r="L60" s="2">
        <f t="shared" si="8"/>
        <v>-141.41999999999996</v>
      </c>
      <c r="M60" s="2"/>
      <c r="N60" s="21">
        <f t="shared" si="9"/>
        <v>-0.2392650492335803</v>
      </c>
      <c r="O60" s="11"/>
      <c r="P60" s="2">
        <v>466.18</v>
      </c>
      <c r="Q60" s="2"/>
      <c r="R60" s="21">
        <f t="shared" si="10"/>
        <v>3.0649369126477186E-3</v>
      </c>
      <c r="S60" s="2"/>
      <c r="T60" s="2">
        <v>591.05999999999995</v>
      </c>
      <c r="U60" s="2"/>
      <c r="V60" s="21">
        <f t="shared" si="11"/>
        <v>4.0188306960989252E-3</v>
      </c>
      <c r="W60" s="2"/>
      <c r="X60" s="2">
        <f t="shared" si="12"/>
        <v>-124.87999999999994</v>
      </c>
      <c r="Y60" s="2"/>
      <c r="Z60" s="21">
        <f t="shared" si="13"/>
        <v>-0.21128142658951704</v>
      </c>
    </row>
    <row r="61" spans="1:26" s="24" customFormat="1" hidden="1" outlineLevel="1" x14ac:dyDescent="0.25">
      <c r="A61" s="50"/>
      <c r="B61" s="11" t="str">
        <f>CONCATENATE("          ", "5081", " - ", "PURCHASES @ COST-ELECTRONICS")</f>
        <v xml:space="preserve">          5081 - PURCHASES @ COST-ELECTRONICS</v>
      </c>
      <c r="C61" s="11"/>
      <c r="D61" s="2">
        <v>304.16000000000003</v>
      </c>
      <c r="E61" s="2"/>
      <c r="F61" s="21">
        <f t="shared" si="6"/>
        <v>2.2812188770862068E-3</v>
      </c>
      <c r="G61" s="2"/>
      <c r="H61" s="2">
        <v>156.52000000000001</v>
      </c>
      <c r="I61" s="2"/>
      <c r="J61" s="21">
        <f t="shared" si="7"/>
        <v>1.2127342989958761E-3</v>
      </c>
      <c r="K61" s="2"/>
      <c r="L61" s="2">
        <f t="shared" si="8"/>
        <v>147.64000000000001</v>
      </c>
      <c r="M61" s="2"/>
      <c r="N61" s="21">
        <f t="shared" si="9"/>
        <v>0.94326603628929218</v>
      </c>
      <c r="O61" s="11"/>
      <c r="P61" s="2">
        <v>304.16000000000003</v>
      </c>
      <c r="Q61" s="2"/>
      <c r="R61" s="21">
        <f t="shared" si="10"/>
        <v>1.9997237362197654E-3</v>
      </c>
      <c r="S61" s="2"/>
      <c r="T61" s="2">
        <v>156.52000000000001</v>
      </c>
      <c r="U61" s="2"/>
      <c r="V61" s="21">
        <f t="shared" si="11"/>
        <v>1.064236085259371E-3</v>
      </c>
      <c r="W61" s="2"/>
      <c r="X61" s="2">
        <f t="shared" si="12"/>
        <v>147.64000000000001</v>
      </c>
      <c r="Y61" s="2"/>
      <c r="Z61" s="21">
        <f t="shared" si="13"/>
        <v>0.94326603628929218</v>
      </c>
    </row>
    <row r="62" spans="1:26" s="24" customFormat="1" hidden="1" outlineLevel="1" x14ac:dyDescent="0.25">
      <c r="A62" s="50"/>
      <c r="B62" s="11" t="str">
        <f>CONCATENATE("          ", "5082", " - ", "PURCHASES @ COST-COMPUTER HARD")</f>
        <v xml:space="preserve">          5082 - PURCHASES @ COST-COMPUTER HARD</v>
      </c>
      <c r="C62" s="11"/>
      <c r="D62" s="2">
        <v>130.6</v>
      </c>
      <c r="E62" s="2"/>
      <c r="F62" s="21">
        <f t="shared" si="6"/>
        <v>9.7950810542957178E-4</v>
      </c>
      <c r="G62" s="2"/>
      <c r="H62" s="2">
        <v>58</v>
      </c>
      <c r="I62" s="2"/>
      <c r="J62" s="21">
        <f t="shared" si="7"/>
        <v>4.4939042513263995E-4</v>
      </c>
      <c r="K62" s="2"/>
      <c r="L62" s="2">
        <f t="shared" si="8"/>
        <v>72.599999999999994</v>
      </c>
      <c r="M62" s="2"/>
      <c r="N62" s="21">
        <f t="shared" si="9"/>
        <v>1.2517241379310344</v>
      </c>
      <c r="O62" s="11"/>
      <c r="P62" s="2">
        <v>130.6</v>
      </c>
      <c r="Q62" s="2"/>
      <c r="R62" s="21">
        <f t="shared" si="10"/>
        <v>8.5863992619115374E-4</v>
      </c>
      <c r="S62" s="2"/>
      <c r="T62" s="2">
        <v>58</v>
      </c>
      <c r="U62" s="2"/>
      <c r="V62" s="21">
        <f t="shared" si="11"/>
        <v>3.9436297562639612E-4</v>
      </c>
      <c r="W62" s="2"/>
      <c r="X62" s="2">
        <f t="shared" si="12"/>
        <v>72.599999999999994</v>
      </c>
      <c r="Y62" s="2"/>
      <c r="Z62" s="21">
        <f t="shared" si="13"/>
        <v>1.2517241379310344</v>
      </c>
    </row>
    <row r="63" spans="1:26" s="24" customFormat="1" hidden="1" outlineLevel="1" x14ac:dyDescent="0.25">
      <c r="A63" s="50"/>
      <c r="B63" s="11" t="str">
        <f>CONCATENATE("          ", "5083", " - ", "PURCHASES @ COST-COMPUTER EQUI")</f>
        <v xml:space="preserve">          5083 - PURCHASES @ COST-COMPUTER EQUI</v>
      </c>
      <c r="C63" s="11"/>
      <c r="D63" s="2">
        <v>41.5</v>
      </c>
      <c r="E63" s="2"/>
      <c r="F63" s="21">
        <f t="shared" si="6"/>
        <v>3.1125257561506303E-4</v>
      </c>
      <c r="G63" s="2"/>
      <c r="H63" s="2">
        <v>70.25</v>
      </c>
      <c r="I63" s="2"/>
      <c r="J63" s="21">
        <f t="shared" si="7"/>
        <v>5.4430478216496475E-4</v>
      </c>
      <c r="K63" s="2"/>
      <c r="L63" s="2">
        <f t="shared" si="8"/>
        <v>-28.75</v>
      </c>
      <c r="M63" s="2"/>
      <c r="N63" s="21">
        <f t="shared" si="9"/>
        <v>-0.40925266903914592</v>
      </c>
      <c r="O63" s="11"/>
      <c r="P63" s="2">
        <v>41.5</v>
      </c>
      <c r="Q63" s="2"/>
      <c r="R63" s="21">
        <f t="shared" si="10"/>
        <v>2.7284499951709708E-4</v>
      </c>
      <c r="S63" s="2"/>
      <c r="T63" s="2">
        <v>70.25</v>
      </c>
      <c r="U63" s="2"/>
      <c r="V63" s="21">
        <f t="shared" si="11"/>
        <v>4.7765515582335049E-4</v>
      </c>
      <c r="W63" s="2"/>
      <c r="X63" s="2">
        <f t="shared" si="12"/>
        <v>-28.75</v>
      </c>
      <c r="Y63" s="2"/>
      <c r="Z63" s="21">
        <f t="shared" si="13"/>
        <v>-0.40925266903914592</v>
      </c>
    </row>
    <row r="64" spans="1:26" s="24" customFormat="1" hidden="1" outlineLevel="1" x14ac:dyDescent="0.25">
      <c r="A64" s="50"/>
      <c r="B64" s="11" t="str">
        <f>CONCATENATE("          ", "5086", " - ", "PURCHASES @ COST-COMPUTER SUPP")</f>
        <v xml:space="preserve">          5086 - PURCHASES @ COST-COMPUTER SUPP</v>
      </c>
      <c r="C64" s="11"/>
      <c r="D64" s="2">
        <v>58</v>
      </c>
      <c r="E64" s="2"/>
      <c r="F64" s="21">
        <f t="shared" si="6"/>
        <v>4.3500359965478692E-4</v>
      </c>
      <c r="G64" s="2"/>
      <c r="H64" s="2">
        <v>92.47</v>
      </c>
      <c r="I64" s="2"/>
      <c r="J64" s="21">
        <f t="shared" si="7"/>
        <v>7.1646780365543477E-4</v>
      </c>
      <c r="K64" s="2"/>
      <c r="L64" s="2">
        <f t="shared" si="8"/>
        <v>-34.47</v>
      </c>
      <c r="M64" s="2"/>
      <c r="N64" s="21">
        <f t="shared" si="9"/>
        <v>-0.37276954688006919</v>
      </c>
      <c r="O64" s="11"/>
      <c r="P64" s="2">
        <v>58</v>
      </c>
      <c r="Q64" s="2"/>
      <c r="R64" s="21">
        <f t="shared" si="10"/>
        <v>3.8132554149377426E-4</v>
      </c>
      <c r="S64" s="2"/>
      <c r="T64" s="2">
        <v>92.47</v>
      </c>
      <c r="U64" s="2"/>
      <c r="V64" s="21">
        <f t="shared" si="11"/>
        <v>6.2873697165815256E-4</v>
      </c>
      <c r="W64" s="2"/>
      <c r="X64" s="2">
        <f t="shared" si="12"/>
        <v>-34.47</v>
      </c>
      <c r="Y64" s="2"/>
      <c r="Z64" s="21">
        <f t="shared" si="13"/>
        <v>-0.37276954688006919</v>
      </c>
    </row>
    <row r="65" spans="1:26" s="24" customFormat="1" hidden="1" outlineLevel="1" x14ac:dyDescent="0.25">
      <c r="A65" s="50"/>
      <c r="B65" s="11" t="str">
        <f>CONCATENATE("          ", "5200", " - ", "PURCHASES OFFSET")</f>
        <v xml:space="preserve">          5200 - PURCHASES OFFSET</v>
      </c>
      <c r="C65" s="11"/>
      <c r="D65" s="2">
        <v>-36126</v>
      </c>
      <c r="E65" s="2"/>
      <c r="F65" s="21">
        <f t="shared" si="6"/>
        <v>-0.27094724208842813</v>
      </c>
      <c r="G65" s="2"/>
      <c r="H65" s="2">
        <v>9361</v>
      </c>
      <c r="I65" s="2"/>
      <c r="J65" s="21">
        <f t="shared" si="7"/>
        <v>7.2530064994252463E-2</v>
      </c>
      <c r="K65" s="2"/>
      <c r="L65" s="2">
        <f t="shared" si="8"/>
        <v>-45487</v>
      </c>
      <c r="M65" s="2"/>
      <c r="N65" s="21">
        <f t="shared" si="9"/>
        <v>-4.8592030765943806</v>
      </c>
      <c r="O65" s="11"/>
      <c r="P65" s="2">
        <v>-125955</v>
      </c>
      <c r="Q65" s="2"/>
      <c r="R65" s="21">
        <f t="shared" si="10"/>
        <v>-0.8281010099801438</v>
      </c>
      <c r="S65" s="2"/>
      <c r="T65" s="2">
        <v>-94184</v>
      </c>
      <c r="U65" s="2"/>
      <c r="V65" s="21">
        <f t="shared" si="11"/>
        <v>-0.64039107752407742</v>
      </c>
      <c r="W65" s="2"/>
      <c r="X65" s="2">
        <f t="shared" si="12"/>
        <v>-31771</v>
      </c>
      <c r="Y65" s="2"/>
      <c r="Z65" s="21">
        <f t="shared" si="13"/>
        <v>0.33732905801410007</v>
      </c>
    </row>
    <row r="66" spans="1:26" s="24" customFormat="1" hidden="1" outlineLevel="1" x14ac:dyDescent="0.25">
      <c r="A66" s="50"/>
      <c r="B66" s="11" t="str">
        <f>CONCATENATE("          ", "5300", " - ", "COG$ OFFSET")</f>
        <v xml:space="preserve">          5300 - COG$ OFFSET</v>
      </c>
      <c r="C66" s="11"/>
      <c r="D66" s="2">
        <v>62563.000000000007</v>
      </c>
      <c r="E66" s="2"/>
      <c r="F66" s="21">
        <f t="shared" si="6"/>
        <v>0.46922638284831786</v>
      </c>
      <c r="G66" s="2"/>
      <c r="H66" s="2">
        <v>67499</v>
      </c>
      <c r="I66" s="2"/>
      <c r="J66" s="21">
        <f t="shared" si="7"/>
        <v>0.52298972941427702</v>
      </c>
      <c r="K66" s="2"/>
      <c r="L66" s="2">
        <f t="shared" si="8"/>
        <v>-4935.9999999999927</v>
      </c>
      <c r="M66" s="2"/>
      <c r="N66" s="21">
        <f t="shared" si="9"/>
        <v>-7.3127009289026393E-2</v>
      </c>
      <c r="O66" s="11"/>
      <c r="P66" s="2">
        <v>72027</v>
      </c>
      <c r="Q66" s="2"/>
      <c r="R66" s="21">
        <f t="shared" si="10"/>
        <v>0.47354715133055308</v>
      </c>
      <c r="S66" s="2"/>
      <c r="T66" s="2">
        <v>76708</v>
      </c>
      <c r="U66" s="2"/>
      <c r="V66" s="21">
        <f t="shared" si="11"/>
        <v>0.52156543335085503</v>
      </c>
      <c r="W66" s="2"/>
      <c r="X66" s="2">
        <f t="shared" si="12"/>
        <v>-4681</v>
      </c>
      <c r="Y66" s="2"/>
      <c r="Z66" s="21">
        <f t="shared" si="13"/>
        <v>-6.1023622047244097E-2</v>
      </c>
    </row>
    <row r="67" spans="1:26" s="24" customFormat="1" hidden="1" outlineLevel="1" x14ac:dyDescent="0.25">
      <c r="A67" s="50"/>
      <c r="B67" s="11" t="str">
        <f>CONCATENATE("          ", "5500", " - ", "FREIGHT-IN")</f>
        <v xml:space="preserve">          5500 - FREIGHT-IN</v>
      </c>
      <c r="C67" s="11"/>
      <c r="D67" s="2"/>
      <c r="E67" s="2"/>
      <c r="F67" s="21">
        <f t="shared" si="6"/>
        <v>0</v>
      </c>
      <c r="G67" s="2"/>
      <c r="H67" s="2"/>
      <c r="I67" s="2"/>
      <c r="J67" s="21">
        <f t="shared" si="7"/>
        <v>0</v>
      </c>
      <c r="K67" s="2"/>
      <c r="L67" s="2">
        <f t="shared" si="8"/>
        <v>0</v>
      </c>
      <c r="M67" s="2"/>
      <c r="N67" s="21">
        <f t="shared" si="9"/>
        <v>0</v>
      </c>
      <c r="O67" s="11"/>
      <c r="P67" s="2">
        <v>49</v>
      </c>
      <c r="Q67" s="2"/>
      <c r="R67" s="21">
        <f t="shared" si="10"/>
        <v>3.2215433677922306E-4</v>
      </c>
      <c r="S67" s="2"/>
      <c r="T67" s="2"/>
      <c r="U67" s="2"/>
      <c r="V67" s="21">
        <f t="shared" si="11"/>
        <v>0</v>
      </c>
      <c r="W67" s="2"/>
      <c r="X67" s="2">
        <f t="shared" si="12"/>
        <v>49</v>
      </c>
      <c r="Y67" s="2"/>
      <c r="Z67" s="21">
        <f t="shared" si="13"/>
        <v>0</v>
      </c>
    </row>
    <row r="68" spans="1:26" s="24" customFormat="1" hidden="1" outlineLevel="1" x14ac:dyDescent="0.25">
      <c r="A68" s="50"/>
      <c r="B68" s="11" t="str">
        <f>CONCATENATE("          ", "5526", " - ", "FREIGHT-IN-WRITING INSTRUMENTS")</f>
        <v xml:space="preserve">          5526 - FREIGHT-IN-WRITING INSTRUMENTS</v>
      </c>
      <c r="C68" s="11"/>
      <c r="D68" s="2">
        <v>17.46</v>
      </c>
      <c r="E68" s="2"/>
      <c r="F68" s="21">
        <f t="shared" si="6"/>
        <v>1.309510836202169E-4</v>
      </c>
      <c r="G68" s="2"/>
      <c r="H68" s="2">
        <v>8.58</v>
      </c>
      <c r="I68" s="2"/>
      <c r="J68" s="21">
        <f t="shared" si="7"/>
        <v>6.6478790476518114E-5</v>
      </c>
      <c r="K68" s="2"/>
      <c r="L68" s="2">
        <f t="shared" si="8"/>
        <v>8.8800000000000008</v>
      </c>
      <c r="M68" s="2"/>
      <c r="N68" s="21">
        <f t="shared" si="9"/>
        <v>1.034965034965035</v>
      </c>
      <c r="O68" s="11"/>
      <c r="P68" s="2">
        <v>56.57</v>
      </c>
      <c r="Q68" s="2"/>
      <c r="R68" s="21">
        <f t="shared" si="10"/>
        <v>3.7192389452246226E-4</v>
      </c>
      <c r="S68" s="2"/>
      <c r="T68" s="2">
        <v>42.74</v>
      </c>
      <c r="U68" s="2"/>
      <c r="V68" s="21">
        <f t="shared" si="11"/>
        <v>2.9060471686676156E-4</v>
      </c>
      <c r="W68" s="2"/>
      <c r="X68" s="2">
        <f t="shared" si="12"/>
        <v>13.829999999999998</v>
      </c>
      <c r="Y68" s="2"/>
      <c r="Z68" s="21">
        <f t="shared" si="13"/>
        <v>0.32358446420215248</v>
      </c>
    </row>
    <row r="69" spans="1:26" s="24" customFormat="1" hidden="1" outlineLevel="1" x14ac:dyDescent="0.25">
      <c r="A69" s="50"/>
      <c r="B69" s="11" t="str">
        <f>CONCATENATE("          ", "5527", " - ", "FREIGHT-IN-SCHOOL SUPPLIES")</f>
        <v xml:space="preserve">          5527 - FREIGHT-IN-SCHOOL SUPPLIES</v>
      </c>
      <c r="C69" s="11"/>
      <c r="D69" s="2">
        <v>10.49</v>
      </c>
      <c r="E69" s="2"/>
      <c r="F69" s="21">
        <f t="shared" si="6"/>
        <v>7.8675651041012321E-5</v>
      </c>
      <c r="G69" s="2"/>
      <c r="H69" s="2"/>
      <c r="I69" s="2"/>
      <c r="J69" s="21">
        <f t="shared" si="7"/>
        <v>0</v>
      </c>
      <c r="K69" s="2"/>
      <c r="L69" s="2">
        <f t="shared" si="8"/>
        <v>10.49</v>
      </c>
      <c r="M69" s="2"/>
      <c r="N69" s="21">
        <f t="shared" si="9"/>
        <v>0</v>
      </c>
      <c r="O69" s="11"/>
      <c r="P69" s="2">
        <v>260.51</v>
      </c>
      <c r="Q69" s="2"/>
      <c r="R69" s="21">
        <f t="shared" si="10"/>
        <v>1.712743393354192E-3</v>
      </c>
      <c r="S69" s="2"/>
      <c r="T69" s="2">
        <v>280.67</v>
      </c>
      <c r="U69" s="2"/>
      <c r="V69" s="21">
        <f t="shared" si="11"/>
        <v>1.9083768339493209E-3</v>
      </c>
      <c r="W69" s="2"/>
      <c r="X69" s="2">
        <f t="shared" si="12"/>
        <v>-20.160000000000025</v>
      </c>
      <c r="Y69" s="2"/>
      <c r="Z69" s="21">
        <f t="shared" si="13"/>
        <v>-7.182812555670369E-2</v>
      </c>
    </row>
    <row r="70" spans="1:26" s="24" customFormat="1" hidden="1" outlineLevel="1" x14ac:dyDescent="0.25">
      <c r="A70" s="50"/>
      <c r="B70" s="11" t="str">
        <f>CONCATENATE("          ", "5528", " - ", "FREIGHT-IN-ART/TECH")</f>
        <v xml:space="preserve">          5528 - FREIGHT-IN-ART/TECH</v>
      </c>
      <c r="C70" s="11"/>
      <c r="D70" s="2">
        <v>255.45</v>
      </c>
      <c r="E70" s="2"/>
      <c r="F70" s="21">
        <f t="shared" si="6"/>
        <v>1.9158908539968157E-3</v>
      </c>
      <c r="G70" s="2"/>
      <c r="H70" s="2">
        <v>81.37</v>
      </c>
      <c r="I70" s="2"/>
      <c r="J70" s="21">
        <f t="shared" si="7"/>
        <v>6.3046377401798127E-4</v>
      </c>
      <c r="K70" s="2"/>
      <c r="L70" s="2">
        <f t="shared" si="8"/>
        <v>174.07999999999998</v>
      </c>
      <c r="M70" s="2"/>
      <c r="N70" s="21">
        <f t="shared" si="9"/>
        <v>2.1393634017451144</v>
      </c>
      <c r="O70" s="11"/>
      <c r="P70" s="2">
        <v>299.8</v>
      </c>
      <c r="Q70" s="2"/>
      <c r="R70" s="21">
        <f t="shared" si="10"/>
        <v>1.971058574824716E-3</v>
      </c>
      <c r="S70" s="2"/>
      <c r="T70" s="2">
        <v>227.26</v>
      </c>
      <c r="U70" s="2"/>
      <c r="V70" s="21">
        <f t="shared" si="11"/>
        <v>1.5452229282905997E-3</v>
      </c>
      <c r="W70" s="2"/>
      <c r="X70" s="2">
        <f t="shared" si="12"/>
        <v>72.54000000000002</v>
      </c>
      <c r="Y70" s="2"/>
      <c r="Z70" s="21">
        <f t="shared" si="13"/>
        <v>0.31919387485699208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6" t="s">
        <v>6</v>
      </c>
      <c r="C72" s="26"/>
      <c r="D72" s="20">
        <f>D12-D49</f>
        <v>70770.030000000057</v>
      </c>
      <c r="E72" s="13"/>
      <c r="F72" s="19">
        <f>IF(D$12=0,0,D72/D$12)</f>
        <v>0.53077961720133249</v>
      </c>
      <c r="G72" s="13"/>
      <c r="H72" s="20">
        <f>H12-H49</f>
        <v>61564.779999999984</v>
      </c>
      <c r="I72" s="13"/>
      <c r="J72" s="19">
        <f>IF(H$12=0,0,H72/H$12)</f>
        <v>0.47701073547236972</v>
      </c>
      <c r="K72" s="15"/>
      <c r="L72" s="20">
        <f>+D72-H72</f>
        <v>9205.2500000000728</v>
      </c>
      <c r="M72" s="15"/>
      <c r="N72" s="19">
        <f>IF(H72=0,0,L72/H72)</f>
        <v>0.14952136594981863</v>
      </c>
      <c r="O72" s="25"/>
      <c r="P72" s="20">
        <f>P12-P49</f>
        <v>80025.230000000054</v>
      </c>
      <c r="Q72" s="13"/>
      <c r="R72" s="19">
        <f>IF(P$12=0,0,P72/P$12)</f>
        <v>0.52613214073989401</v>
      </c>
      <c r="S72" s="13"/>
      <c r="T72" s="20">
        <f>T12-T49</f>
        <v>70364.610000000059</v>
      </c>
      <c r="U72" s="13"/>
      <c r="V72" s="19">
        <f>IF(T$12=0,0,T72/T$12)</f>
        <v>0.47843443066191194</v>
      </c>
      <c r="W72" s="15"/>
      <c r="X72" s="20">
        <f>+P72-T72</f>
        <v>9660.6199999999953</v>
      </c>
      <c r="Y72" s="15"/>
      <c r="Z72" s="19">
        <f>IF(T72=0,0,X72/T72)</f>
        <v>0.13729373331281147</v>
      </c>
    </row>
    <row r="73" spans="1:26" x14ac:dyDescent="0.25">
      <c r="A73" s="9"/>
      <c r="B73" s="10"/>
      <c r="C73" s="9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5" t="s">
        <v>9</v>
      </c>
      <c r="C74" s="10"/>
      <c r="D74" s="22">
        <f>SUM(OSRRefD22x_0)</f>
        <v>18416.98</v>
      </c>
      <c r="E74" s="22"/>
      <c r="F74" s="33">
        <f t="shared" ref="F74:F83" si="14">IF(D$12=0,0,D74/D$12)</f>
        <v>0.13812849301327962</v>
      </c>
      <c r="G74" s="22"/>
      <c r="H74" s="22">
        <f>SUM(OSRRefH22x_0)</f>
        <v>20593.03</v>
      </c>
      <c r="I74" s="22"/>
      <c r="J74" s="33">
        <f t="shared" ref="J74:J83" si="15">IF(H$12=0,0,H74/H$12)</f>
        <v>0.15955707769774496</v>
      </c>
      <c r="K74" s="4"/>
      <c r="L74" s="22">
        <f t="shared" ref="L74:L83" si="16">+D74-H74</f>
        <v>-2176.0499999999993</v>
      </c>
      <c r="M74" s="4"/>
      <c r="N74" s="33">
        <f t="shared" ref="N74:N83" si="17">IF(H74=0,0,L74/H74)</f>
        <v>-0.10566924828449234</v>
      </c>
      <c r="O74" s="10"/>
      <c r="P74" s="22">
        <f>SUM(OSRRefP22x_0)</f>
        <v>41876.320000000007</v>
      </c>
      <c r="Q74" s="22"/>
      <c r="R74" s="33">
        <f t="shared" ref="R74:R83" si="18">IF(P$12=0,0,P74/P$12)</f>
        <v>0.27531914482356157</v>
      </c>
      <c r="S74" s="22"/>
      <c r="T74" s="22">
        <f>SUM(OSRRefT22x_0)</f>
        <v>39759.949999999997</v>
      </c>
      <c r="U74" s="22"/>
      <c r="V74" s="33">
        <f t="shared" ref="V74:V83" si="19">IF(T$12=0,0,T74/T$12)</f>
        <v>0.27034227918546083</v>
      </c>
      <c r="W74" s="4"/>
      <c r="X74" s="22">
        <f t="shared" ref="X74:X83" si="20">+P74-T74</f>
        <v>2116.3700000000099</v>
      </c>
      <c r="Y74" s="4"/>
      <c r="Z74" s="33">
        <f t="shared" ref="Z74:Z83" si="21">IF(T74=0,0,X74/T74)</f>
        <v>5.3228688667868299E-2</v>
      </c>
    </row>
    <row r="75" spans="1:26" s="27" customFormat="1" outlineLevel="1" collapsed="1" x14ac:dyDescent="0.25">
      <c r="A75" s="28"/>
      <c r="B75" s="14" t="str">
        <f>CONCATENATE("     ","*Benefits                                         ")</f>
        <v xml:space="preserve">     *Benefits                                         </v>
      </c>
      <c r="C75" s="14"/>
      <c r="D75" s="1">
        <f>SUM(OSRRefD22_0x_0)</f>
        <v>3606.34</v>
      </c>
      <c r="E75" s="1"/>
      <c r="F75" s="5">
        <f t="shared" si="14"/>
        <v>2.7047773820328351E-2</v>
      </c>
      <c r="G75" s="1"/>
      <c r="H75" s="1">
        <f>SUM(OSRRefH22_0x_0)</f>
        <v>3725.6600000000003</v>
      </c>
      <c r="I75" s="1"/>
      <c r="J75" s="5">
        <f t="shared" si="15"/>
        <v>2.8866826401718473E-2</v>
      </c>
      <c r="K75" s="1"/>
      <c r="L75" s="1">
        <f t="shared" si="16"/>
        <v>-119.32000000000016</v>
      </c>
      <c r="M75" s="1"/>
      <c r="N75" s="5">
        <f t="shared" si="17"/>
        <v>-3.2026540264006954E-2</v>
      </c>
      <c r="O75" s="14"/>
      <c r="P75" s="1">
        <f>SUM(OSRRefP22_0x_0)</f>
        <v>7568.3700000000008</v>
      </c>
      <c r="Q75" s="1"/>
      <c r="R75" s="5">
        <f t="shared" si="18"/>
        <v>4.9758841180607527E-2</v>
      </c>
      <c r="S75" s="1"/>
      <c r="T75" s="1">
        <f>SUM(OSRRefT22_0x_0)</f>
        <v>6967.82</v>
      </c>
      <c r="U75" s="1"/>
      <c r="V75" s="5">
        <f t="shared" si="19"/>
        <v>4.7376728083260607E-2</v>
      </c>
      <c r="W75" s="1"/>
      <c r="X75" s="1">
        <f t="shared" si="20"/>
        <v>600.55000000000109</v>
      </c>
      <c r="Y75" s="1"/>
      <c r="Z75" s="5">
        <f t="shared" si="21"/>
        <v>8.6189080659374251E-2</v>
      </c>
    </row>
    <row r="76" spans="1:26" s="24" customFormat="1" hidden="1" outlineLevel="2" x14ac:dyDescent="0.25">
      <c r="A76" s="29"/>
      <c r="B76" s="11" t="str">
        <f>CONCATENATE("          ", "6111", " - ", "F.I.C.A.")</f>
        <v xml:space="preserve">          6111 - F.I.C.A.</v>
      </c>
      <c r="C76" s="11"/>
      <c r="D76" s="7">
        <v>848.31</v>
      </c>
      <c r="E76" s="2"/>
      <c r="F76" s="6">
        <f t="shared" si="14"/>
        <v>6.3623776486750388E-3</v>
      </c>
      <c r="G76" s="2"/>
      <c r="H76" s="7">
        <v>756.35</v>
      </c>
      <c r="I76" s="2"/>
      <c r="J76" s="6">
        <f t="shared" si="15"/>
        <v>5.8602835870529696E-3</v>
      </c>
      <c r="K76" s="2"/>
      <c r="L76" s="7">
        <f t="shared" si="16"/>
        <v>91.959999999999923</v>
      </c>
      <c r="M76" s="2"/>
      <c r="N76" s="6">
        <f t="shared" si="17"/>
        <v>0.12158392278706938</v>
      </c>
      <c r="O76" s="11"/>
      <c r="P76" s="7">
        <v>1687.25</v>
      </c>
      <c r="Q76" s="2"/>
      <c r="R76" s="6">
        <f t="shared" si="18"/>
        <v>1.1092957239402942E-2</v>
      </c>
      <c r="S76" s="2"/>
      <c r="T76" s="7">
        <v>1517.04</v>
      </c>
      <c r="U76" s="2"/>
      <c r="V76" s="6">
        <f t="shared" si="19"/>
        <v>1.0314903595590827E-2</v>
      </c>
      <c r="W76" s="2"/>
      <c r="X76" s="7">
        <f t="shared" si="20"/>
        <v>170.21000000000004</v>
      </c>
      <c r="Y76" s="2"/>
      <c r="Z76" s="6">
        <f t="shared" si="21"/>
        <v>0.11219875547118074</v>
      </c>
    </row>
    <row r="77" spans="1:26" s="24" customFormat="1" hidden="1" outlineLevel="2" x14ac:dyDescent="0.25">
      <c r="A77" s="29"/>
      <c r="B77" s="11" t="str">
        <f>CONCATENATE("          ", "6112", " - ", "COMPENSATION INSURANCE")</f>
        <v xml:space="preserve">          6112 - COMPENSATION INSURANCE</v>
      </c>
      <c r="C77" s="11"/>
      <c r="D77" s="7">
        <v>210.65</v>
      </c>
      <c r="E77" s="2"/>
      <c r="F77" s="6">
        <f t="shared" si="14"/>
        <v>1.5798880735738081E-3</v>
      </c>
      <c r="G77" s="2"/>
      <c r="H77" s="7">
        <v>114.99</v>
      </c>
      <c r="I77" s="2"/>
      <c r="J77" s="6">
        <f t="shared" si="15"/>
        <v>8.9095525837934941E-4</v>
      </c>
      <c r="K77" s="2"/>
      <c r="L77" s="7">
        <f t="shared" si="16"/>
        <v>95.660000000000011</v>
      </c>
      <c r="M77" s="2"/>
      <c r="N77" s="6">
        <f t="shared" si="17"/>
        <v>0.83189842595008279</v>
      </c>
      <c r="O77" s="11"/>
      <c r="P77" s="7">
        <v>418.5</v>
      </c>
      <c r="Q77" s="2"/>
      <c r="R77" s="6">
        <f t="shared" si="18"/>
        <v>2.75146101922663E-3</v>
      </c>
      <c r="S77" s="2"/>
      <c r="T77" s="7">
        <v>277.12</v>
      </c>
      <c r="U77" s="2"/>
      <c r="V77" s="6">
        <f t="shared" si="19"/>
        <v>1.8842391000963258E-3</v>
      </c>
      <c r="W77" s="2"/>
      <c r="X77" s="7">
        <f t="shared" si="20"/>
        <v>141.38</v>
      </c>
      <c r="Y77" s="2"/>
      <c r="Z77" s="6">
        <f t="shared" si="21"/>
        <v>0.51017609699769051</v>
      </c>
    </row>
    <row r="78" spans="1:26" s="24" customFormat="1" hidden="1" outlineLevel="2" x14ac:dyDescent="0.25">
      <c r="A78" s="29"/>
      <c r="B78" s="11" t="str">
        <f>CONCATENATE("          ", "6113", " - ", "GROUP INSURANCE")</f>
        <v xml:space="preserve">          6113 - GROUP INSURANCE</v>
      </c>
      <c r="C78" s="11"/>
      <c r="D78" s="7">
        <v>1412.76</v>
      </c>
      <c r="E78" s="2"/>
      <c r="F78" s="6">
        <f t="shared" si="14"/>
        <v>1.0595787680143048E-2</v>
      </c>
      <c r="G78" s="2"/>
      <c r="H78" s="7">
        <v>1680.3</v>
      </c>
      <c r="I78" s="2"/>
      <c r="J78" s="6">
        <f t="shared" si="15"/>
        <v>1.3019150540523706E-2</v>
      </c>
      <c r="K78" s="2"/>
      <c r="L78" s="7">
        <f t="shared" si="16"/>
        <v>-267.53999999999996</v>
      </c>
      <c r="M78" s="2"/>
      <c r="N78" s="6">
        <f t="shared" si="17"/>
        <v>-0.15922156757721834</v>
      </c>
      <c r="O78" s="11"/>
      <c r="P78" s="7">
        <v>2825.52</v>
      </c>
      <c r="Q78" s="2"/>
      <c r="R78" s="6">
        <f t="shared" si="18"/>
        <v>1.8576602482784293E-2</v>
      </c>
      <c r="S78" s="2"/>
      <c r="T78" s="7">
        <v>2062.42</v>
      </c>
      <c r="U78" s="2"/>
      <c r="V78" s="6">
        <f t="shared" si="19"/>
        <v>1.4023139451575723E-2</v>
      </c>
      <c r="W78" s="2"/>
      <c r="X78" s="7">
        <f t="shared" si="20"/>
        <v>763.09999999999991</v>
      </c>
      <c r="Y78" s="2"/>
      <c r="Z78" s="6">
        <f t="shared" si="21"/>
        <v>0.37000223038954233</v>
      </c>
    </row>
    <row r="79" spans="1:26" s="24" customFormat="1" hidden="1" outlineLevel="2" x14ac:dyDescent="0.25">
      <c r="A79" s="29"/>
      <c r="B79" s="11" t="str">
        <f>CONCATENATE("          ", "6114", " - ", "STATE UNEMPLOYMENT INSURANCE")</f>
        <v xml:space="preserve">          6114 - STATE UNEMPLOYMENT INSURANCE</v>
      </c>
      <c r="C79" s="11"/>
      <c r="D79" s="7">
        <v>28.83</v>
      </c>
      <c r="E79" s="2"/>
      <c r="F79" s="6">
        <f t="shared" si="14"/>
        <v>2.1622678927668115E-4</v>
      </c>
      <c r="G79" s="2"/>
      <c r="H79" s="7">
        <v>25.13</v>
      </c>
      <c r="I79" s="2"/>
      <c r="J79" s="6">
        <f t="shared" si="15"/>
        <v>1.9471002385488347E-4</v>
      </c>
      <c r="K79" s="2"/>
      <c r="L79" s="7">
        <f t="shared" si="16"/>
        <v>3.6999999999999993</v>
      </c>
      <c r="M79" s="2"/>
      <c r="N79" s="6">
        <f t="shared" si="17"/>
        <v>0.1472343812176681</v>
      </c>
      <c r="O79" s="11"/>
      <c r="P79" s="7">
        <v>57.27</v>
      </c>
      <c r="Q79" s="2"/>
      <c r="R79" s="6">
        <f t="shared" si="18"/>
        <v>3.76526099333594E-4</v>
      </c>
      <c r="S79" s="2"/>
      <c r="T79" s="7">
        <v>60.56</v>
      </c>
      <c r="U79" s="2"/>
      <c r="V79" s="6">
        <f t="shared" si="19"/>
        <v>4.1176934144714739E-4</v>
      </c>
      <c r="W79" s="2"/>
      <c r="X79" s="7">
        <f t="shared" si="20"/>
        <v>-3.2899999999999991</v>
      </c>
      <c r="Y79" s="2"/>
      <c r="Z79" s="6">
        <f t="shared" si="21"/>
        <v>-5.4326287978863921E-2</v>
      </c>
    </row>
    <row r="80" spans="1:26" s="24" customFormat="1" hidden="1" outlineLevel="2" x14ac:dyDescent="0.25">
      <c r="A80" s="29"/>
      <c r="B80" s="11" t="str">
        <f>CONCATENATE("          ", "6115", " - ", "P.E.R.S.")</f>
        <v xml:space="preserve">          6115 - P.E.R.S.</v>
      </c>
      <c r="C80" s="11"/>
      <c r="D80" s="7">
        <v>384.57</v>
      </c>
      <c r="E80" s="2"/>
      <c r="F80" s="6">
        <f t="shared" si="14"/>
        <v>2.8842988675731275E-3</v>
      </c>
      <c r="G80" s="2"/>
      <c r="H80" s="7">
        <v>424.87</v>
      </c>
      <c r="I80" s="2"/>
      <c r="J80" s="6">
        <f t="shared" si="15"/>
        <v>3.2919398263121509E-3</v>
      </c>
      <c r="K80" s="2"/>
      <c r="L80" s="7">
        <f t="shared" si="16"/>
        <v>-40.300000000000011</v>
      </c>
      <c r="M80" s="2"/>
      <c r="N80" s="6">
        <f t="shared" si="17"/>
        <v>-9.4852543130840045E-2</v>
      </c>
      <c r="O80" s="11"/>
      <c r="P80" s="7">
        <v>769.14</v>
      </c>
      <c r="Q80" s="2"/>
      <c r="R80" s="6">
        <f t="shared" si="18"/>
        <v>5.056771154905544E-3</v>
      </c>
      <c r="S80" s="2"/>
      <c r="T80" s="7">
        <v>1055.98</v>
      </c>
      <c r="U80" s="2"/>
      <c r="V80" s="6">
        <f t="shared" si="19"/>
        <v>7.1799899138269277E-3</v>
      </c>
      <c r="W80" s="2"/>
      <c r="X80" s="7">
        <f t="shared" si="20"/>
        <v>-286.84000000000003</v>
      </c>
      <c r="Y80" s="2"/>
      <c r="Z80" s="6">
        <f t="shared" si="21"/>
        <v>-0.27163393246084211</v>
      </c>
    </row>
    <row r="81" spans="1:26" s="24" customFormat="1" hidden="1" outlineLevel="2" x14ac:dyDescent="0.25">
      <c r="A81" s="29"/>
      <c r="B81" s="11" t="str">
        <f>CONCATENATE("          ", "6118", " - ", "VACATION")</f>
        <v xml:space="preserve">          6118 - VACATION</v>
      </c>
      <c r="C81" s="11"/>
      <c r="D81" s="7">
        <v>317.27</v>
      </c>
      <c r="E81" s="2"/>
      <c r="F81" s="6">
        <f t="shared" si="14"/>
        <v>2.3795446907323146E-3</v>
      </c>
      <c r="G81" s="2"/>
      <c r="H81" s="7">
        <v>287.82</v>
      </c>
      <c r="I81" s="2"/>
      <c r="J81" s="6">
        <f t="shared" si="15"/>
        <v>2.230061244166835E-3</v>
      </c>
      <c r="K81" s="2"/>
      <c r="L81" s="7">
        <f t="shared" si="16"/>
        <v>29.449999999999989</v>
      </c>
      <c r="M81" s="2"/>
      <c r="N81" s="6">
        <f t="shared" si="17"/>
        <v>0.1023208950038218</v>
      </c>
      <c r="O81" s="11"/>
      <c r="P81" s="7">
        <v>796.55</v>
      </c>
      <c r="Q81" s="2"/>
      <c r="R81" s="6">
        <f t="shared" si="18"/>
        <v>5.2369803461528603E-3</v>
      </c>
      <c r="S81" s="2"/>
      <c r="T81" s="7">
        <v>795.01</v>
      </c>
      <c r="U81" s="2"/>
      <c r="V81" s="6">
        <f t="shared" si="19"/>
        <v>5.4055605043576063E-3</v>
      </c>
      <c r="W81" s="2"/>
      <c r="X81" s="7">
        <f t="shared" si="20"/>
        <v>1.5399999999999636</v>
      </c>
      <c r="Y81" s="2"/>
      <c r="Z81" s="6">
        <f t="shared" si="21"/>
        <v>1.9370825524206786E-3</v>
      </c>
    </row>
    <row r="82" spans="1:26" s="24" customFormat="1" hidden="1" outlineLevel="2" x14ac:dyDescent="0.25">
      <c r="A82" s="29"/>
      <c r="B82" s="11" t="str">
        <f>CONCATENATE("          ", "6119", " - ", "SICK LEAVE")</f>
        <v xml:space="preserve">          6119 - SICK LEAVE</v>
      </c>
      <c r="C82" s="11"/>
      <c r="D82" s="7">
        <v>253.95</v>
      </c>
      <c r="E82" s="2"/>
      <c r="F82" s="6">
        <f t="shared" si="14"/>
        <v>1.9046407609022954E-3</v>
      </c>
      <c r="G82" s="2"/>
      <c r="H82" s="7">
        <v>286.42</v>
      </c>
      <c r="I82" s="2"/>
      <c r="J82" s="6">
        <f t="shared" si="15"/>
        <v>2.2192138890774265E-3</v>
      </c>
      <c r="K82" s="2"/>
      <c r="L82" s="7">
        <f t="shared" si="16"/>
        <v>-32.470000000000027</v>
      </c>
      <c r="M82" s="2"/>
      <c r="N82" s="6">
        <f t="shared" si="17"/>
        <v>-0.1133649884784583</v>
      </c>
      <c r="O82" s="11"/>
      <c r="P82" s="7">
        <v>715.41</v>
      </c>
      <c r="Q82" s="2"/>
      <c r="R82" s="6">
        <f t="shared" si="18"/>
        <v>4.7035190627596731E-3</v>
      </c>
      <c r="S82" s="2"/>
      <c r="T82" s="7">
        <v>899.91</v>
      </c>
      <c r="U82" s="2"/>
      <c r="V82" s="6">
        <f t="shared" si="19"/>
        <v>6.1188135413094849E-3</v>
      </c>
      <c r="W82" s="2"/>
      <c r="X82" s="7">
        <f t="shared" si="20"/>
        <v>-184.5</v>
      </c>
      <c r="Y82" s="2"/>
      <c r="Z82" s="6">
        <f t="shared" si="21"/>
        <v>-0.20502050205020503</v>
      </c>
    </row>
    <row r="83" spans="1:26" s="24" customFormat="1" hidden="1" outlineLevel="2" x14ac:dyDescent="0.25">
      <c r="A83" s="29"/>
      <c r="B83" s="11" t="str">
        <f>CONCATENATE("          ", "6156", " - ", "EMPLOYEE MEALS")</f>
        <v xml:space="preserve">          6156 - EMPLOYEE MEALS</v>
      </c>
      <c r="C83" s="11"/>
      <c r="D83" s="7">
        <v>150</v>
      </c>
      <c r="E83" s="2"/>
      <c r="F83" s="6">
        <f t="shared" si="14"/>
        <v>1.1250093094520351E-3</v>
      </c>
      <c r="G83" s="2"/>
      <c r="H83" s="7">
        <v>149.78</v>
      </c>
      <c r="I83" s="2"/>
      <c r="J83" s="6">
        <f t="shared" si="15"/>
        <v>1.160512032351152E-3</v>
      </c>
      <c r="K83" s="2"/>
      <c r="L83" s="7">
        <f t="shared" si="16"/>
        <v>0.21999999999999886</v>
      </c>
      <c r="M83" s="2"/>
      <c r="N83" s="6">
        <f t="shared" si="17"/>
        <v>1.4688209373748089E-3</v>
      </c>
      <c r="O83" s="11"/>
      <c r="P83" s="7">
        <v>298.73</v>
      </c>
      <c r="Q83" s="2"/>
      <c r="R83" s="6">
        <f t="shared" si="18"/>
        <v>1.964023776041986E-3</v>
      </c>
      <c r="S83" s="2"/>
      <c r="T83" s="7">
        <v>299.77999999999997</v>
      </c>
      <c r="U83" s="2"/>
      <c r="V83" s="6">
        <f t="shared" si="19"/>
        <v>2.0383126350565694E-3</v>
      </c>
      <c r="W83" s="2"/>
      <c r="X83" s="7">
        <f t="shared" si="20"/>
        <v>-1.0499999999999545</v>
      </c>
      <c r="Y83" s="2"/>
      <c r="Z83" s="6">
        <f t="shared" si="21"/>
        <v>-3.5025685502700467E-3</v>
      </c>
    </row>
    <row r="84" spans="1:26" s="27" customFormat="1" outlineLevel="1" collapsed="1" x14ac:dyDescent="0.25">
      <c r="A84" s="28"/>
      <c r="B84" s="14" t="str">
        <f>CONCATENATE("     ","*Payroll                                          ")</f>
        <v xml:space="preserve">     *Payroll                                          </v>
      </c>
      <c r="C84" s="14"/>
      <c r="D84" s="1">
        <f>SUM(OSRRefD22_1x_0)</f>
        <v>11027.45</v>
      </c>
      <c r="E84" s="1"/>
      <c r="F84" s="5">
        <f t="shared" ref="F84:F87" si="22">IF(D$12=0,0,D84/D$12)</f>
        <v>8.270655939677897E-2</v>
      </c>
      <c r="G84" s="1"/>
      <c r="H84" s="1">
        <f>SUM(OSRRefH22_1x_0)</f>
        <v>11425.48</v>
      </c>
      <c r="I84" s="1"/>
      <c r="J84" s="5">
        <f t="shared" ref="J84:J87" si="23">IF(H$12=0,0,H84/H$12)</f>
        <v>8.8525884733525434E-2</v>
      </c>
      <c r="K84" s="1"/>
      <c r="L84" s="1">
        <f t="shared" ref="L84:L87" si="24">+D84-H84</f>
        <v>-398.02999999999884</v>
      </c>
      <c r="M84" s="1"/>
      <c r="N84" s="5">
        <f t="shared" ref="N84:N87" si="25">IF(H84=0,0,L84/H84)</f>
        <v>-3.483704842159794E-2</v>
      </c>
      <c r="O84" s="14"/>
      <c r="P84" s="1">
        <f>SUM(OSRRefP22_1x_0)</f>
        <v>26351.43</v>
      </c>
      <c r="Q84" s="1"/>
      <c r="R84" s="5">
        <f t="shared" ref="R84:R87" si="26">IF(P$12=0,0,P84/P$12)</f>
        <v>0.17324953989457392</v>
      </c>
      <c r="S84" s="1"/>
      <c r="T84" s="1">
        <f>SUM(OSRRefT22_1x_0)</f>
        <v>23323.040000000001</v>
      </c>
      <c r="U84" s="1"/>
      <c r="V84" s="5">
        <f t="shared" ref="V84:V87" si="27">IF(T$12=0,0,T84/T$12)</f>
        <v>0.15858178370781831</v>
      </c>
      <c r="W84" s="1"/>
      <c r="X84" s="1">
        <f t="shared" ref="X84:X87" si="28">+P84-T84</f>
        <v>3028.3899999999994</v>
      </c>
      <c r="Y84" s="1"/>
      <c r="Z84" s="5">
        <f t="shared" ref="Z84:Z87" si="29">IF(T84=0,0,X84/T84)</f>
        <v>0.12984542323813703</v>
      </c>
    </row>
    <row r="85" spans="1:26" s="24" customFormat="1" hidden="1" outlineLevel="2" x14ac:dyDescent="0.25">
      <c r="A85" s="29"/>
      <c r="B85" s="11" t="str">
        <f>CONCATENATE("          ", "6002", " - ", "STAFF SALARIES")</f>
        <v xml:space="preserve">          6002 - STAFF SALARIES</v>
      </c>
      <c r="C85" s="11"/>
      <c r="D85" s="7">
        <v>3333.7</v>
      </c>
      <c r="E85" s="2"/>
      <c r="F85" s="6">
        <f t="shared" si="22"/>
        <v>2.5002956899468329E-2</v>
      </c>
      <c r="G85" s="2"/>
      <c r="H85" s="7">
        <v>5860.72</v>
      </c>
      <c r="I85" s="2"/>
      <c r="J85" s="6">
        <f t="shared" si="23"/>
        <v>4.54095077997132E-2</v>
      </c>
      <c r="K85" s="2"/>
      <c r="L85" s="7">
        <f t="shared" si="24"/>
        <v>-2527.0200000000004</v>
      </c>
      <c r="M85" s="2"/>
      <c r="N85" s="6">
        <f t="shared" si="25"/>
        <v>-0.43117910427387768</v>
      </c>
      <c r="O85" s="11"/>
      <c r="P85" s="7">
        <v>12113.11</v>
      </c>
      <c r="Q85" s="2"/>
      <c r="R85" s="6">
        <f t="shared" si="26"/>
        <v>7.9638590171097451E-2</v>
      </c>
      <c r="S85" s="2"/>
      <c r="T85" s="7">
        <v>13132.41</v>
      </c>
      <c r="U85" s="2"/>
      <c r="V85" s="6">
        <f t="shared" si="27"/>
        <v>8.9292004909411041E-2</v>
      </c>
      <c r="W85" s="2"/>
      <c r="X85" s="7">
        <f t="shared" si="28"/>
        <v>-1019.2999999999993</v>
      </c>
      <c r="Y85" s="2"/>
      <c r="Z85" s="6">
        <f t="shared" si="29"/>
        <v>-7.7617131965876732E-2</v>
      </c>
    </row>
    <row r="86" spans="1:26" s="24" customFormat="1" hidden="1" outlineLevel="2" x14ac:dyDescent="0.25">
      <c r="A86" s="29"/>
      <c r="B86" s="11" t="str">
        <f>CONCATENATE("          ", "6006", " - ", "TEMPORARY PART TIME")</f>
        <v xml:space="preserve">          6006 - TEMPORARY PART TIME</v>
      </c>
      <c r="C86" s="11"/>
      <c r="D86" s="7"/>
      <c r="E86" s="2"/>
      <c r="F86" s="6">
        <f t="shared" si="22"/>
        <v>0</v>
      </c>
      <c r="G86" s="2"/>
      <c r="H86" s="7">
        <v>211.75</v>
      </c>
      <c r="I86" s="2"/>
      <c r="J86" s="6">
        <f t="shared" si="23"/>
        <v>1.6406624572730432E-3</v>
      </c>
      <c r="K86" s="2"/>
      <c r="L86" s="7">
        <f t="shared" si="24"/>
        <v>-211.75</v>
      </c>
      <c r="M86" s="2"/>
      <c r="N86" s="6">
        <f t="shared" si="25"/>
        <v>-1</v>
      </c>
      <c r="O86" s="11"/>
      <c r="P86" s="7">
        <v>25.5</v>
      </c>
      <c r="Q86" s="2"/>
      <c r="R86" s="6">
        <f t="shared" si="26"/>
        <v>1.6765174669122835E-4</v>
      </c>
      <c r="S86" s="2"/>
      <c r="T86" s="7">
        <v>633.5</v>
      </c>
      <c r="U86" s="2"/>
      <c r="V86" s="6">
        <f t="shared" si="27"/>
        <v>4.3073956044710681E-3</v>
      </c>
      <c r="W86" s="2"/>
      <c r="X86" s="7">
        <f t="shared" si="28"/>
        <v>-608</v>
      </c>
      <c r="Y86" s="2"/>
      <c r="Z86" s="6">
        <f t="shared" si="29"/>
        <v>-0.95974743488555647</v>
      </c>
    </row>
    <row r="87" spans="1:26" s="24" customFormat="1" hidden="1" outlineLevel="2" x14ac:dyDescent="0.25">
      <c r="A87" s="29"/>
      <c r="B87" s="11" t="str">
        <f>CONCATENATE("          ", "6007", " - ", "STUDENT HOURLY")</f>
        <v xml:space="preserve">          6007 - STUDENT HOURLY</v>
      </c>
      <c r="C87" s="11"/>
      <c r="D87" s="7">
        <v>7693.75</v>
      </c>
      <c r="E87" s="2"/>
      <c r="F87" s="6">
        <f t="shared" si="22"/>
        <v>5.7703602497310637E-2</v>
      </c>
      <c r="G87" s="2"/>
      <c r="H87" s="7">
        <v>5353.01</v>
      </c>
      <c r="I87" s="2"/>
      <c r="J87" s="6">
        <f t="shared" si="23"/>
        <v>4.1475714476539194E-2</v>
      </c>
      <c r="K87" s="2"/>
      <c r="L87" s="7">
        <f t="shared" si="24"/>
        <v>2340.7399999999998</v>
      </c>
      <c r="M87" s="2"/>
      <c r="N87" s="6">
        <f t="shared" si="25"/>
        <v>0.43727547678782586</v>
      </c>
      <c r="O87" s="11"/>
      <c r="P87" s="7">
        <v>14212.82</v>
      </c>
      <c r="Q87" s="2"/>
      <c r="R87" s="6">
        <f t="shared" si="26"/>
        <v>9.3443297976785258E-2</v>
      </c>
      <c r="S87" s="2"/>
      <c r="T87" s="7">
        <v>9557.1299999999992</v>
      </c>
      <c r="U87" s="2"/>
      <c r="V87" s="6">
        <f t="shared" si="27"/>
        <v>6.4982383193936191E-2</v>
      </c>
      <c r="W87" s="2"/>
      <c r="X87" s="7">
        <f t="shared" si="28"/>
        <v>4655.6900000000005</v>
      </c>
      <c r="Y87" s="2"/>
      <c r="Z87" s="6">
        <f t="shared" si="29"/>
        <v>0.48714310676950096</v>
      </c>
    </row>
    <row r="88" spans="1:26" s="27" customFormat="1" outlineLevel="1" collapsed="1" x14ac:dyDescent="0.25">
      <c r="A88" s="28"/>
      <c r="B88" s="14" t="str">
        <f>CONCATENATE("     ","Advertising/Promo                                 ")</f>
        <v xml:space="preserve">     Advertising/Promo                                 </v>
      </c>
      <c r="C88" s="14"/>
      <c r="D88" s="1">
        <f>SUM(OSRRefD22_2x_0)</f>
        <v>45.86</v>
      </c>
      <c r="E88" s="1"/>
      <c r="F88" s="5">
        <f t="shared" ref="F88:F94" si="30">IF(D$12=0,0,D88/D$12)</f>
        <v>3.4395284620980222E-4</v>
      </c>
      <c r="G88" s="1"/>
      <c r="H88" s="1">
        <f>SUM(OSRRefH22_2x_0)</f>
        <v>45.86</v>
      </c>
      <c r="I88" s="1"/>
      <c r="J88" s="5">
        <f t="shared" ref="J88:J94" si="31">IF(H$12=0,0,H88/H$12)</f>
        <v>3.5532836028591153E-4</v>
      </c>
      <c r="K88" s="1"/>
      <c r="L88" s="1">
        <f t="shared" ref="L88:L94" si="32">+D88-H88</f>
        <v>0</v>
      </c>
      <c r="M88" s="1"/>
      <c r="N88" s="5">
        <f t="shared" ref="N88:N94" si="33">IF(H88=0,0,L88/H88)</f>
        <v>0</v>
      </c>
      <c r="O88" s="14"/>
      <c r="P88" s="1">
        <f>SUM(OSRRefP22_2x_0)</f>
        <v>45.86</v>
      </c>
      <c r="Q88" s="1"/>
      <c r="R88" s="5">
        <f t="shared" ref="R88:R94" si="34">IF(P$12=0,0,P88/P$12)</f>
        <v>3.0151016091214635E-4</v>
      </c>
      <c r="S88" s="1"/>
      <c r="T88" s="1">
        <f>SUM(OSRRefT22_2x_0)</f>
        <v>45.86</v>
      </c>
      <c r="U88" s="1"/>
      <c r="V88" s="5">
        <f t="shared" ref="V88:V94" si="35">IF(T$12=0,0,T88/T$12)</f>
        <v>3.1181872521080217E-4</v>
      </c>
      <c r="W88" s="1"/>
      <c r="X88" s="1">
        <f t="shared" ref="X88:X94" si="36">+P88-T88</f>
        <v>0</v>
      </c>
      <c r="Y88" s="1"/>
      <c r="Z88" s="5">
        <f t="shared" ref="Z88:Z94" si="37">IF(T88=0,0,X88/T88)</f>
        <v>0</v>
      </c>
    </row>
    <row r="89" spans="1:26" s="24" customFormat="1" hidden="1" outlineLevel="2" x14ac:dyDescent="0.25">
      <c r="A89" s="29"/>
      <c r="B89" s="11" t="str">
        <f>CONCATENATE("          ", "6362", " - ", "ADVERTISING EXPENSE")</f>
        <v xml:space="preserve">          6362 - ADVERTISING EXPENSE</v>
      </c>
      <c r="C89" s="11"/>
      <c r="D89" s="7">
        <v>45.86</v>
      </c>
      <c r="E89" s="2"/>
      <c r="F89" s="6">
        <f t="shared" si="30"/>
        <v>3.4395284620980222E-4</v>
      </c>
      <c r="G89" s="2"/>
      <c r="H89" s="7">
        <v>45.86</v>
      </c>
      <c r="I89" s="2"/>
      <c r="J89" s="6">
        <f t="shared" si="31"/>
        <v>3.5532836028591153E-4</v>
      </c>
      <c r="K89" s="2"/>
      <c r="L89" s="7">
        <f t="shared" si="32"/>
        <v>0</v>
      </c>
      <c r="M89" s="2"/>
      <c r="N89" s="6">
        <f t="shared" si="33"/>
        <v>0</v>
      </c>
      <c r="O89" s="11"/>
      <c r="P89" s="7">
        <v>45.86</v>
      </c>
      <c r="Q89" s="2"/>
      <c r="R89" s="6">
        <f t="shared" si="34"/>
        <v>3.0151016091214635E-4</v>
      </c>
      <c r="S89" s="2"/>
      <c r="T89" s="7">
        <v>45.86</v>
      </c>
      <c r="U89" s="2"/>
      <c r="V89" s="6">
        <f t="shared" si="35"/>
        <v>3.1181872521080217E-4</v>
      </c>
      <c r="W89" s="2"/>
      <c r="X89" s="7">
        <f t="shared" si="36"/>
        <v>0</v>
      </c>
      <c r="Y89" s="2"/>
      <c r="Z89" s="6">
        <f t="shared" si="37"/>
        <v>0</v>
      </c>
    </row>
    <row r="90" spans="1:26" s="27" customFormat="1" outlineLevel="1" collapsed="1" x14ac:dyDescent="0.25">
      <c r="A90" s="28"/>
      <c r="B90" s="14" t="str">
        <f>CONCATENATE("     ","Bad Debts/Over/Short                              ")</f>
        <v xml:space="preserve">     Bad Debts/Over/Short                              </v>
      </c>
      <c r="C90" s="14"/>
      <c r="D90" s="1">
        <f>SUM(OSRRefD22_3x_0)</f>
        <v>-9.4499999999999993</v>
      </c>
      <c r="E90" s="1"/>
      <c r="F90" s="5">
        <f t="shared" si="30"/>
        <v>-7.0875586495478202E-5</v>
      </c>
      <c r="G90" s="1"/>
      <c r="H90" s="1">
        <f>SUM(OSRRefH22_3x_0)</f>
        <v>2.0299999999999998</v>
      </c>
      <c r="I90" s="1"/>
      <c r="J90" s="5">
        <f t="shared" si="31"/>
        <v>1.5728664879642397E-5</v>
      </c>
      <c r="K90" s="1"/>
      <c r="L90" s="1">
        <f t="shared" si="32"/>
        <v>-11.479999999999999</v>
      </c>
      <c r="M90" s="1"/>
      <c r="N90" s="5">
        <f t="shared" si="33"/>
        <v>-5.6551724137931032</v>
      </c>
      <c r="O90" s="14"/>
      <c r="P90" s="1">
        <f>SUM(OSRRefP22_3x_0)</f>
        <v>-9.07</v>
      </c>
      <c r="Q90" s="1"/>
      <c r="R90" s="5">
        <f t="shared" si="34"/>
        <v>-5.9631425195664355E-5</v>
      </c>
      <c r="S90" s="1"/>
      <c r="T90" s="1">
        <f>SUM(OSRRefT22_3x_0)</f>
        <v>-1.29</v>
      </c>
      <c r="U90" s="1"/>
      <c r="V90" s="5">
        <f t="shared" si="35"/>
        <v>-8.7711765268629493E-6</v>
      </c>
      <c r="W90" s="1"/>
      <c r="X90" s="1">
        <f t="shared" si="36"/>
        <v>-7.78</v>
      </c>
      <c r="Y90" s="1"/>
      <c r="Z90" s="5">
        <f t="shared" si="37"/>
        <v>6.0310077519379846</v>
      </c>
    </row>
    <row r="91" spans="1:26" s="24" customFormat="1" hidden="1" outlineLevel="2" x14ac:dyDescent="0.25">
      <c r="A91" s="29"/>
      <c r="B91" s="11" t="str">
        <f>CONCATENATE("          ", "6272", " - ", "CASH (OVER/SHORT)")</f>
        <v xml:space="preserve">          6272 - CASH (OVER/SHORT)</v>
      </c>
      <c r="C91" s="11"/>
      <c r="D91" s="7">
        <v>-9.4499999999999993</v>
      </c>
      <c r="E91" s="2"/>
      <c r="F91" s="6">
        <f t="shared" si="30"/>
        <v>-7.0875586495478202E-5</v>
      </c>
      <c r="G91" s="2"/>
      <c r="H91" s="7">
        <v>2.0299999999999998</v>
      </c>
      <c r="I91" s="2"/>
      <c r="J91" s="6">
        <f t="shared" si="31"/>
        <v>1.5728664879642397E-5</v>
      </c>
      <c r="K91" s="2"/>
      <c r="L91" s="7">
        <f t="shared" si="32"/>
        <v>-11.479999999999999</v>
      </c>
      <c r="M91" s="2"/>
      <c r="N91" s="6">
        <f t="shared" si="33"/>
        <v>-5.6551724137931032</v>
      </c>
      <c r="O91" s="11"/>
      <c r="P91" s="7">
        <v>-9.07</v>
      </c>
      <c r="Q91" s="2"/>
      <c r="R91" s="6">
        <f t="shared" si="34"/>
        <v>-5.9631425195664355E-5</v>
      </c>
      <c r="S91" s="2"/>
      <c r="T91" s="7">
        <v>-1.29</v>
      </c>
      <c r="U91" s="2"/>
      <c r="V91" s="6">
        <f t="shared" si="35"/>
        <v>-8.7711765268629493E-6</v>
      </c>
      <c r="W91" s="2"/>
      <c r="X91" s="7">
        <f t="shared" si="36"/>
        <v>-7.78</v>
      </c>
      <c r="Y91" s="2"/>
      <c r="Z91" s="6">
        <f t="shared" si="37"/>
        <v>6.0310077519379846</v>
      </c>
    </row>
    <row r="92" spans="1:26" s="27" customFormat="1" outlineLevel="1" collapsed="1" x14ac:dyDescent="0.25">
      <c r="A92" s="28"/>
      <c r="B92" s="14" t="str">
        <f>CONCATENATE("     ","Discounts and Markdowns                           ")</f>
        <v xml:space="preserve">     Discounts and Markdowns                           </v>
      </c>
      <c r="C92" s="14"/>
      <c r="D92" s="1">
        <f>SUM(OSRRefD22_4x_0)</f>
        <v>3215.8100000000004</v>
      </c>
      <c r="E92" s="1"/>
      <c r="F92" s="5">
        <f t="shared" si="30"/>
        <v>2.4118774582859662E-2</v>
      </c>
      <c r="G92" s="1"/>
      <c r="H92" s="1">
        <f>SUM(OSRRefH22_4x_0)</f>
        <v>4254.71</v>
      </c>
      <c r="I92" s="1"/>
      <c r="J92" s="5">
        <f t="shared" si="31"/>
        <v>3.296596440889818E-2</v>
      </c>
      <c r="K92" s="1"/>
      <c r="L92" s="1">
        <f t="shared" si="32"/>
        <v>-1038.8999999999996</v>
      </c>
      <c r="M92" s="1"/>
      <c r="N92" s="5">
        <f t="shared" si="33"/>
        <v>-0.24417645385936987</v>
      </c>
      <c r="O92" s="14"/>
      <c r="P92" s="1">
        <f>SUM(OSRRefP22_4x_0)</f>
        <v>5501.41</v>
      </c>
      <c r="Q92" s="1"/>
      <c r="R92" s="5">
        <f t="shared" si="34"/>
        <v>3.6169450814297663E-2</v>
      </c>
      <c r="S92" s="1"/>
      <c r="T92" s="1">
        <f>SUM(OSRRefT22_4x_0)</f>
        <v>6112.82</v>
      </c>
      <c r="U92" s="1"/>
      <c r="V92" s="5">
        <f t="shared" si="35"/>
        <v>4.1563273873595631E-2</v>
      </c>
      <c r="W92" s="1"/>
      <c r="X92" s="1">
        <f t="shared" si="36"/>
        <v>-611.40999999999985</v>
      </c>
      <c r="Y92" s="1"/>
      <c r="Z92" s="5">
        <f t="shared" si="37"/>
        <v>-0.1000209395990721</v>
      </c>
    </row>
    <row r="93" spans="1:26" s="24" customFormat="1" hidden="1" outlineLevel="2" x14ac:dyDescent="0.25">
      <c r="A93" s="29"/>
      <c r="B93" s="11" t="str">
        <f>CONCATENATE("          ", "6382", " - ", "DISCOUNTS/MARK DOWNS")</f>
        <v xml:space="preserve">          6382 - DISCOUNTS/MARK DOWNS</v>
      </c>
      <c r="C93" s="11"/>
      <c r="D93" s="7">
        <v>3329.05</v>
      </c>
      <c r="E93" s="2"/>
      <c r="F93" s="6">
        <f t="shared" si="30"/>
        <v>2.4968081610875319E-2</v>
      </c>
      <c r="G93" s="2"/>
      <c r="H93" s="7">
        <v>4254.71</v>
      </c>
      <c r="I93" s="2"/>
      <c r="J93" s="6">
        <f t="shared" si="31"/>
        <v>3.296596440889818E-2</v>
      </c>
      <c r="K93" s="2"/>
      <c r="L93" s="7">
        <f t="shared" si="32"/>
        <v>-925.65999999999985</v>
      </c>
      <c r="M93" s="2"/>
      <c r="N93" s="6">
        <f t="shared" si="33"/>
        <v>-0.21756124389206311</v>
      </c>
      <c r="O93" s="11"/>
      <c r="P93" s="7">
        <v>5614.65</v>
      </c>
      <c r="Q93" s="2"/>
      <c r="R93" s="6">
        <f t="shared" si="34"/>
        <v>3.6913956061172752E-2</v>
      </c>
      <c r="S93" s="2"/>
      <c r="T93" s="7">
        <v>6112.82</v>
      </c>
      <c r="U93" s="2"/>
      <c r="V93" s="6">
        <f t="shared" si="35"/>
        <v>4.1563273873595631E-2</v>
      </c>
      <c r="W93" s="2"/>
      <c r="X93" s="7">
        <f t="shared" si="36"/>
        <v>-498.17000000000007</v>
      </c>
      <c r="Y93" s="2"/>
      <c r="Z93" s="6">
        <f t="shared" si="37"/>
        <v>-8.1495938044961261E-2</v>
      </c>
    </row>
    <row r="94" spans="1:26" s="24" customFormat="1" hidden="1" outlineLevel="2" x14ac:dyDescent="0.25">
      <c r="A94" s="29"/>
      <c r="B94" s="11" t="str">
        <f>CONCATENATE("          ", "9175", " - ", "EARNED DISCOUNTS")</f>
        <v xml:space="preserve">          9175 - EARNED DISCOUNTS</v>
      </c>
      <c r="C94" s="11"/>
      <c r="D94" s="7">
        <v>-113.24</v>
      </c>
      <c r="E94" s="2"/>
      <c r="F94" s="6">
        <f t="shared" si="30"/>
        <v>-8.493070280156563E-4</v>
      </c>
      <c r="G94" s="2"/>
      <c r="H94" s="7"/>
      <c r="I94" s="2"/>
      <c r="J94" s="6">
        <f t="shared" si="31"/>
        <v>0</v>
      </c>
      <c r="K94" s="2"/>
      <c r="L94" s="7">
        <f t="shared" si="32"/>
        <v>-113.24</v>
      </c>
      <c r="M94" s="2"/>
      <c r="N94" s="6">
        <f t="shared" si="33"/>
        <v>0</v>
      </c>
      <c r="O94" s="11"/>
      <c r="P94" s="7">
        <v>-113.24</v>
      </c>
      <c r="Q94" s="2"/>
      <c r="R94" s="6">
        <f t="shared" si="34"/>
        <v>-7.4450524687508614E-4</v>
      </c>
      <c r="S94" s="2"/>
      <c r="T94" s="7"/>
      <c r="U94" s="2"/>
      <c r="V94" s="6">
        <f t="shared" si="35"/>
        <v>0</v>
      </c>
      <c r="W94" s="2"/>
      <c r="X94" s="7">
        <f t="shared" si="36"/>
        <v>-113.24</v>
      </c>
      <c r="Y94" s="2"/>
      <c r="Z94" s="6">
        <f t="shared" si="37"/>
        <v>0</v>
      </c>
    </row>
    <row r="95" spans="1:26" s="27" customFormat="1" outlineLevel="1" collapsed="1" x14ac:dyDescent="0.25">
      <c r="A95" s="28"/>
      <c r="B95" s="14" t="str">
        <f>CONCATENATE("     ","General                                           ")</f>
        <v xml:space="preserve">     General                                           </v>
      </c>
      <c r="C95" s="14"/>
      <c r="D95" s="1">
        <f>SUM(OSRRefD22_5x_0)</f>
        <v>0</v>
      </c>
      <c r="E95" s="1"/>
      <c r="F95" s="5">
        <f t="shared" ref="F95:F103" si="38">IF(D$12=0,0,D95/D$12)</f>
        <v>0</v>
      </c>
      <c r="G95" s="1"/>
      <c r="H95" s="1">
        <f>SUM(OSRRefH22_5x_0)</f>
        <v>0</v>
      </c>
      <c r="I95" s="1"/>
      <c r="J95" s="5">
        <f t="shared" ref="J95:J103" si="39">IF(H$12=0,0,H95/H$12)</f>
        <v>0</v>
      </c>
      <c r="K95" s="1"/>
      <c r="L95" s="1">
        <f t="shared" ref="L95:L103" si="40">+D95-H95</f>
        <v>0</v>
      </c>
      <c r="M95" s="1"/>
      <c r="N95" s="5">
        <f t="shared" ref="N95:N103" si="41">IF(H95=0,0,L95/H95)</f>
        <v>0</v>
      </c>
      <c r="O95" s="14"/>
      <c r="P95" s="1">
        <f>SUM(OSRRefP22_5x_0)</f>
        <v>694.55</v>
      </c>
      <c r="Q95" s="1"/>
      <c r="R95" s="5">
        <f t="shared" ref="R95:R103" si="42">IF(P$12=0,0,P95/P$12)</f>
        <v>4.5663733593879468E-3</v>
      </c>
      <c r="S95" s="1"/>
      <c r="T95" s="1">
        <f>SUM(OSRRefT22_5x_0)</f>
        <v>669.2</v>
      </c>
      <c r="U95" s="1"/>
      <c r="V95" s="5">
        <f t="shared" ref="V95:V103" si="43">IF(T$12=0,0,T95/T$12)</f>
        <v>4.550132815330764E-3</v>
      </c>
      <c r="W95" s="1"/>
      <c r="X95" s="1">
        <f t="shared" ref="X95:X103" si="44">+P95-T95</f>
        <v>25.349999999999909</v>
      </c>
      <c r="Y95" s="1"/>
      <c r="Z95" s="5">
        <f t="shared" ref="Z95:Z103" si="45">IF(T95=0,0,X95/T95)</f>
        <v>3.7881052002390773E-2</v>
      </c>
    </row>
    <row r="96" spans="1:26" s="24" customFormat="1" hidden="1" outlineLevel="2" x14ac:dyDescent="0.25">
      <c r="A96" s="29"/>
      <c r="B96" s="11" t="str">
        <f>CONCATENATE("          ", "6279", " - ", "GENERAL EXPENSE")</f>
        <v xml:space="preserve">          6279 - GENERAL EXPENSE</v>
      </c>
      <c r="C96" s="11"/>
      <c r="D96" s="7"/>
      <c r="E96" s="2"/>
      <c r="F96" s="6">
        <f t="shared" si="38"/>
        <v>0</v>
      </c>
      <c r="G96" s="2"/>
      <c r="H96" s="7"/>
      <c r="I96" s="2"/>
      <c r="J96" s="6">
        <f t="shared" si="39"/>
        <v>0</v>
      </c>
      <c r="K96" s="2"/>
      <c r="L96" s="7">
        <f t="shared" si="40"/>
        <v>0</v>
      </c>
      <c r="M96" s="2"/>
      <c r="N96" s="6">
        <f t="shared" si="41"/>
        <v>0</v>
      </c>
      <c r="O96" s="11"/>
      <c r="P96" s="7">
        <v>694.55</v>
      </c>
      <c r="Q96" s="2"/>
      <c r="R96" s="6">
        <f t="shared" si="42"/>
        <v>4.5663733593879468E-3</v>
      </c>
      <c r="S96" s="2"/>
      <c r="T96" s="7">
        <v>669.2</v>
      </c>
      <c r="U96" s="2"/>
      <c r="V96" s="6">
        <f t="shared" si="43"/>
        <v>4.550132815330764E-3</v>
      </c>
      <c r="W96" s="2"/>
      <c r="X96" s="7">
        <f t="shared" si="44"/>
        <v>25.349999999999909</v>
      </c>
      <c r="Y96" s="2"/>
      <c r="Z96" s="6">
        <f t="shared" si="45"/>
        <v>3.7881052002390773E-2</v>
      </c>
    </row>
    <row r="97" spans="1:26" s="27" customFormat="1" outlineLevel="1" collapsed="1" x14ac:dyDescent="0.25">
      <c r="A97" s="28"/>
      <c r="B97" s="14" t="str">
        <f>CONCATENATE("     ","Inventory Adjustment                              ")</f>
        <v xml:space="preserve">     Inventory Adjustment                              </v>
      </c>
      <c r="C97" s="14"/>
      <c r="D97" s="1">
        <f>SUM(OSRRefD22_6x_0)</f>
        <v>0</v>
      </c>
      <c r="E97" s="1"/>
      <c r="F97" s="5">
        <f t="shared" si="38"/>
        <v>0</v>
      </c>
      <c r="G97" s="1"/>
      <c r="H97" s="1">
        <f>SUM(OSRRefH22_6x_0)</f>
        <v>400</v>
      </c>
      <c r="I97" s="1"/>
      <c r="J97" s="5">
        <f t="shared" si="39"/>
        <v>3.0992443112595859E-3</v>
      </c>
      <c r="K97" s="1"/>
      <c r="L97" s="1">
        <f t="shared" si="40"/>
        <v>-400</v>
      </c>
      <c r="M97" s="1"/>
      <c r="N97" s="5">
        <f t="shared" si="41"/>
        <v>-1</v>
      </c>
      <c r="O97" s="14"/>
      <c r="P97" s="1">
        <f>SUM(OSRRefP22_6x_0)</f>
        <v>0</v>
      </c>
      <c r="Q97" s="1"/>
      <c r="R97" s="5">
        <f t="shared" si="42"/>
        <v>0</v>
      </c>
      <c r="S97" s="1"/>
      <c r="T97" s="1">
        <f>SUM(OSRRefT22_6x_0)</f>
        <v>800</v>
      </c>
      <c r="U97" s="1"/>
      <c r="V97" s="5">
        <f t="shared" si="43"/>
        <v>5.439489318984774E-3</v>
      </c>
      <c r="W97" s="1"/>
      <c r="X97" s="1">
        <f t="shared" si="44"/>
        <v>-800</v>
      </c>
      <c r="Y97" s="1"/>
      <c r="Z97" s="5">
        <f t="shared" si="45"/>
        <v>-1</v>
      </c>
    </row>
    <row r="98" spans="1:26" s="24" customFormat="1" hidden="1" outlineLevel="2" x14ac:dyDescent="0.25">
      <c r="A98" s="29"/>
      <c r="B98" s="11" t="str">
        <f>CONCATENATE("          ", "6408", " - ", "INVENTORY ADJUSTMENT")</f>
        <v xml:space="preserve">          6408 - INVENTORY ADJUSTMENT</v>
      </c>
      <c r="C98" s="11"/>
      <c r="D98" s="7"/>
      <c r="E98" s="2"/>
      <c r="F98" s="6">
        <f t="shared" si="38"/>
        <v>0</v>
      </c>
      <c r="G98" s="2"/>
      <c r="H98" s="7">
        <v>400</v>
      </c>
      <c r="I98" s="2"/>
      <c r="J98" s="6">
        <f t="shared" si="39"/>
        <v>3.0992443112595859E-3</v>
      </c>
      <c r="K98" s="2"/>
      <c r="L98" s="7">
        <f t="shared" si="40"/>
        <v>-400</v>
      </c>
      <c r="M98" s="2"/>
      <c r="N98" s="6">
        <f t="shared" si="41"/>
        <v>-1</v>
      </c>
      <c r="O98" s="11"/>
      <c r="P98" s="7"/>
      <c r="Q98" s="2"/>
      <c r="R98" s="6">
        <f t="shared" si="42"/>
        <v>0</v>
      </c>
      <c r="S98" s="2"/>
      <c r="T98" s="7">
        <v>800</v>
      </c>
      <c r="U98" s="2"/>
      <c r="V98" s="6">
        <f t="shared" si="43"/>
        <v>5.439489318984774E-3</v>
      </c>
      <c r="W98" s="2"/>
      <c r="X98" s="7">
        <f t="shared" si="44"/>
        <v>-800</v>
      </c>
      <c r="Y98" s="2"/>
      <c r="Z98" s="6">
        <f t="shared" si="45"/>
        <v>-1</v>
      </c>
    </row>
    <row r="99" spans="1:26" s="27" customFormat="1" outlineLevel="1" collapsed="1" x14ac:dyDescent="0.25">
      <c r="A99" s="28"/>
      <c r="B99" s="14" t="str">
        <f>CONCATENATE("     ","Professional Services                             ")</f>
        <v xml:space="preserve">     Professional Services                             </v>
      </c>
      <c r="C99" s="14"/>
      <c r="D99" s="1">
        <f>SUM(OSRRefD22_7x_0)</f>
        <v>0</v>
      </c>
      <c r="E99" s="1"/>
      <c r="F99" s="5">
        <f t="shared" si="38"/>
        <v>0</v>
      </c>
      <c r="G99" s="1"/>
      <c r="H99" s="1">
        <f>SUM(OSRRefH22_7x_0)</f>
        <v>0</v>
      </c>
      <c r="I99" s="1"/>
      <c r="J99" s="5">
        <f t="shared" si="39"/>
        <v>0</v>
      </c>
      <c r="K99" s="1"/>
      <c r="L99" s="1">
        <f t="shared" si="40"/>
        <v>0</v>
      </c>
      <c r="M99" s="1"/>
      <c r="N99" s="5">
        <f t="shared" si="41"/>
        <v>0</v>
      </c>
      <c r="O99" s="14"/>
      <c r="P99" s="1">
        <f>SUM(OSRRefP22_7x_0)</f>
        <v>750</v>
      </c>
      <c r="Q99" s="1"/>
      <c r="R99" s="5">
        <f t="shared" si="42"/>
        <v>4.9309337262125981E-3</v>
      </c>
      <c r="S99" s="1"/>
      <c r="T99" s="1">
        <f>SUM(OSRRefT22_7x_0)</f>
        <v>750</v>
      </c>
      <c r="U99" s="1"/>
      <c r="V99" s="5">
        <f t="shared" si="43"/>
        <v>5.0995212365482255E-3</v>
      </c>
      <c r="W99" s="1"/>
      <c r="X99" s="1">
        <f t="shared" si="44"/>
        <v>0</v>
      </c>
      <c r="Y99" s="1"/>
      <c r="Z99" s="5">
        <f t="shared" si="45"/>
        <v>0</v>
      </c>
    </row>
    <row r="100" spans="1:26" s="24" customFormat="1" hidden="1" outlineLevel="2" x14ac:dyDescent="0.25">
      <c r="A100" s="29"/>
      <c r="B100" s="11" t="str">
        <f>CONCATENATE("          ", "6336", " - ", "PROFESSIONAL SERVICES")</f>
        <v xml:space="preserve">          6336 - PROFESSIONAL SERVICES</v>
      </c>
      <c r="C100" s="11"/>
      <c r="D100" s="7"/>
      <c r="E100" s="2"/>
      <c r="F100" s="6">
        <f t="shared" si="38"/>
        <v>0</v>
      </c>
      <c r="G100" s="2"/>
      <c r="H100" s="7"/>
      <c r="I100" s="2"/>
      <c r="J100" s="6">
        <f t="shared" si="39"/>
        <v>0</v>
      </c>
      <c r="K100" s="2"/>
      <c r="L100" s="7">
        <f t="shared" si="40"/>
        <v>0</v>
      </c>
      <c r="M100" s="2"/>
      <c r="N100" s="6">
        <f t="shared" si="41"/>
        <v>0</v>
      </c>
      <c r="O100" s="11"/>
      <c r="P100" s="7">
        <v>750</v>
      </c>
      <c r="Q100" s="2"/>
      <c r="R100" s="6">
        <f t="shared" si="42"/>
        <v>4.9309337262125981E-3</v>
      </c>
      <c r="S100" s="2"/>
      <c r="T100" s="7">
        <v>750</v>
      </c>
      <c r="U100" s="2"/>
      <c r="V100" s="6">
        <f t="shared" si="43"/>
        <v>5.0995212365482255E-3</v>
      </c>
      <c r="W100" s="2"/>
      <c r="X100" s="7">
        <f t="shared" si="44"/>
        <v>0</v>
      </c>
      <c r="Y100" s="2"/>
      <c r="Z100" s="6">
        <f t="shared" si="45"/>
        <v>0</v>
      </c>
    </row>
    <row r="101" spans="1:26" s="27" customFormat="1" outlineLevel="1" collapsed="1" x14ac:dyDescent="0.25">
      <c r="A101" s="28"/>
      <c r="B101" s="14" t="str">
        <f>CONCATENATE("     ","Services                                          ")</f>
        <v xml:space="preserve">     Services                                          </v>
      </c>
      <c r="C101" s="14"/>
      <c r="D101" s="1">
        <f>SUM(OSRRefD22_8x_0)</f>
        <v>255.18</v>
      </c>
      <c r="E101" s="1"/>
      <c r="F101" s="5">
        <f t="shared" si="38"/>
        <v>1.9138658372398023E-3</v>
      </c>
      <c r="G101" s="1"/>
      <c r="H101" s="1">
        <f>SUM(OSRRefH22_8x_0)</f>
        <v>196.7</v>
      </c>
      <c r="I101" s="1"/>
      <c r="J101" s="5">
        <f t="shared" si="39"/>
        <v>1.5240533900619012E-3</v>
      </c>
      <c r="K101" s="1"/>
      <c r="L101" s="1">
        <f t="shared" si="40"/>
        <v>58.480000000000018</v>
      </c>
      <c r="M101" s="1"/>
      <c r="N101" s="5">
        <f t="shared" si="41"/>
        <v>0.2973055414336554</v>
      </c>
      <c r="O101" s="14"/>
      <c r="P101" s="1">
        <f>SUM(OSRRefP22_8x_0)</f>
        <v>462.85</v>
      </c>
      <c r="Q101" s="1"/>
      <c r="R101" s="5">
        <f t="shared" si="42"/>
        <v>3.0430435669033351E-3</v>
      </c>
      <c r="S101" s="1"/>
      <c r="T101" s="1">
        <f>SUM(OSRRefT22_8x_0)</f>
        <v>431.3</v>
      </c>
      <c r="U101" s="1"/>
      <c r="V101" s="5">
        <f t="shared" si="43"/>
        <v>2.9325646790976665E-3</v>
      </c>
      <c r="W101" s="1"/>
      <c r="X101" s="1">
        <f t="shared" si="44"/>
        <v>31.550000000000011</v>
      </c>
      <c r="Y101" s="1"/>
      <c r="Z101" s="5">
        <f t="shared" si="45"/>
        <v>7.3150939021562736E-2</v>
      </c>
    </row>
    <row r="102" spans="1:26" s="24" customFormat="1" hidden="1" outlineLevel="2" x14ac:dyDescent="0.25">
      <c r="A102" s="29"/>
      <c r="B102" s="11" t="str">
        <f>CONCATENATE("          ", "6282", " - ", "JANITORIAL/EXTERMINATOR EXPENS")</f>
        <v xml:space="preserve">          6282 - JANITORIAL/EXTERMINATOR EXPENS</v>
      </c>
      <c r="C102" s="11"/>
      <c r="D102" s="7">
        <v>44</v>
      </c>
      <c r="E102" s="2"/>
      <c r="F102" s="6">
        <f t="shared" si="38"/>
        <v>3.3000273077259698E-4</v>
      </c>
      <c r="G102" s="2"/>
      <c r="H102" s="7"/>
      <c r="I102" s="2"/>
      <c r="J102" s="6">
        <f t="shared" si="39"/>
        <v>0</v>
      </c>
      <c r="K102" s="2"/>
      <c r="L102" s="7">
        <f t="shared" si="40"/>
        <v>44</v>
      </c>
      <c r="M102" s="2"/>
      <c r="N102" s="6">
        <f t="shared" si="41"/>
        <v>0</v>
      </c>
      <c r="O102" s="11"/>
      <c r="P102" s="7">
        <v>88</v>
      </c>
      <c r="Q102" s="2"/>
      <c r="R102" s="6">
        <f t="shared" si="42"/>
        <v>5.7856289054227818E-4</v>
      </c>
      <c r="S102" s="2"/>
      <c r="T102" s="7">
        <v>41.5</v>
      </c>
      <c r="U102" s="2"/>
      <c r="V102" s="6">
        <f t="shared" si="43"/>
        <v>2.8217350842233514E-4</v>
      </c>
      <c r="W102" s="2"/>
      <c r="X102" s="7">
        <f t="shared" si="44"/>
        <v>46.5</v>
      </c>
      <c r="Y102" s="2"/>
      <c r="Z102" s="6">
        <f t="shared" si="45"/>
        <v>1.1204819277108433</v>
      </c>
    </row>
    <row r="103" spans="1:26" s="24" customFormat="1" hidden="1" outlineLevel="2" x14ac:dyDescent="0.25">
      <c r="A103" s="29"/>
      <c r="B103" s="11" t="str">
        <f>CONCATENATE("          ", "6285", " - ", "JANITORIAL SERVICES")</f>
        <v xml:space="preserve">          6285 - JANITORIAL SERVICES</v>
      </c>
      <c r="C103" s="11"/>
      <c r="D103" s="7">
        <v>211.18</v>
      </c>
      <c r="E103" s="2"/>
      <c r="F103" s="6">
        <f t="shared" si="38"/>
        <v>1.5838631064672053E-3</v>
      </c>
      <c r="G103" s="2"/>
      <c r="H103" s="7">
        <v>196.7</v>
      </c>
      <c r="I103" s="2"/>
      <c r="J103" s="6">
        <f t="shared" si="39"/>
        <v>1.5240533900619012E-3</v>
      </c>
      <c r="K103" s="2"/>
      <c r="L103" s="7">
        <f t="shared" si="40"/>
        <v>14.480000000000018</v>
      </c>
      <c r="M103" s="2"/>
      <c r="N103" s="6">
        <f t="shared" si="41"/>
        <v>7.3614641586171939E-2</v>
      </c>
      <c r="O103" s="11"/>
      <c r="P103" s="7">
        <v>374.85</v>
      </c>
      <c r="Q103" s="2"/>
      <c r="R103" s="6">
        <f t="shared" si="42"/>
        <v>2.4644806763610568E-3</v>
      </c>
      <c r="S103" s="2"/>
      <c r="T103" s="7">
        <v>389.8</v>
      </c>
      <c r="U103" s="2"/>
      <c r="V103" s="6">
        <f t="shared" si="43"/>
        <v>2.6503911706753313E-3</v>
      </c>
      <c r="W103" s="2"/>
      <c r="X103" s="7">
        <f t="shared" si="44"/>
        <v>-14.949999999999989</v>
      </c>
      <c r="Y103" s="2"/>
      <c r="Z103" s="6">
        <f t="shared" si="45"/>
        <v>-3.8353001539250871E-2</v>
      </c>
    </row>
    <row r="104" spans="1:26" s="27" customFormat="1" outlineLevel="1" collapsed="1" x14ac:dyDescent="0.25">
      <c r="A104" s="28"/>
      <c r="B104" s="14" t="str">
        <f>CONCATENATE("     ","Subscriptions &amp; Dues                              ")</f>
        <v xml:space="preserve">     Subscriptions &amp; Dues                              </v>
      </c>
      <c r="C104" s="14"/>
      <c r="D104" s="1">
        <f>SUM(OSRRefD22_9x_0)</f>
        <v>120</v>
      </c>
      <c r="E104" s="1"/>
      <c r="F104" s="5">
        <f t="shared" ref="F104:F108" si="46">IF(D$12=0,0,D104/D$12)</f>
        <v>9.0000744756162814E-4</v>
      </c>
      <c r="G104" s="1"/>
      <c r="H104" s="1">
        <f>SUM(OSRRefH22_9x_0)</f>
        <v>0</v>
      </c>
      <c r="I104" s="1"/>
      <c r="J104" s="5">
        <f t="shared" ref="J104:J108" si="47">IF(H$12=0,0,H104/H$12)</f>
        <v>0</v>
      </c>
      <c r="K104" s="1"/>
      <c r="L104" s="1">
        <f t="shared" ref="L104:L108" si="48">+D104-H104</f>
        <v>120</v>
      </c>
      <c r="M104" s="1"/>
      <c r="N104" s="5">
        <f t="shared" ref="N104:N108" si="49">IF(H104=0,0,L104/H104)</f>
        <v>0</v>
      </c>
      <c r="O104" s="14"/>
      <c r="P104" s="1">
        <f>SUM(OSRRefP22_9x_0)</f>
        <v>120</v>
      </c>
      <c r="Q104" s="1"/>
      <c r="R104" s="5">
        <f t="shared" ref="R104:R108" si="50">IF(P$12=0,0,P104/P$12)</f>
        <v>7.8894939619401569E-4</v>
      </c>
      <c r="S104" s="1"/>
      <c r="T104" s="1">
        <f>SUM(OSRRefT22_9x_0)</f>
        <v>0</v>
      </c>
      <c r="U104" s="1"/>
      <c r="V104" s="5">
        <f t="shared" ref="V104:V108" si="51">IF(T$12=0,0,T104/T$12)</f>
        <v>0</v>
      </c>
      <c r="W104" s="1"/>
      <c r="X104" s="1">
        <f t="shared" ref="X104:X108" si="52">+P104-T104</f>
        <v>120</v>
      </c>
      <c r="Y104" s="1"/>
      <c r="Z104" s="5">
        <f t="shared" ref="Z104:Z108" si="53">IF(T104=0,0,X104/T104)</f>
        <v>0</v>
      </c>
    </row>
    <row r="105" spans="1:26" s="24" customFormat="1" hidden="1" outlineLevel="2" x14ac:dyDescent="0.25">
      <c r="A105" s="29"/>
      <c r="B105" s="11" t="str">
        <f>CONCATENATE("          ", "6258", " - ", "MEMBERSHIP DUES")</f>
        <v xml:space="preserve">          6258 - MEMBERSHIP DUES</v>
      </c>
      <c r="C105" s="11"/>
      <c r="D105" s="7">
        <v>120</v>
      </c>
      <c r="E105" s="2"/>
      <c r="F105" s="6">
        <f t="shared" si="46"/>
        <v>9.0000744756162814E-4</v>
      </c>
      <c r="G105" s="2"/>
      <c r="H105" s="7"/>
      <c r="I105" s="2"/>
      <c r="J105" s="6">
        <f t="shared" si="47"/>
        <v>0</v>
      </c>
      <c r="K105" s="2"/>
      <c r="L105" s="7">
        <f t="shared" si="48"/>
        <v>120</v>
      </c>
      <c r="M105" s="2"/>
      <c r="N105" s="6">
        <f t="shared" si="49"/>
        <v>0</v>
      </c>
      <c r="O105" s="11"/>
      <c r="P105" s="7">
        <v>120</v>
      </c>
      <c r="Q105" s="2"/>
      <c r="R105" s="6">
        <f t="shared" si="50"/>
        <v>7.8894939619401569E-4</v>
      </c>
      <c r="S105" s="2"/>
      <c r="T105" s="7"/>
      <c r="U105" s="2"/>
      <c r="V105" s="6">
        <f t="shared" si="51"/>
        <v>0</v>
      </c>
      <c r="W105" s="2"/>
      <c r="X105" s="7">
        <f t="shared" si="52"/>
        <v>120</v>
      </c>
      <c r="Y105" s="2"/>
      <c r="Z105" s="6">
        <f t="shared" si="53"/>
        <v>0</v>
      </c>
    </row>
    <row r="106" spans="1:26" s="27" customFormat="1" outlineLevel="1" collapsed="1" x14ac:dyDescent="0.25">
      <c r="A106" s="28"/>
      <c r="B106" s="14" t="str">
        <f>CONCATENATE("     ","Supplies                                          ")</f>
        <v xml:space="preserve">     Supplies                                          </v>
      </c>
      <c r="C106" s="14"/>
      <c r="D106" s="1">
        <f>SUM(OSRRefD22_10x_0)</f>
        <v>52.29</v>
      </c>
      <c r="E106" s="1"/>
      <c r="F106" s="5">
        <f t="shared" si="46"/>
        <v>3.9217824527497944E-4</v>
      </c>
      <c r="G106" s="1"/>
      <c r="H106" s="1">
        <f>SUM(OSRRefH22_10x_0)</f>
        <v>399.23999999999995</v>
      </c>
      <c r="I106" s="1"/>
      <c r="J106" s="5">
        <f t="shared" si="47"/>
        <v>3.0933557470681924E-3</v>
      </c>
      <c r="K106" s="1"/>
      <c r="L106" s="1">
        <f t="shared" si="48"/>
        <v>-346.94999999999993</v>
      </c>
      <c r="M106" s="1"/>
      <c r="N106" s="5">
        <f t="shared" si="49"/>
        <v>-0.86902614968440028</v>
      </c>
      <c r="O106" s="14"/>
      <c r="P106" s="1">
        <f>SUM(OSRRefP22_10x_0)</f>
        <v>213.42</v>
      </c>
      <c r="Q106" s="1"/>
      <c r="R106" s="5">
        <f t="shared" si="50"/>
        <v>1.4031465011310569E-3</v>
      </c>
      <c r="S106" s="1"/>
      <c r="T106" s="1">
        <f>SUM(OSRRefT22_10x_0)</f>
        <v>432.84999999999997</v>
      </c>
      <c r="U106" s="1"/>
      <c r="V106" s="5">
        <f t="shared" si="51"/>
        <v>2.943103689653199E-3</v>
      </c>
      <c r="W106" s="1"/>
      <c r="X106" s="1">
        <f t="shared" si="52"/>
        <v>-219.42999999999998</v>
      </c>
      <c r="Y106" s="1"/>
      <c r="Z106" s="5">
        <f t="shared" si="53"/>
        <v>-0.50694235878479843</v>
      </c>
    </row>
    <row r="107" spans="1:26" s="24" customFormat="1" hidden="1" outlineLevel="2" x14ac:dyDescent="0.25">
      <c r="A107" s="29"/>
      <c r="B107" s="11" t="str">
        <f>CONCATENATE("          ", "6241", " - ", "OFFICE EXPENSE")</f>
        <v xml:space="preserve">          6241 - OFFICE EXPENSE</v>
      </c>
      <c r="C107" s="11"/>
      <c r="D107" s="7">
        <v>52.29</v>
      </c>
      <c r="E107" s="2"/>
      <c r="F107" s="6">
        <f t="shared" si="46"/>
        <v>3.9217824527497944E-4</v>
      </c>
      <c r="G107" s="2"/>
      <c r="H107" s="7">
        <v>395.71</v>
      </c>
      <c r="I107" s="2"/>
      <c r="J107" s="6">
        <f t="shared" si="47"/>
        <v>3.0660049160213267E-3</v>
      </c>
      <c r="K107" s="2"/>
      <c r="L107" s="7">
        <f t="shared" si="48"/>
        <v>-343.41999999999996</v>
      </c>
      <c r="M107" s="2"/>
      <c r="N107" s="6">
        <f t="shared" si="49"/>
        <v>-0.86785777463293823</v>
      </c>
      <c r="O107" s="11"/>
      <c r="P107" s="7">
        <v>213.42</v>
      </c>
      <c r="Q107" s="2"/>
      <c r="R107" s="6">
        <f t="shared" si="50"/>
        <v>1.4031465011310569E-3</v>
      </c>
      <c r="S107" s="2"/>
      <c r="T107" s="7">
        <v>429.32</v>
      </c>
      <c r="U107" s="2"/>
      <c r="V107" s="6">
        <f t="shared" si="51"/>
        <v>2.9191019430331788E-3</v>
      </c>
      <c r="W107" s="2"/>
      <c r="X107" s="7">
        <f t="shared" si="52"/>
        <v>-215.9</v>
      </c>
      <c r="Y107" s="2"/>
      <c r="Z107" s="6">
        <f t="shared" si="53"/>
        <v>-0.50288828845616329</v>
      </c>
    </row>
    <row r="108" spans="1:26" s="24" customFormat="1" hidden="1" outlineLevel="2" x14ac:dyDescent="0.25">
      <c r="A108" s="29"/>
      <c r="B108" s="11" t="str">
        <f>CONCATENATE("          ", "6245", " - ", "PRINTING")</f>
        <v xml:space="preserve">          6245 - PRINTING</v>
      </c>
      <c r="C108" s="11"/>
      <c r="D108" s="7"/>
      <c r="E108" s="2"/>
      <c r="F108" s="6">
        <f t="shared" si="46"/>
        <v>0</v>
      </c>
      <c r="G108" s="2"/>
      <c r="H108" s="7">
        <v>3.53</v>
      </c>
      <c r="I108" s="2"/>
      <c r="J108" s="6">
        <f t="shared" si="47"/>
        <v>2.7350831046865846E-5</v>
      </c>
      <c r="K108" s="2"/>
      <c r="L108" s="7">
        <f t="shared" si="48"/>
        <v>-3.53</v>
      </c>
      <c r="M108" s="2"/>
      <c r="N108" s="6">
        <f t="shared" si="49"/>
        <v>-1</v>
      </c>
      <c r="O108" s="11"/>
      <c r="P108" s="7"/>
      <c r="Q108" s="2"/>
      <c r="R108" s="6">
        <f t="shared" si="50"/>
        <v>0</v>
      </c>
      <c r="S108" s="2"/>
      <c r="T108" s="7">
        <v>3.53</v>
      </c>
      <c r="U108" s="2"/>
      <c r="V108" s="6">
        <f t="shared" si="51"/>
        <v>2.4001746620020315E-5</v>
      </c>
      <c r="W108" s="2"/>
      <c r="X108" s="7">
        <f t="shared" si="52"/>
        <v>-3.53</v>
      </c>
      <c r="Y108" s="2"/>
      <c r="Z108" s="6">
        <f t="shared" si="53"/>
        <v>-1</v>
      </c>
    </row>
    <row r="109" spans="1:26" s="27" customFormat="1" outlineLevel="1" collapsed="1" x14ac:dyDescent="0.25">
      <c r="A109" s="28"/>
      <c r="B109" s="14" t="str">
        <f>CONCATENATE("     ","Telephone/Data Lines                              ")</f>
        <v xml:space="preserve">     Telephone/Data Lines                              </v>
      </c>
      <c r="C109" s="14"/>
      <c r="D109" s="1">
        <f>SUM(OSRRefD22_11x_0)</f>
        <v>103.5</v>
      </c>
      <c r="E109" s="1"/>
      <c r="F109" s="5">
        <f t="shared" ref="F109:F110" si="54">IF(D$12=0,0,D109/D$12)</f>
        <v>7.762564235219042E-4</v>
      </c>
      <c r="G109" s="1"/>
      <c r="H109" s="1">
        <f>SUM(OSRRefH22_11x_0)</f>
        <v>143.35</v>
      </c>
      <c r="I109" s="1"/>
      <c r="J109" s="5">
        <f t="shared" ref="J109:J110" si="55">IF(H$12=0,0,H109/H$12)</f>
        <v>1.1106916800476541E-3</v>
      </c>
      <c r="K109" s="1"/>
      <c r="L109" s="1">
        <f t="shared" ref="L109:L110" si="56">+D109-H109</f>
        <v>-39.849999999999994</v>
      </c>
      <c r="M109" s="1"/>
      <c r="N109" s="5">
        <f t="shared" ref="N109:N110" si="57">IF(H109=0,0,L109/H109)</f>
        <v>-0.27799093128705959</v>
      </c>
      <c r="O109" s="14"/>
      <c r="P109" s="1">
        <f>SUM(OSRRefP22_11x_0)</f>
        <v>177.5</v>
      </c>
      <c r="Q109" s="1"/>
      <c r="R109" s="5">
        <f t="shared" ref="R109:R110" si="58">IF(P$12=0,0,P109/P$12)</f>
        <v>1.1669876485369817E-3</v>
      </c>
      <c r="S109" s="1"/>
      <c r="T109" s="1">
        <f>SUM(OSRRefT22_11x_0)</f>
        <v>228.35</v>
      </c>
      <c r="U109" s="1"/>
      <c r="V109" s="5">
        <f t="shared" ref="V109:V110" si="59">IF(T$12=0,0,T109/T$12)</f>
        <v>1.5526342324877164E-3</v>
      </c>
      <c r="W109" s="1"/>
      <c r="X109" s="1">
        <f t="shared" ref="X109:X110" si="60">+P109-T109</f>
        <v>-50.849999999999994</v>
      </c>
      <c r="Y109" s="1"/>
      <c r="Z109" s="5">
        <f t="shared" ref="Z109:Z110" si="61">IF(T109=0,0,X109/T109)</f>
        <v>-0.22268447558572366</v>
      </c>
    </row>
    <row r="110" spans="1:26" s="24" customFormat="1" hidden="1" outlineLevel="2" x14ac:dyDescent="0.25">
      <c r="A110" s="29"/>
      <c r="B110" s="11" t="str">
        <f>CONCATENATE("          ", "6309", " - ", "TELEPHONE")</f>
        <v xml:space="preserve">          6309 - TELEPHONE</v>
      </c>
      <c r="C110" s="11"/>
      <c r="D110" s="7">
        <v>103.5</v>
      </c>
      <c r="E110" s="2"/>
      <c r="F110" s="6">
        <f t="shared" si="54"/>
        <v>7.762564235219042E-4</v>
      </c>
      <c r="G110" s="2"/>
      <c r="H110" s="7">
        <v>143.35</v>
      </c>
      <c r="I110" s="2"/>
      <c r="J110" s="6">
        <f t="shared" si="55"/>
        <v>1.1106916800476541E-3</v>
      </c>
      <c r="K110" s="2"/>
      <c r="L110" s="7">
        <f t="shared" si="56"/>
        <v>-39.849999999999994</v>
      </c>
      <c r="M110" s="2"/>
      <c r="N110" s="6">
        <f t="shared" si="57"/>
        <v>-0.27799093128705959</v>
      </c>
      <c r="O110" s="11"/>
      <c r="P110" s="7">
        <v>177.5</v>
      </c>
      <c r="Q110" s="2"/>
      <c r="R110" s="6">
        <f t="shared" si="58"/>
        <v>1.1669876485369817E-3</v>
      </c>
      <c r="S110" s="2"/>
      <c r="T110" s="7">
        <v>228.35</v>
      </c>
      <c r="U110" s="2"/>
      <c r="V110" s="6">
        <f t="shared" si="59"/>
        <v>1.5526342324877164E-3</v>
      </c>
      <c r="W110" s="2"/>
      <c r="X110" s="7">
        <f t="shared" si="60"/>
        <v>-50.849999999999994</v>
      </c>
      <c r="Y110" s="2"/>
      <c r="Z110" s="6">
        <f t="shared" si="61"/>
        <v>-0.22268447558572366</v>
      </c>
    </row>
    <row r="111" spans="1:26" s="62" customFormat="1" x14ac:dyDescent="0.25">
      <c r="A111" s="37"/>
      <c r="B111" s="37"/>
      <c r="C111" s="37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7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x14ac:dyDescent="0.25">
      <c r="A112" s="10"/>
      <c r="B112" s="25" t="s">
        <v>0</v>
      </c>
      <c r="C112" s="10"/>
      <c r="D112" s="4">
        <f>SUM(0)</f>
        <v>0</v>
      </c>
      <c r="E112" s="4"/>
      <c r="F112" s="12">
        <f>IF(D$12=0,0,D112/D$12)</f>
        <v>0</v>
      </c>
      <c r="G112" s="4"/>
      <c r="H112" s="4">
        <f>SUM(0)</f>
        <v>0</v>
      </c>
      <c r="I112" s="4"/>
      <c r="J112" s="12">
        <f>IF(H$12=0,0,H112/H$12)</f>
        <v>0</v>
      </c>
      <c r="K112" s="4"/>
      <c r="L112" s="4">
        <f>+D112-H112</f>
        <v>0</v>
      </c>
      <c r="M112" s="4"/>
      <c r="N112" s="12">
        <f>IF(H112=0,0,L112/H112)</f>
        <v>0</v>
      </c>
      <c r="O112" s="10"/>
      <c r="P112" s="4">
        <f>SUM(0)</f>
        <v>0</v>
      </c>
      <c r="Q112" s="4"/>
      <c r="R112" s="12">
        <f>IF(P$12=0,0,P112/P$12)</f>
        <v>0</v>
      </c>
      <c r="S112" s="4"/>
      <c r="T112" s="4">
        <f>SUM(0)</f>
        <v>0</v>
      </c>
      <c r="U112" s="4"/>
      <c r="V112" s="12">
        <f>IF(T$12=0,0,T112/T$12)</f>
        <v>0</v>
      </c>
      <c r="W112" s="4"/>
      <c r="X112" s="4">
        <f>+P112-T112</f>
        <v>0</v>
      </c>
      <c r="Y112" s="4"/>
      <c r="Z112" s="12">
        <f>IF(T112=0,0,X112/T112)</f>
        <v>0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6" t="s">
        <v>3</v>
      </c>
      <c r="C114" s="26"/>
      <c r="D114" s="20">
        <f>+D72-D74+D112</f>
        <v>52353.050000000061</v>
      </c>
      <c r="E114" s="13"/>
      <c r="F114" s="19">
        <f>IF(D$12=0,0,D114/D$12)</f>
        <v>0.39265112418805292</v>
      </c>
      <c r="G114" s="13"/>
      <c r="H114" s="20">
        <f>+H72-H74+H112</f>
        <v>40971.749999999985</v>
      </c>
      <c r="I114" s="13"/>
      <c r="J114" s="19">
        <f>IF(H$12=0,0,H114/H$12)</f>
        <v>0.31745365777462475</v>
      </c>
      <c r="K114" s="15"/>
      <c r="L114" s="20">
        <f>+D114-H114</f>
        <v>11381.300000000076</v>
      </c>
      <c r="M114" s="15"/>
      <c r="N114" s="19">
        <f>IF(H114=0,0,L114/H114)</f>
        <v>0.27778408293519508</v>
      </c>
      <c r="O114" s="25"/>
      <c r="P114" s="20">
        <f>+P72-P74+P112</f>
        <v>38148.910000000047</v>
      </c>
      <c r="Q114" s="13"/>
      <c r="R114" s="19">
        <f>IF(P$12=0,0,P114/P$12)</f>
        <v>0.25081299591633238</v>
      </c>
      <c r="S114" s="13"/>
      <c r="T114" s="20">
        <f>+T72-T74+T112</f>
        <v>30604.660000000062</v>
      </c>
      <c r="U114" s="13"/>
      <c r="V114" s="19">
        <f>IF(T$12=0,0,T114/T$12)</f>
        <v>0.2080921514764511</v>
      </c>
      <c r="W114" s="15"/>
      <c r="X114" s="20">
        <f>+P114-T114</f>
        <v>7544.2499999999854</v>
      </c>
      <c r="Y114" s="15"/>
      <c r="Z114" s="19">
        <f>IF(T114=0,0,X114/T114)</f>
        <v>0.24650657775645834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1"/>
      <c r="B116" s="10" t="s">
        <v>13</v>
      </c>
      <c r="C116" s="10"/>
      <c r="D116" s="4">
        <v>15061.64</v>
      </c>
      <c r="E116" s="4"/>
      <c r="F116" s="12">
        <f>IF(D$12=0,0,D116/D$12)</f>
        <v>0.11296323477076767</v>
      </c>
      <c r="G116" s="4"/>
      <c r="H116" s="4">
        <v>11318.18</v>
      </c>
      <c r="I116" s="4"/>
      <c r="J116" s="12">
        <f>IF(H$12=0,0,H116/H$12)</f>
        <v>8.7694512447030054E-2</v>
      </c>
      <c r="K116" s="4"/>
      <c r="L116" s="4">
        <f>+D116-H116</f>
        <v>3743.4599999999991</v>
      </c>
      <c r="M116" s="4"/>
      <c r="N116" s="12">
        <f>IF(H116=0,0,L116/H116)</f>
        <v>0.33074752301165022</v>
      </c>
      <c r="O116" s="10"/>
      <c r="P116" s="4">
        <v>18964.22</v>
      </c>
      <c r="Q116" s="4"/>
      <c r="R116" s="12">
        <f>IF(P$12=0,0,P116/P$12)</f>
        <v>0.12468174931908732</v>
      </c>
      <c r="S116" s="4"/>
      <c r="T116" s="4">
        <v>15015.42</v>
      </c>
      <c r="U116" s="4"/>
      <c r="V116" s="12">
        <f>IF(T$12=0,0,T116/T$12)</f>
        <v>0.10209527088758795</v>
      </c>
      <c r="W116" s="4"/>
      <c r="X116" s="4">
        <f>+P116-T116</f>
        <v>3948.8000000000011</v>
      </c>
      <c r="Y116" s="4"/>
      <c r="Z116" s="12">
        <f>IF(T116=0,0,X116/T116)</f>
        <v>0.26298298682287946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6" t="s">
        <v>4</v>
      </c>
      <c r="C118" s="26"/>
      <c r="D118" s="31">
        <f>+D114-D116</f>
        <v>37291.410000000062</v>
      </c>
      <c r="E118" s="13"/>
      <c r="F118" s="36">
        <f>IF(D$12=0,0,D118/D$12)</f>
        <v>0.27968788941728523</v>
      </c>
      <c r="G118" s="13"/>
      <c r="H118" s="31">
        <f>+H114-H116</f>
        <v>29653.569999999985</v>
      </c>
      <c r="I118" s="13"/>
      <c r="J118" s="36">
        <f>IF(H$12=0,0,H118/H$12)</f>
        <v>0.22975914532759467</v>
      </c>
      <c r="K118" s="15"/>
      <c r="L118" s="31">
        <f>D118-H118</f>
        <v>7637.8400000000765</v>
      </c>
      <c r="M118" s="15"/>
      <c r="N118" s="36">
        <f>IF(H118=0,0,L118/H118)</f>
        <v>0.25756898747773305</v>
      </c>
      <c r="O118" s="25"/>
      <c r="P118" s="31">
        <f>+P114-P116</f>
        <v>19184.690000000046</v>
      </c>
      <c r="Q118" s="13"/>
      <c r="R118" s="36">
        <f>IF(P$12=0,0,P118/P$12)</f>
        <v>0.12613124659724506</v>
      </c>
      <c r="S118" s="13"/>
      <c r="T118" s="31">
        <f>+T114-T116</f>
        <v>15589.240000000062</v>
      </c>
      <c r="U118" s="13"/>
      <c r="V118" s="36">
        <f>IF(T$12=0,0,T118/T$12)</f>
        <v>0.10599688058886317</v>
      </c>
      <c r="W118" s="15"/>
      <c r="X118" s="31">
        <f>P118-T118</f>
        <v>3595.4499999999844</v>
      </c>
      <c r="Y118" s="15"/>
      <c r="Z118" s="36">
        <f>IF(T118=0,0,X118/T118)</f>
        <v>0.23063664424949326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6" t="s">
        <v>5</v>
      </c>
      <c r="C121" s="26"/>
      <c r="D121" s="32">
        <f>SUM(D118:D120)</f>
        <v>37291.410000000062</v>
      </c>
      <c r="E121" s="13"/>
      <c r="F121" s="30">
        <f>IF(D$12=0,0,D121/D$12)</f>
        <v>0.27968788941728523</v>
      </c>
      <c r="G121" s="13"/>
      <c r="H121" s="32">
        <f>SUM(H118:H120)</f>
        <v>29653.569999999985</v>
      </c>
      <c r="I121" s="13"/>
      <c r="J121" s="30">
        <f>IF(H$12=0,0,H121/H$12)</f>
        <v>0.22975914532759467</v>
      </c>
      <c r="K121" s="15"/>
      <c r="L121" s="32">
        <f>+D121-H121</f>
        <v>7637.8400000000765</v>
      </c>
      <c r="M121" s="15"/>
      <c r="N121" s="30">
        <f>IF(H121=0,0,L121/H121)</f>
        <v>0.25756898747773305</v>
      </c>
      <c r="O121" s="25"/>
      <c r="P121" s="32">
        <f>SUM(P118:P120)</f>
        <v>19184.690000000046</v>
      </c>
      <c r="Q121" s="13"/>
      <c r="R121" s="30">
        <f>IF(P$12=0,0,P121/P$12)</f>
        <v>0.12613124659724506</v>
      </c>
      <c r="S121" s="13"/>
      <c r="T121" s="32">
        <f>SUM(T118:T120)</f>
        <v>15589.240000000062</v>
      </c>
      <c r="U121" s="13"/>
      <c r="V121" s="30">
        <f>IF(T$12=0,0,T121/T$12)</f>
        <v>0.10599688058886317</v>
      </c>
      <c r="W121" s="15"/>
      <c r="X121" s="32">
        <f>+P121-T121</f>
        <v>3595.4499999999844</v>
      </c>
      <c r="Y121" s="15"/>
      <c r="Z121" s="30">
        <f>IF(T121=0,0,X121/T121)</f>
        <v>0.23063664424949326</v>
      </c>
    </row>
    <row r="122" spans="1:26" ht="15.75" thickTop="1" x14ac:dyDescent="0.25">
      <c r="A122" s="9"/>
      <c r="C122" s="9"/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A123" s="9"/>
      <c r="B123" s="57">
        <v>43732.709183252315</v>
      </c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25">
      <c r="A124" s="9"/>
      <c r="B124" s="60" t="s">
        <v>313</v>
      </c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25">
      <c r="A125" s="9"/>
      <c r="B125" s="56"/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","307", " - ", "Art Store")</f>
        <v>Department 307 - Art 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53259.419999999991</v>
      </c>
      <c r="E12" s="4"/>
      <c r="F12" s="12"/>
      <c r="G12" s="4"/>
      <c r="H12" s="4">
        <f>SUM(OSRRefH13x_0)</f>
        <v>50568.169999999991</v>
      </c>
      <c r="I12" s="4"/>
      <c r="J12" s="12"/>
      <c r="K12" s="4"/>
      <c r="L12" s="4">
        <f t="shared" ref="L12:L39" si="0">+D12-H12</f>
        <v>2691.25</v>
      </c>
      <c r="M12" s="4"/>
      <c r="N12" s="12">
        <f t="shared" ref="N12:N39" si="1">IF(H12=0,0,L12/H12)</f>
        <v>5.3220237157089144E-2</v>
      </c>
      <c r="O12" s="10"/>
      <c r="P12" s="4">
        <f>SUM(OSRRefP13x_0)</f>
        <v>55685.37999999999</v>
      </c>
      <c r="Q12" s="4"/>
      <c r="R12" s="12"/>
      <c r="S12" s="4"/>
      <c r="T12" s="4">
        <f>SUM(OSRRefT13x_0)</f>
        <v>52446.210000000014</v>
      </c>
      <c r="U12" s="4"/>
      <c r="V12" s="12"/>
      <c r="W12" s="4"/>
      <c r="X12" s="4">
        <f t="shared" ref="X12:X39" si="2">+P12-T12</f>
        <v>3239.1699999999764</v>
      </c>
      <c r="Y12" s="4"/>
      <c r="Z12" s="12">
        <f t="shared" ref="Z12:Z39" si="3">IF(T12=0,0,X12/T12)</f>
        <v>6.1761755520560506E-2</v>
      </c>
    </row>
    <row r="13" spans="1:26" s="24" customFormat="1" hidden="1" outlineLevel="1" x14ac:dyDescent="0.25">
      <c r="A13" s="50"/>
      <c r="B13" s="11" t="str">
        <f>CONCATENATE("          ", "4019", " - ", "TAXABLE SALES-BOOK RELATED")</f>
        <v xml:space="preserve">          4019 - TAXABLE SALES-BOOK RELATED</v>
      </c>
      <c r="C13" s="11"/>
      <c r="D13" s="2">
        <f>0</f>
        <v>0</v>
      </c>
      <c r="E13" s="2"/>
      <c r="F13" s="21"/>
      <c r="G13" s="2"/>
      <c r="H13" s="2">
        <f>0</f>
        <v>0</v>
      </c>
      <c r="I13" s="2"/>
      <c r="J13" s="21"/>
      <c r="K13" s="2"/>
      <c r="L13" s="2">
        <f t="shared" si="0"/>
        <v>0</v>
      </c>
      <c r="M13" s="2"/>
      <c r="N13" s="21">
        <f t="shared" si="1"/>
        <v>0</v>
      </c>
      <c r="O13" s="11"/>
      <c r="P13" s="2">
        <f>0</f>
        <v>0</v>
      </c>
      <c r="Q13" s="2"/>
      <c r="R13" s="21"/>
      <c r="S13" s="2"/>
      <c r="T13" s="2">
        <f>--39.9</f>
        <v>39.9</v>
      </c>
      <c r="U13" s="2"/>
      <c r="V13" s="21"/>
      <c r="W13" s="2"/>
      <c r="X13" s="2">
        <f t="shared" si="2"/>
        <v>-39.9</v>
      </c>
      <c r="Y13" s="2"/>
      <c r="Z13" s="21">
        <f t="shared" si="3"/>
        <v>-1</v>
      </c>
    </row>
    <row r="14" spans="1:26" s="24" customFormat="1" hidden="1" outlineLevel="1" x14ac:dyDescent="0.25">
      <c r="A14" s="50"/>
      <c r="B14" s="11" t="str">
        <f>CONCATENATE("          ", "4025", " - ", "TAXABLE SALES-TEST FORMS")</f>
        <v xml:space="preserve">          4025 - TAXABLE SALES-TEST FORMS</v>
      </c>
      <c r="C14" s="11"/>
      <c r="D14" s="2">
        <f>--101.25</f>
        <v>101.25</v>
      </c>
      <c r="E14" s="2"/>
      <c r="F14" s="21"/>
      <c r="G14" s="2"/>
      <c r="H14" s="2">
        <f>--27.76</f>
        <v>27.76</v>
      </c>
      <c r="I14" s="2"/>
      <c r="J14" s="21"/>
      <c r="K14" s="2"/>
      <c r="L14" s="2">
        <f t="shared" si="0"/>
        <v>73.489999999999995</v>
      </c>
      <c r="M14" s="2"/>
      <c r="N14" s="21">
        <f t="shared" si="1"/>
        <v>2.6473342939481266</v>
      </c>
      <c r="O14" s="11"/>
      <c r="P14" s="2">
        <f>--102.72</f>
        <v>102.72</v>
      </c>
      <c r="Q14" s="2"/>
      <c r="R14" s="21"/>
      <c r="S14" s="2"/>
      <c r="T14" s="2">
        <f>--29.56</f>
        <v>29.56</v>
      </c>
      <c r="U14" s="2"/>
      <c r="V14" s="21"/>
      <c r="W14" s="2"/>
      <c r="X14" s="2">
        <f t="shared" si="2"/>
        <v>73.16</v>
      </c>
      <c r="Y14" s="2"/>
      <c r="Z14" s="21">
        <f t="shared" si="3"/>
        <v>2.4749661705006765</v>
      </c>
    </row>
    <row r="15" spans="1:26" s="24" customFormat="1" hidden="1" outlineLevel="1" x14ac:dyDescent="0.25">
      <c r="A15" s="50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--650.62</f>
        <v>650.62</v>
      </c>
      <c r="E15" s="2"/>
      <c r="F15" s="21"/>
      <c r="G15" s="2"/>
      <c r="H15" s="2">
        <f>--728.96</f>
        <v>728.96</v>
      </c>
      <c r="I15" s="2"/>
      <c r="J15" s="21"/>
      <c r="K15" s="2"/>
      <c r="L15" s="2">
        <f t="shared" si="0"/>
        <v>-78.340000000000032</v>
      </c>
      <c r="M15" s="2"/>
      <c r="N15" s="21">
        <f t="shared" si="1"/>
        <v>-0.10746817383669889</v>
      </c>
      <c r="O15" s="11"/>
      <c r="P15" s="2">
        <f>--673.42</f>
        <v>673.42</v>
      </c>
      <c r="Q15" s="2"/>
      <c r="R15" s="21"/>
      <c r="S15" s="2"/>
      <c r="T15" s="2">
        <f>--779.94</f>
        <v>779.94</v>
      </c>
      <c r="U15" s="2"/>
      <c r="V15" s="21"/>
      <c r="W15" s="2"/>
      <c r="X15" s="2">
        <f t="shared" si="2"/>
        <v>-106.5200000000001</v>
      </c>
      <c r="Y15" s="2"/>
      <c r="Z15" s="21">
        <f t="shared" si="3"/>
        <v>-0.13657460830320292</v>
      </c>
    </row>
    <row r="16" spans="1:26" s="24" customFormat="1" hidden="1" outlineLevel="1" x14ac:dyDescent="0.25">
      <c r="A16" s="50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--3262.97</f>
        <v>3262.97</v>
      </c>
      <c r="E16" s="2"/>
      <c r="F16" s="21"/>
      <c r="G16" s="2"/>
      <c r="H16" s="2">
        <f>--1195.59</f>
        <v>1195.5899999999999</v>
      </c>
      <c r="I16" s="2"/>
      <c r="J16" s="21"/>
      <c r="K16" s="2"/>
      <c r="L16" s="2">
        <f t="shared" si="0"/>
        <v>2067.38</v>
      </c>
      <c r="M16" s="2"/>
      <c r="N16" s="21">
        <f t="shared" si="1"/>
        <v>1.7291713714567705</v>
      </c>
      <c r="O16" s="11"/>
      <c r="P16" s="2">
        <f>--3335.08</f>
        <v>3335.08</v>
      </c>
      <c r="Q16" s="2"/>
      <c r="R16" s="21"/>
      <c r="S16" s="2"/>
      <c r="T16" s="2">
        <f>--1239.53</f>
        <v>1239.53</v>
      </c>
      <c r="U16" s="2"/>
      <c r="V16" s="21"/>
      <c r="W16" s="2"/>
      <c r="X16" s="2">
        <f t="shared" si="2"/>
        <v>2095.5500000000002</v>
      </c>
      <c r="Y16" s="2"/>
      <c r="Z16" s="21">
        <f t="shared" si="3"/>
        <v>1.690600469532807</v>
      </c>
    </row>
    <row r="17" spans="1:26" s="24" customFormat="1" hidden="1" outlineLevel="1" x14ac:dyDescent="0.25">
      <c r="A17" s="50"/>
      <c r="B17" s="11" t="str">
        <f>CONCATENATE("          ", "4028", " - ", "TAXABLE SALES-ART/TECH")</f>
        <v xml:space="preserve">          4028 - TAXABLE SALES-ART/TECH</v>
      </c>
      <c r="C17" s="11"/>
      <c r="D17" s="2">
        <f>--44894.72</f>
        <v>44894.720000000001</v>
      </c>
      <c r="E17" s="2"/>
      <c r="F17" s="21"/>
      <c r="G17" s="2"/>
      <c r="H17" s="2">
        <f>--44043.76</f>
        <v>44043.76</v>
      </c>
      <c r="I17" s="2"/>
      <c r="J17" s="21"/>
      <c r="K17" s="2"/>
      <c r="L17" s="2">
        <f t="shared" si="0"/>
        <v>850.95999999999913</v>
      </c>
      <c r="M17" s="2"/>
      <c r="N17" s="21">
        <f t="shared" si="1"/>
        <v>1.9320784601496308E-2</v>
      </c>
      <c r="O17" s="11"/>
      <c r="P17" s="2">
        <f>--46751.09</f>
        <v>46751.09</v>
      </c>
      <c r="Q17" s="2"/>
      <c r="R17" s="21"/>
      <c r="S17" s="2"/>
      <c r="T17" s="2">
        <f>--45428.42</f>
        <v>45428.42</v>
      </c>
      <c r="U17" s="2"/>
      <c r="V17" s="21"/>
      <c r="W17" s="2"/>
      <c r="X17" s="2">
        <f t="shared" si="2"/>
        <v>1322.6699999999983</v>
      </c>
      <c r="Y17" s="2"/>
      <c r="Z17" s="21">
        <f t="shared" si="3"/>
        <v>2.9115474410071895E-2</v>
      </c>
    </row>
    <row r="18" spans="1:26" s="24" customFormat="1" hidden="1" outlineLevel="1" x14ac:dyDescent="0.25">
      <c r="A18" s="50"/>
      <c r="B18" s="11" t="str">
        <f>CONCATENATE("          ", "4031", " - ", "TAXABLE SALES-FOOD")</f>
        <v xml:space="preserve">          4031 - TAXABLE SALES-FOOD</v>
      </c>
      <c r="C18" s="11"/>
      <c r="D18" s="2">
        <f>--30.82</f>
        <v>30.82</v>
      </c>
      <c r="E18" s="2"/>
      <c r="F18" s="21"/>
      <c r="G18" s="2"/>
      <c r="H18" s="2">
        <f>--43.71</f>
        <v>43.71</v>
      </c>
      <c r="I18" s="2"/>
      <c r="J18" s="21"/>
      <c r="K18" s="2"/>
      <c r="L18" s="2">
        <f t="shared" si="0"/>
        <v>-12.89</v>
      </c>
      <c r="M18" s="2"/>
      <c r="N18" s="21">
        <f t="shared" si="1"/>
        <v>-0.29489819263326472</v>
      </c>
      <c r="O18" s="11"/>
      <c r="P18" s="2">
        <f>--32.34</f>
        <v>32.340000000000003</v>
      </c>
      <c r="Q18" s="2"/>
      <c r="R18" s="21"/>
      <c r="S18" s="2"/>
      <c r="T18" s="2">
        <f>--44.94</f>
        <v>44.94</v>
      </c>
      <c r="U18" s="2"/>
      <c r="V18" s="21"/>
      <c r="W18" s="2"/>
      <c r="X18" s="2">
        <f t="shared" si="2"/>
        <v>-12.599999999999994</v>
      </c>
      <c r="Y18" s="2"/>
      <c r="Z18" s="21">
        <f t="shared" si="3"/>
        <v>-0.2803738317757008</v>
      </c>
    </row>
    <row r="19" spans="1:26" s="24" customFormat="1" hidden="1" outlineLevel="1" x14ac:dyDescent="0.25">
      <c r="A19" s="50"/>
      <c r="B19" s="11" t="str">
        <f>CONCATENATE("          ", "4032", " - ", "TAXABLE SALES-JUICE")</f>
        <v xml:space="preserve">          4032 - TAXABLE SALES-JUICE</v>
      </c>
      <c r="C19" s="11"/>
      <c r="D19" s="2">
        <f>--2.34</f>
        <v>2.34</v>
      </c>
      <c r="E19" s="2"/>
      <c r="F19" s="21"/>
      <c r="G19" s="2"/>
      <c r="H19" s="2">
        <f>--2.15</f>
        <v>2.15</v>
      </c>
      <c r="I19" s="2"/>
      <c r="J19" s="21"/>
      <c r="K19" s="2"/>
      <c r="L19" s="2">
        <f t="shared" si="0"/>
        <v>0.18999999999999995</v>
      </c>
      <c r="M19" s="2"/>
      <c r="N19" s="21">
        <f t="shared" si="1"/>
        <v>8.8372093023255799E-2</v>
      </c>
      <c r="O19" s="11"/>
      <c r="P19" s="2">
        <f>--3.81</f>
        <v>3.81</v>
      </c>
      <c r="Q19" s="2"/>
      <c r="R19" s="21"/>
      <c r="S19" s="2"/>
      <c r="T19" s="2">
        <f>--2.37</f>
        <v>2.37</v>
      </c>
      <c r="U19" s="2"/>
      <c r="V19" s="21"/>
      <c r="W19" s="2"/>
      <c r="X19" s="2">
        <f t="shared" si="2"/>
        <v>1.44</v>
      </c>
      <c r="Y19" s="2"/>
      <c r="Z19" s="21">
        <f t="shared" si="3"/>
        <v>0.60759493670886067</v>
      </c>
    </row>
    <row r="20" spans="1:26" s="24" customFormat="1" hidden="1" outlineLevel="1" x14ac:dyDescent="0.25">
      <c r="A20" s="50"/>
      <c r="B20" s="11" t="str">
        <f>CONCATENATE("          ", "4033", " - ", "TAXABLE SALES-CANDY")</f>
        <v xml:space="preserve">          4033 - TAXABLE SALES-CANDY</v>
      </c>
      <c r="C20" s="11"/>
      <c r="D20" s="2">
        <f>--9.83</f>
        <v>9.83</v>
      </c>
      <c r="E20" s="2"/>
      <c r="F20" s="21"/>
      <c r="G20" s="2"/>
      <c r="H20" s="2">
        <f>--2.36</f>
        <v>2.36</v>
      </c>
      <c r="I20" s="2"/>
      <c r="J20" s="21"/>
      <c r="K20" s="2"/>
      <c r="L20" s="2">
        <f t="shared" si="0"/>
        <v>7.4700000000000006</v>
      </c>
      <c r="M20" s="2"/>
      <c r="N20" s="21">
        <f t="shared" si="1"/>
        <v>3.1652542372881358</v>
      </c>
      <c r="O20" s="11"/>
      <c r="P20" s="2">
        <f>--13</f>
        <v>13</v>
      </c>
      <c r="Q20" s="2"/>
      <c r="R20" s="21"/>
      <c r="S20" s="2"/>
      <c r="T20" s="2">
        <f>--3.04</f>
        <v>3.04</v>
      </c>
      <c r="U20" s="2"/>
      <c r="V20" s="21"/>
      <c r="W20" s="2"/>
      <c r="X20" s="2">
        <f t="shared" si="2"/>
        <v>9.9600000000000009</v>
      </c>
      <c r="Y20" s="2"/>
      <c r="Z20" s="21">
        <f t="shared" si="3"/>
        <v>3.2763157894736845</v>
      </c>
    </row>
    <row r="21" spans="1:26" s="24" customFormat="1" hidden="1" outlineLevel="1" x14ac:dyDescent="0.25">
      <c r="A21" s="50"/>
      <c r="B21" s="11" t="str">
        <f>CONCATENATE("          ", "4034", " - ", "TAXABLE SALES-SODA")</f>
        <v xml:space="preserve">          4034 - TAXABLE SALES-SODA</v>
      </c>
      <c r="C21" s="11"/>
      <c r="D21" s="2">
        <f>--280.8</f>
        <v>280.8</v>
      </c>
      <c r="E21" s="2"/>
      <c r="F21" s="21"/>
      <c r="G21" s="2"/>
      <c r="H21" s="2">
        <f>--334.42</f>
        <v>334.42</v>
      </c>
      <c r="I21" s="2"/>
      <c r="J21" s="21"/>
      <c r="K21" s="2"/>
      <c r="L21" s="2">
        <f t="shared" si="0"/>
        <v>-53.620000000000005</v>
      </c>
      <c r="M21" s="2"/>
      <c r="N21" s="21">
        <f t="shared" si="1"/>
        <v>-0.16033730040069374</v>
      </c>
      <c r="O21" s="11"/>
      <c r="P21" s="2">
        <f>--315.54</f>
        <v>315.54000000000002</v>
      </c>
      <c r="Q21" s="2"/>
      <c r="R21" s="21"/>
      <c r="S21" s="2"/>
      <c r="T21" s="2">
        <f>--365.68</f>
        <v>365.68</v>
      </c>
      <c r="U21" s="2"/>
      <c r="V21" s="21"/>
      <c r="W21" s="2"/>
      <c r="X21" s="2">
        <f t="shared" si="2"/>
        <v>-50.139999999999986</v>
      </c>
      <c r="Y21" s="2"/>
      <c r="Z21" s="21">
        <f t="shared" si="3"/>
        <v>-0.13711441697659152</v>
      </c>
    </row>
    <row r="22" spans="1:26" s="24" customFormat="1" hidden="1" outlineLevel="1" x14ac:dyDescent="0.25">
      <c r="A22" s="50"/>
      <c r="B22" s="11" t="str">
        <f>CONCATENATE("          ", "4035", " - ", "TAXABLE SALES-HEALTH &amp; BEAUTY")</f>
        <v xml:space="preserve">          4035 - TAXABLE SALES-HEALTH &amp; BEAUTY</v>
      </c>
      <c r="C22" s="11"/>
      <c r="D22" s="2">
        <f>--88.53</f>
        <v>88.53</v>
      </c>
      <c r="E22" s="2"/>
      <c r="F22" s="21"/>
      <c r="G22" s="2"/>
      <c r="H22" s="2">
        <f>--60.13</f>
        <v>60.13</v>
      </c>
      <c r="I22" s="2"/>
      <c r="J22" s="21"/>
      <c r="K22" s="2"/>
      <c r="L22" s="2">
        <f t="shared" si="0"/>
        <v>28.4</v>
      </c>
      <c r="M22" s="2"/>
      <c r="N22" s="21">
        <f t="shared" si="1"/>
        <v>0.47230999501080989</v>
      </c>
      <c r="O22" s="11"/>
      <c r="P22" s="2">
        <f>--91.52</f>
        <v>91.52</v>
      </c>
      <c r="Q22" s="2"/>
      <c r="R22" s="21"/>
      <c r="S22" s="2"/>
      <c r="T22" s="2">
        <f>--63.68</f>
        <v>63.68</v>
      </c>
      <c r="U22" s="2"/>
      <c r="V22" s="21"/>
      <c r="W22" s="2"/>
      <c r="X22" s="2">
        <f t="shared" si="2"/>
        <v>27.839999999999996</v>
      </c>
      <c r="Y22" s="2"/>
      <c r="Z22" s="21">
        <f t="shared" si="3"/>
        <v>0.43718592964824116</v>
      </c>
    </row>
    <row r="23" spans="1:26" s="24" customFormat="1" hidden="1" outlineLevel="1" x14ac:dyDescent="0.25">
      <c r="A23" s="50"/>
      <c r="B23" s="11" t="str">
        <f>CONCATENATE("          ", "4037", " - ", "TAXABLE SALES-WATER")</f>
        <v xml:space="preserve">          4037 - TAXABLE SALES-WATER</v>
      </c>
      <c r="C23" s="11"/>
      <c r="D23" s="2">
        <f>--36.88</f>
        <v>36.880000000000003</v>
      </c>
      <c r="E23" s="2"/>
      <c r="F23" s="21"/>
      <c r="G23" s="2"/>
      <c r="H23" s="2">
        <f>--27.96</f>
        <v>27.96</v>
      </c>
      <c r="I23" s="2"/>
      <c r="J23" s="21"/>
      <c r="K23" s="2"/>
      <c r="L23" s="2">
        <f t="shared" si="0"/>
        <v>8.9200000000000017</v>
      </c>
      <c r="M23" s="2"/>
      <c r="N23" s="21">
        <f t="shared" si="1"/>
        <v>0.31902718168812594</v>
      </c>
      <c r="O23" s="11"/>
      <c r="P23" s="2">
        <f>--42.17</f>
        <v>42.17</v>
      </c>
      <c r="Q23" s="2"/>
      <c r="R23" s="21"/>
      <c r="S23" s="2"/>
      <c r="T23" s="2">
        <f>--33.27</f>
        <v>33.270000000000003</v>
      </c>
      <c r="U23" s="2"/>
      <c r="V23" s="21"/>
      <c r="W23" s="2"/>
      <c r="X23" s="2">
        <f t="shared" si="2"/>
        <v>8.8999999999999986</v>
      </c>
      <c r="Y23" s="2"/>
      <c r="Z23" s="21">
        <f t="shared" si="3"/>
        <v>0.26750826570483915</v>
      </c>
    </row>
    <row r="24" spans="1:26" s="24" customFormat="1" hidden="1" outlineLevel="1" x14ac:dyDescent="0.25">
      <c r="A24" s="50"/>
      <c r="B24" s="11" t="str">
        <f>CONCATENATE("          ", "4042", " - ", "TAXABLE SALES-EVERYDAY GIFTS")</f>
        <v xml:space="preserve">          4042 - TAXABLE SALES-EVERYDAY GIFTS</v>
      </c>
      <c r="C24" s="11"/>
      <c r="D24" s="2">
        <f>0</f>
        <v>0</v>
      </c>
      <c r="E24" s="2"/>
      <c r="F24" s="21"/>
      <c r="G24" s="2"/>
      <c r="H24" s="2">
        <f>--225.7</f>
        <v>225.7</v>
      </c>
      <c r="I24" s="2"/>
      <c r="J24" s="21"/>
      <c r="K24" s="2"/>
      <c r="L24" s="2">
        <f t="shared" si="0"/>
        <v>-225.7</v>
      </c>
      <c r="M24" s="2"/>
      <c r="N24" s="21">
        <f t="shared" si="1"/>
        <v>-1</v>
      </c>
      <c r="O24" s="11"/>
      <c r="P24" s="2">
        <f>0</f>
        <v>0</v>
      </c>
      <c r="Q24" s="2"/>
      <c r="R24" s="21"/>
      <c r="S24" s="2"/>
      <c r="T24" s="2">
        <f>--265.65</f>
        <v>265.64999999999998</v>
      </c>
      <c r="U24" s="2"/>
      <c r="V24" s="21"/>
      <c r="W24" s="2"/>
      <c r="X24" s="2">
        <f t="shared" si="2"/>
        <v>-265.64999999999998</v>
      </c>
      <c r="Y24" s="2"/>
      <c r="Z24" s="21">
        <f t="shared" si="3"/>
        <v>-1</v>
      </c>
    </row>
    <row r="25" spans="1:26" s="24" customFormat="1" hidden="1" outlineLevel="1" x14ac:dyDescent="0.25">
      <c r="A25" s="50"/>
      <c r="B25" s="11" t="str">
        <f>CONCATENATE("          ", "4081", " - ", "TAXABLE SALES-ELECTRONICS")</f>
        <v xml:space="preserve">          4081 - TAXABLE SALES-ELECTRONICS</v>
      </c>
      <c r="C25" s="11"/>
      <c r="D25" s="2">
        <f>--260.88</f>
        <v>260.88</v>
      </c>
      <c r="E25" s="2"/>
      <c r="F25" s="21"/>
      <c r="G25" s="2"/>
      <c r="H25" s="2">
        <f>--294.81</f>
        <v>294.81</v>
      </c>
      <c r="I25" s="2"/>
      <c r="J25" s="21"/>
      <c r="K25" s="2"/>
      <c r="L25" s="2">
        <f t="shared" si="0"/>
        <v>-33.930000000000007</v>
      </c>
      <c r="M25" s="2"/>
      <c r="N25" s="21">
        <f t="shared" si="1"/>
        <v>-0.11509107560801875</v>
      </c>
      <c r="O25" s="11"/>
      <c r="P25" s="2">
        <f>--268.86</f>
        <v>268.86</v>
      </c>
      <c r="Q25" s="2"/>
      <c r="R25" s="21"/>
      <c r="S25" s="2"/>
      <c r="T25" s="2">
        <f>--297.8</f>
        <v>297.8</v>
      </c>
      <c r="U25" s="2"/>
      <c r="V25" s="21"/>
      <c r="W25" s="2"/>
      <c r="X25" s="2">
        <f t="shared" si="2"/>
        <v>-28.939999999999998</v>
      </c>
      <c r="Y25" s="2"/>
      <c r="Z25" s="21">
        <f t="shared" si="3"/>
        <v>-9.7179314976494277E-2</v>
      </c>
    </row>
    <row r="26" spans="1:26" s="24" customFormat="1" hidden="1" outlineLevel="1" x14ac:dyDescent="0.25">
      <c r="A26" s="50"/>
      <c r="B26" s="11" t="str">
        <f>CONCATENATE("          ", "4082", " - ", "TAXABLE SALES-COMPUTER HARDWAR")</f>
        <v xml:space="preserve">          4082 - TAXABLE SALES-COMPUTER HARDWAR</v>
      </c>
      <c r="C26" s="11"/>
      <c r="D26" s="2">
        <f>--19</f>
        <v>19</v>
      </c>
      <c r="E26" s="2"/>
      <c r="F26" s="21"/>
      <c r="G26" s="2"/>
      <c r="H26" s="2">
        <f>--29</f>
        <v>29</v>
      </c>
      <c r="I26" s="2"/>
      <c r="J26" s="21"/>
      <c r="K26" s="2"/>
      <c r="L26" s="2">
        <f t="shared" si="0"/>
        <v>-10</v>
      </c>
      <c r="M26" s="2"/>
      <c r="N26" s="21">
        <f t="shared" si="1"/>
        <v>-0.34482758620689657</v>
      </c>
      <c r="O26" s="11"/>
      <c r="P26" s="2">
        <f>--38</f>
        <v>38</v>
      </c>
      <c r="Q26" s="2"/>
      <c r="R26" s="21"/>
      <c r="S26" s="2"/>
      <c r="T26" s="2">
        <f>--29</f>
        <v>29</v>
      </c>
      <c r="U26" s="2"/>
      <c r="V26" s="21"/>
      <c r="W26" s="2"/>
      <c r="X26" s="2">
        <f t="shared" si="2"/>
        <v>9</v>
      </c>
      <c r="Y26" s="2"/>
      <c r="Z26" s="21">
        <f t="shared" si="3"/>
        <v>0.31034482758620691</v>
      </c>
    </row>
    <row r="27" spans="1:26" s="24" customFormat="1" hidden="1" outlineLevel="1" x14ac:dyDescent="0.25">
      <c r="A27" s="50"/>
      <c r="B27" s="11" t="str">
        <f>CONCATENATE("          ", "4083", " - ", "TAXABLE SALES-COMPUTER EQUIPME")</f>
        <v xml:space="preserve">          4083 - TAXABLE SALES-COMPUTER EQUIPME</v>
      </c>
      <c r="C27" s="11"/>
      <c r="D27" s="2">
        <f>--29.98</f>
        <v>29.98</v>
      </c>
      <c r="E27" s="2"/>
      <c r="F27" s="21"/>
      <c r="G27" s="2"/>
      <c r="H27" s="2">
        <f>--114.9</f>
        <v>114.9</v>
      </c>
      <c r="I27" s="2"/>
      <c r="J27" s="21"/>
      <c r="K27" s="2"/>
      <c r="L27" s="2">
        <f t="shared" si="0"/>
        <v>-84.92</v>
      </c>
      <c r="M27" s="2"/>
      <c r="N27" s="21">
        <f t="shared" si="1"/>
        <v>-0.73907745865970409</v>
      </c>
      <c r="O27" s="11"/>
      <c r="P27" s="2">
        <f>--29.98</f>
        <v>29.98</v>
      </c>
      <c r="Q27" s="2"/>
      <c r="R27" s="21"/>
      <c r="S27" s="2"/>
      <c r="T27" s="2">
        <f>--134.88</f>
        <v>134.88</v>
      </c>
      <c r="U27" s="2"/>
      <c r="V27" s="21"/>
      <c r="W27" s="2"/>
      <c r="X27" s="2">
        <f t="shared" si="2"/>
        <v>-104.89999999999999</v>
      </c>
      <c r="Y27" s="2"/>
      <c r="Z27" s="21">
        <f t="shared" si="3"/>
        <v>-0.77772835112692762</v>
      </c>
    </row>
    <row r="28" spans="1:26" s="24" customFormat="1" hidden="1" outlineLevel="1" x14ac:dyDescent="0.25">
      <c r="A28" s="50"/>
      <c r="B28" s="11" t="str">
        <f>CONCATENATE("          ", "4086", " - ", "TAXABLE SALES-COMPUTER SUPPLIE")</f>
        <v xml:space="preserve">          4086 - TAXABLE SALES-COMPUTER SUPPLIE</v>
      </c>
      <c r="C28" s="11"/>
      <c r="D28" s="2">
        <f>--93.96</f>
        <v>93.96</v>
      </c>
      <c r="E28" s="2"/>
      <c r="F28" s="21"/>
      <c r="G28" s="2"/>
      <c r="H28" s="2">
        <f>--144.93</f>
        <v>144.93</v>
      </c>
      <c r="I28" s="2"/>
      <c r="J28" s="21"/>
      <c r="K28" s="2"/>
      <c r="L28" s="2">
        <f t="shared" si="0"/>
        <v>-50.970000000000013</v>
      </c>
      <c r="M28" s="2"/>
      <c r="N28" s="21">
        <f t="shared" si="1"/>
        <v>-0.35168702132063762</v>
      </c>
      <c r="O28" s="11"/>
      <c r="P28" s="2">
        <f>--108.95</f>
        <v>108.95</v>
      </c>
      <c r="Q28" s="2"/>
      <c r="R28" s="21"/>
      <c r="S28" s="2"/>
      <c r="T28" s="2">
        <f>--169.91</f>
        <v>169.91</v>
      </c>
      <c r="U28" s="2"/>
      <c r="V28" s="21"/>
      <c r="W28" s="2"/>
      <c r="X28" s="2">
        <f t="shared" si="2"/>
        <v>-60.959999999999994</v>
      </c>
      <c r="Y28" s="2"/>
      <c r="Z28" s="21">
        <f t="shared" si="3"/>
        <v>-0.3587781766817727</v>
      </c>
    </row>
    <row r="29" spans="1:26" s="24" customFormat="1" hidden="1" outlineLevel="1" x14ac:dyDescent="0.25">
      <c r="A29" s="50"/>
      <c r="B29" s="11" t="str">
        <f>CONCATENATE("          ", "4127", " - ", "NON-TAXABLE SALES-SCHOOL SUPPL")</f>
        <v xml:space="preserve">          4127 - NON-TAXABLE SALES-SCHOOL SUPPL</v>
      </c>
      <c r="C29" s="11"/>
      <c r="D29" s="2">
        <f t="shared" ref="D29:D30" si="4">0</f>
        <v>0</v>
      </c>
      <c r="E29" s="2"/>
      <c r="F29" s="21"/>
      <c r="G29" s="2"/>
      <c r="H29" s="2">
        <f>--2.96</f>
        <v>2.96</v>
      </c>
      <c r="I29" s="2"/>
      <c r="J29" s="21"/>
      <c r="K29" s="2"/>
      <c r="L29" s="2">
        <f t="shared" si="0"/>
        <v>-2.96</v>
      </c>
      <c r="M29" s="2"/>
      <c r="N29" s="21">
        <f t="shared" si="1"/>
        <v>-1</v>
      </c>
      <c r="O29" s="11"/>
      <c r="P29" s="2">
        <f t="shared" ref="P29:P30" si="5">0</f>
        <v>0</v>
      </c>
      <c r="Q29" s="2"/>
      <c r="R29" s="21"/>
      <c r="S29" s="2"/>
      <c r="T29" s="2">
        <f>--2.96</f>
        <v>2.96</v>
      </c>
      <c r="U29" s="2"/>
      <c r="V29" s="21"/>
      <c r="W29" s="2"/>
      <c r="X29" s="2">
        <f t="shared" si="2"/>
        <v>-2.96</v>
      </c>
      <c r="Y29" s="2"/>
      <c r="Z29" s="21">
        <f t="shared" si="3"/>
        <v>-1</v>
      </c>
    </row>
    <row r="30" spans="1:26" s="24" customFormat="1" hidden="1" outlineLevel="1" x14ac:dyDescent="0.25">
      <c r="A30" s="50"/>
      <c r="B30" s="11" t="str">
        <f>CONCATENATE("          ", "4128", " - ", "NON-TAXABLE SALES-ART/TECH")</f>
        <v xml:space="preserve">          4128 - NON-TAXABLE SALES-ART/TECH</v>
      </c>
      <c r="C30" s="11"/>
      <c r="D30" s="2">
        <f t="shared" si="4"/>
        <v>0</v>
      </c>
      <c r="E30" s="2"/>
      <c r="F30" s="21"/>
      <c r="G30" s="2"/>
      <c r="H30" s="2">
        <f>--207.54</f>
        <v>207.54</v>
      </c>
      <c r="I30" s="2"/>
      <c r="J30" s="21"/>
      <c r="K30" s="2"/>
      <c r="L30" s="2">
        <f t="shared" si="0"/>
        <v>-207.54</v>
      </c>
      <c r="M30" s="2"/>
      <c r="N30" s="21">
        <f t="shared" si="1"/>
        <v>-1</v>
      </c>
      <c r="O30" s="11"/>
      <c r="P30" s="2">
        <f t="shared" si="5"/>
        <v>0</v>
      </c>
      <c r="Q30" s="2"/>
      <c r="R30" s="21"/>
      <c r="S30" s="2"/>
      <c r="T30" s="2">
        <f>--207.54</f>
        <v>207.54</v>
      </c>
      <c r="U30" s="2"/>
      <c r="V30" s="21"/>
      <c r="W30" s="2"/>
      <c r="X30" s="2">
        <f t="shared" si="2"/>
        <v>-207.54</v>
      </c>
      <c r="Y30" s="2"/>
      <c r="Z30" s="21">
        <f t="shared" si="3"/>
        <v>-1</v>
      </c>
    </row>
    <row r="31" spans="1:26" s="24" customFormat="1" hidden="1" outlineLevel="1" x14ac:dyDescent="0.25">
      <c r="A31" s="50"/>
      <c r="B31" s="11" t="str">
        <f>CONCATENATE("          ", "4131", " - ", "NON-TAXABLE SALES-FOOD")</f>
        <v xml:space="preserve">          4131 - NON-TAXABLE SALES-FOOD</v>
      </c>
      <c r="C31" s="11"/>
      <c r="D31" s="2">
        <f>--2311.07</f>
        <v>2311.0700000000002</v>
      </c>
      <c r="E31" s="2"/>
      <c r="F31" s="21"/>
      <c r="G31" s="2"/>
      <c r="H31" s="2">
        <f>--2377.68</f>
        <v>2377.6799999999998</v>
      </c>
      <c r="I31" s="2"/>
      <c r="J31" s="21"/>
      <c r="K31" s="2"/>
      <c r="L31" s="2">
        <f t="shared" si="0"/>
        <v>-66.609999999999673</v>
      </c>
      <c r="M31" s="2"/>
      <c r="N31" s="21">
        <f t="shared" si="1"/>
        <v>-2.801470340836432E-2</v>
      </c>
      <c r="O31" s="11"/>
      <c r="P31" s="2">
        <f>--2453.27</f>
        <v>2453.27</v>
      </c>
      <c r="Q31" s="2"/>
      <c r="R31" s="21"/>
      <c r="S31" s="2"/>
      <c r="T31" s="2">
        <f>--2582.5</f>
        <v>2582.5</v>
      </c>
      <c r="U31" s="2"/>
      <c r="V31" s="21"/>
      <c r="W31" s="2"/>
      <c r="X31" s="2">
        <f t="shared" si="2"/>
        <v>-129.23000000000002</v>
      </c>
      <c r="Y31" s="2"/>
      <c r="Z31" s="21">
        <f t="shared" si="3"/>
        <v>-5.0040658276863513E-2</v>
      </c>
    </row>
    <row r="32" spans="1:26" s="24" customFormat="1" hidden="1" outlineLevel="1" x14ac:dyDescent="0.25">
      <c r="A32" s="50"/>
      <c r="B32" s="11" t="str">
        <f>CONCATENATE("          ", "4132", " - ", "NON-TAXABLE SALES-JUICE")</f>
        <v xml:space="preserve">          4132 - NON-TAXABLE SALES-JUICE</v>
      </c>
      <c r="C32" s="11"/>
      <c r="D32" s="2">
        <f>--713.6</f>
        <v>713.6</v>
      </c>
      <c r="E32" s="2"/>
      <c r="F32" s="21"/>
      <c r="G32" s="2"/>
      <c r="H32" s="2">
        <f>--623.58</f>
        <v>623.58000000000004</v>
      </c>
      <c r="I32" s="2"/>
      <c r="J32" s="21"/>
      <c r="K32" s="2"/>
      <c r="L32" s="2">
        <f t="shared" si="0"/>
        <v>90.019999999999982</v>
      </c>
      <c r="M32" s="2"/>
      <c r="N32" s="21">
        <f t="shared" si="1"/>
        <v>0.14435998588793736</v>
      </c>
      <c r="O32" s="11"/>
      <c r="P32" s="2">
        <f>--758.91</f>
        <v>758.91</v>
      </c>
      <c r="Q32" s="2"/>
      <c r="R32" s="21"/>
      <c r="S32" s="2"/>
      <c r="T32" s="2">
        <f>--694.49</f>
        <v>694.49</v>
      </c>
      <c r="U32" s="2"/>
      <c r="V32" s="21"/>
      <c r="W32" s="2"/>
      <c r="X32" s="2">
        <f t="shared" si="2"/>
        <v>64.419999999999959</v>
      </c>
      <c r="Y32" s="2"/>
      <c r="Z32" s="21">
        <f t="shared" si="3"/>
        <v>9.2758715028294081E-2</v>
      </c>
    </row>
    <row r="33" spans="1:26" s="24" customFormat="1" hidden="1" outlineLevel="1" x14ac:dyDescent="0.25">
      <c r="A33" s="50"/>
      <c r="B33" s="11" t="str">
        <f>CONCATENATE("          ", "4133", " - ", "NON-TAXABLE SALES-CANDY")</f>
        <v xml:space="preserve">          4133 - NON-TAXABLE SALES-CANDY</v>
      </c>
      <c r="C33" s="11"/>
      <c r="D33" s="2">
        <f>--715.78</f>
        <v>715.78</v>
      </c>
      <c r="E33" s="2"/>
      <c r="F33" s="21"/>
      <c r="G33" s="2"/>
      <c r="H33" s="2">
        <f>--569.72</f>
        <v>569.72</v>
      </c>
      <c r="I33" s="2"/>
      <c r="J33" s="21"/>
      <c r="K33" s="2"/>
      <c r="L33" s="2">
        <f t="shared" si="0"/>
        <v>146.05999999999995</v>
      </c>
      <c r="M33" s="2"/>
      <c r="N33" s="21">
        <f t="shared" si="1"/>
        <v>0.25637155093730241</v>
      </c>
      <c r="O33" s="11"/>
      <c r="P33" s="2">
        <f>--899.15</f>
        <v>899.15</v>
      </c>
      <c r="Q33" s="2"/>
      <c r="R33" s="21"/>
      <c r="S33" s="2"/>
      <c r="T33" s="2">
        <f>--643.9</f>
        <v>643.9</v>
      </c>
      <c r="U33" s="2"/>
      <c r="V33" s="21"/>
      <c r="W33" s="2"/>
      <c r="X33" s="2">
        <f t="shared" si="2"/>
        <v>255.25</v>
      </c>
      <c r="Y33" s="2"/>
      <c r="Z33" s="21">
        <f t="shared" si="3"/>
        <v>0.39641248641093341</v>
      </c>
    </row>
    <row r="34" spans="1:26" s="24" customFormat="1" hidden="1" outlineLevel="1" x14ac:dyDescent="0.25">
      <c r="A34" s="50"/>
      <c r="B34" s="11" t="str">
        <f>CONCATENATE("          ", "4134", " - ", "NON-TAXABLE SALES-SODA")</f>
        <v xml:space="preserve">          4134 - NON-TAXABLE SALES-SODA</v>
      </c>
      <c r="C34" s="11"/>
      <c r="D34" s="2">
        <f>0</f>
        <v>0</v>
      </c>
      <c r="E34" s="2"/>
      <c r="F34" s="21"/>
      <c r="G34" s="2"/>
      <c r="H34" s="2">
        <f>--48.48</f>
        <v>48.48</v>
      </c>
      <c r="I34" s="2"/>
      <c r="J34" s="21"/>
      <c r="K34" s="2"/>
      <c r="L34" s="2">
        <f t="shared" si="0"/>
        <v>-48.48</v>
      </c>
      <c r="M34" s="2"/>
      <c r="N34" s="21">
        <f t="shared" si="1"/>
        <v>-1</v>
      </c>
      <c r="O34" s="11"/>
      <c r="P34" s="2">
        <f>0</f>
        <v>0</v>
      </c>
      <c r="Q34" s="2"/>
      <c r="R34" s="21"/>
      <c r="S34" s="2"/>
      <c r="T34" s="2">
        <f>--53.73</f>
        <v>53.73</v>
      </c>
      <c r="U34" s="2"/>
      <c r="V34" s="21"/>
      <c r="W34" s="2"/>
      <c r="X34" s="2">
        <f t="shared" si="2"/>
        <v>-53.73</v>
      </c>
      <c r="Y34" s="2"/>
      <c r="Z34" s="21">
        <f t="shared" si="3"/>
        <v>-1</v>
      </c>
    </row>
    <row r="35" spans="1:26" s="24" customFormat="1" hidden="1" outlineLevel="1" x14ac:dyDescent="0.25">
      <c r="A35" s="50"/>
      <c r="B35" s="11" t="str">
        <f>CONCATENATE("          ", "4135", " - ", "NON-TAXABLE SALES")</f>
        <v xml:space="preserve">          4135 - NON-TAXABLE SALES</v>
      </c>
      <c r="C35" s="11"/>
      <c r="D35" s="2">
        <f>--7.18</f>
        <v>7.18</v>
      </c>
      <c r="E35" s="2"/>
      <c r="F35" s="21"/>
      <c r="G35" s="2"/>
      <c r="H35" s="2">
        <f>--3.59</f>
        <v>3.59</v>
      </c>
      <c r="I35" s="2"/>
      <c r="J35" s="21"/>
      <c r="K35" s="2"/>
      <c r="L35" s="2">
        <f t="shared" si="0"/>
        <v>3.59</v>
      </c>
      <c r="M35" s="2"/>
      <c r="N35" s="21">
        <f t="shared" si="1"/>
        <v>1</v>
      </c>
      <c r="O35" s="11"/>
      <c r="P35" s="2">
        <f>--7.18</f>
        <v>7.18</v>
      </c>
      <c r="Q35" s="2"/>
      <c r="R35" s="21"/>
      <c r="S35" s="2"/>
      <c r="T35" s="2">
        <f>--3.59</f>
        <v>3.59</v>
      </c>
      <c r="U35" s="2"/>
      <c r="V35" s="21"/>
      <c r="W35" s="2"/>
      <c r="X35" s="2">
        <f t="shared" si="2"/>
        <v>3.59</v>
      </c>
      <c r="Y35" s="2"/>
      <c r="Z35" s="21">
        <f t="shared" si="3"/>
        <v>1</v>
      </c>
    </row>
    <row r="36" spans="1:26" s="24" customFormat="1" hidden="1" outlineLevel="1" x14ac:dyDescent="0.25">
      <c r="A36" s="50"/>
      <c r="B36" s="11" t="str">
        <f>CONCATENATE("          ", "4137", " - ", "NON-TAXABLE SALES-WATER")</f>
        <v xml:space="preserve">          4137 - NON-TAXABLE SALES-WATER</v>
      </c>
      <c r="C36" s="11"/>
      <c r="D36" s="2">
        <f>--522.2</f>
        <v>522.20000000000005</v>
      </c>
      <c r="E36" s="2"/>
      <c r="F36" s="21"/>
      <c r="G36" s="2"/>
      <c r="H36" s="2">
        <f>--392.09</f>
        <v>392.09</v>
      </c>
      <c r="I36" s="2"/>
      <c r="J36" s="21"/>
      <c r="K36" s="2"/>
      <c r="L36" s="2">
        <f t="shared" si="0"/>
        <v>130.11000000000007</v>
      </c>
      <c r="M36" s="2"/>
      <c r="N36" s="21">
        <f t="shared" si="1"/>
        <v>0.331837078221837</v>
      </c>
      <c r="O36" s="11"/>
      <c r="P36" s="2">
        <f>--552.72</f>
        <v>552.72</v>
      </c>
      <c r="Q36" s="2"/>
      <c r="R36" s="21"/>
      <c r="S36" s="2"/>
      <c r="T36" s="2">
        <f>--427.97</f>
        <v>427.97</v>
      </c>
      <c r="U36" s="2"/>
      <c r="V36" s="21"/>
      <c r="W36" s="2"/>
      <c r="X36" s="2">
        <f t="shared" si="2"/>
        <v>124.75</v>
      </c>
      <c r="Y36" s="2"/>
      <c r="Z36" s="21">
        <f t="shared" si="3"/>
        <v>0.29149239432670515</v>
      </c>
    </row>
    <row r="37" spans="1:26" s="24" customFormat="1" hidden="1" outlineLevel="1" x14ac:dyDescent="0.25">
      <c r="A37" s="50"/>
      <c r="B37" s="11" t="str">
        <f>CONCATENATE("          ", "4186", " - ", "NON-TAXABLE SALES-COMPUTER SUP")</f>
        <v xml:space="preserve">          4186 - NON-TAXABLE SALES-COMPUTER SUP</v>
      </c>
      <c r="C37" s="11"/>
      <c r="D37" s="2">
        <f>0</f>
        <v>0</v>
      </c>
      <c r="E37" s="2"/>
      <c r="F37" s="21"/>
      <c r="G37" s="2"/>
      <c r="H37" s="2">
        <f>0</f>
        <v>0</v>
      </c>
      <c r="I37" s="2"/>
      <c r="J37" s="21"/>
      <c r="K37" s="2"/>
      <c r="L37" s="2">
        <f t="shared" si="0"/>
        <v>0</v>
      </c>
      <c r="M37" s="2"/>
      <c r="N37" s="21">
        <f t="shared" si="1"/>
        <v>0</v>
      </c>
      <c r="O37" s="11"/>
      <c r="P37" s="2">
        <f>0</f>
        <v>0</v>
      </c>
      <c r="Q37" s="2"/>
      <c r="R37" s="21"/>
      <c r="S37" s="2"/>
      <c r="T37" s="2">
        <f>-14.99</f>
        <v>-14.99</v>
      </c>
      <c r="U37" s="2"/>
      <c r="V37" s="21"/>
      <c r="W37" s="2"/>
      <c r="X37" s="2">
        <f t="shared" si="2"/>
        <v>14.99</v>
      </c>
      <c r="Y37" s="2"/>
      <c r="Z37" s="21">
        <f t="shared" si="3"/>
        <v>-1</v>
      </c>
    </row>
    <row r="38" spans="1:26" s="24" customFormat="1" hidden="1" outlineLevel="1" x14ac:dyDescent="0.25">
      <c r="A38" s="50"/>
      <c r="B38" s="11" t="str">
        <f>CONCATENATE("          ", "4227", " - ", "SALES RETURN TAXABLE-SCHOOL SU")</f>
        <v xml:space="preserve">          4227 - SALES RETURN TAXABLE-SCHOOL SU</v>
      </c>
      <c r="C38" s="11"/>
      <c r="D38" s="2">
        <f>-1.49</f>
        <v>-1.49</v>
      </c>
      <c r="E38" s="2"/>
      <c r="F38" s="21"/>
      <c r="G38" s="2"/>
      <c r="H38" s="2">
        <f>-17.56</f>
        <v>-17.559999999999999</v>
      </c>
      <c r="I38" s="2"/>
      <c r="J38" s="21"/>
      <c r="K38" s="2"/>
      <c r="L38" s="2">
        <f t="shared" si="0"/>
        <v>16.07</v>
      </c>
      <c r="M38" s="2"/>
      <c r="N38" s="21">
        <f t="shared" si="1"/>
        <v>-0.9151480637813213</v>
      </c>
      <c r="O38" s="11"/>
      <c r="P38" s="2">
        <f>-10.46</f>
        <v>-10.46</v>
      </c>
      <c r="Q38" s="2"/>
      <c r="R38" s="21"/>
      <c r="S38" s="2"/>
      <c r="T38" s="2">
        <f>-17.56</f>
        <v>-17.559999999999999</v>
      </c>
      <c r="U38" s="2"/>
      <c r="V38" s="21"/>
      <c r="W38" s="2"/>
      <c r="X38" s="2">
        <f t="shared" si="2"/>
        <v>7.0999999999999979</v>
      </c>
      <c r="Y38" s="2"/>
      <c r="Z38" s="21">
        <f t="shared" si="3"/>
        <v>-0.40432801822323455</v>
      </c>
    </row>
    <row r="39" spans="1:26" s="24" customFormat="1" hidden="1" outlineLevel="1" x14ac:dyDescent="0.25">
      <c r="A39" s="50"/>
      <c r="B39" s="11" t="str">
        <f>CONCATENATE("          ", "4228", " - ", "SALES RETURN TAXABLE-ART/TECH")</f>
        <v xml:space="preserve">          4228 - SALES RETURN TAXABLE-ART/TECH</v>
      </c>
      <c r="C39" s="11"/>
      <c r="D39" s="2">
        <f>-771.5</f>
        <v>-771.5</v>
      </c>
      <c r="E39" s="2"/>
      <c r="F39" s="21"/>
      <c r="G39" s="2"/>
      <c r="H39" s="2">
        <f>-916.05</f>
        <v>-916.05</v>
      </c>
      <c r="I39" s="2"/>
      <c r="J39" s="21"/>
      <c r="K39" s="2"/>
      <c r="L39" s="2">
        <f t="shared" si="0"/>
        <v>144.54999999999995</v>
      </c>
      <c r="M39" s="2"/>
      <c r="N39" s="21">
        <f t="shared" si="1"/>
        <v>-0.15779706347906769</v>
      </c>
      <c r="O39" s="11"/>
      <c r="P39" s="2">
        <f>-781.87</f>
        <v>-781.87</v>
      </c>
      <c r="Q39" s="2"/>
      <c r="R39" s="21"/>
      <c r="S39" s="2"/>
      <c r="T39" s="2">
        <f>-1065.49</f>
        <v>-1065.49</v>
      </c>
      <c r="U39" s="2"/>
      <c r="V39" s="21"/>
      <c r="W39" s="2"/>
      <c r="X39" s="2">
        <f t="shared" si="2"/>
        <v>283.62</v>
      </c>
      <c r="Y39" s="2"/>
      <c r="Z39" s="21">
        <f t="shared" si="3"/>
        <v>-0.26618738796234598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5" t="s">
        <v>8</v>
      </c>
      <c r="C41" s="10"/>
      <c r="D41" s="4">
        <f>SUM(OSRRefD16x_0)</f>
        <v>28053.26</v>
      </c>
      <c r="E41" s="4"/>
      <c r="F41" s="12">
        <f t="shared" ref="F41:F58" si="6">IF(D$12=0,0,D41/D$12)</f>
        <v>0.52672860500546204</v>
      </c>
      <c r="G41" s="4"/>
      <c r="H41" s="4">
        <f>SUM(OSRRefH16x_0)</f>
        <v>27446.290000000005</v>
      </c>
      <c r="I41" s="4"/>
      <c r="J41" s="12">
        <f t="shared" ref="J41:J58" si="7">IF(H$12=0,0,H41/H$12)</f>
        <v>0.54275822122888784</v>
      </c>
      <c r="K41" s="4"/>
      <c r="L41" s="4">
        <f t="shared" ref="L41:L58" si="8">+D41-H41</f>
        <v>606.96999999999389</v>
      </c>
      <c r="M41" s="4"/>
      <c r="N41" s="12">
        <f t="shared" ref="N41:N58" si="9">IF(H41=0,0,L41/H41)</f>
        <v>2.2114828634398086E-2</v>
      </c>
      <c r="O41" s="10"/>
      <c r="P41" s="4">
        <f>SUM(OSRRefP16x_0)</f>
        <v>29418.140000000003</v>
      </c>
      <c r="Q41" s="4"/>
      <c r="R41" s="12">
        <f t="shared" ref="R41:R58" si="10">IF(P$12=0,0,P41/P$12)</f>
        <v>0.52829198615507356</v>
      </c>
      <c r="S41" s="4"/>
      <c r="T41" s="4">
        <f>SUM(OSRRefT16x_0)</f>
        <v>28530.589999999993</v>
      </c>
      <c r="U41" s="4"/>
      <c r="V41" s="12">
        <f t="shared" ref="V41:V58" si="11">IF(T$12=0,0,T41/T$12)</f>
        <v>0.54399717348498555</v>
      </c>
      <c r="W41" s="4"/>
      <c r="X41" s="4">
        <f t="shared" ref="X41:X58" si="12">+P41-T41</f>
        <v>887.55000000001019</v>
      </c>
      <c r="Y41" s="4"/>
      <c r="Z41" s="12">
        <f t="shared" ref="Z41:Z58" si="13">IF(T41=0,0,X41/T41)</f>
        <v>3.1108715242131706E-2</v>
      </c>
    </row>
    <row r="42" spans="1:26" s="24" customFormat="1" hidden="1" outlineLevel="1" x14ac:dyDescent="0.25">
      <c r="A42" s="50"/>
      <c r="B42" s="11" t="str">
        <f>CONCATENATE("          ", "5026", " - ", "PURCHASES @ COST-WRITING INSTR")</f>
        <v xml:space="preserve">          5026 - PURCHASES @ COST-WRITING INSTR</v>
      </c>
      <c r="C42" s="11"/>
      <c r="D42" s="2">
        <v>-484.71</v>
      </c>
      <c r="E42" s="2"/>
      <c r="F42" s="21">
        <f t="shared" si="6"/>
        <v>-9.1009252447736017E-3</v>
      </c>
      <c r="G42" s="2"/>
      <c r="H42" s="2">
        <v>197.32</v>
      </c>
      <c r="I42" s="2"/>
      <c r="J42" s="21">
        <f t="shared" si="7"/>
        <v>3.9020593389082507E-3</v>
      </c>
      <c r="K42" s="2"/>
      <c r="L42" s="2">
        <f t="shared" si="8"/>
        <v>-682.03</v>
      </c>
      <c r="M42" s="2"/>
      <c r="N42" s="21">
        <f t="shared" si="9"/>
        <v>-3.4564666531522401</v>
      </c>
      <c r="O42" s="11"/>
      <c r="P42" s="2">
        <v>390.82</v>
      </c>
      <c r="Q42" s="2"/>
      <c r="R42" s="21">
        <f t="shared" si="10"/>
        <v>7.0183592174463041E-3</v>
      </c>
      <c r="S42" s="2"/>
      <c r="T42" s="2">
        <v>570.96</v>
      </c>
      <c r="U42" s="2"/>
      <c r="V42" s="21">
        <f t="shared" si="11"/>
        <v>1.0886582652969583E-2</v>
      </c>
      <c r="W42" s="2"/>
      <c r="X42" s="2">
        <f t="shared" si="12"/>
        <v>-180.14000000000004</v>
      </c>
      <c r="Y42" s="2"/>
      <c r="Z42" s="21">
        <f t="shared" si="13"/>
        <v>-0.31550371304469671</v>
      </c>
    </row>
    <row r="43" spans="1:26" s="24" customFormat="1" hidden="1" outlineLevel="1" x14ac:dyDescent="0.25">
      <c r="A43" s="50"/>
      <c r="B43" s="11" t="str">
        <f>CONCATENATE("          ", "5027", " - ", "PURCHASES @ COST-SCHOOL SUPPLI")</f>
        <v xml:space="preserve">          5027 - PURCHASES @ COST-SCHOOL SUPPLI</v>
      </c>
      <c r="C43" s="11"/>
      <c r="D43" s="2">
        <v>-460.76</v>
      </c>
      <c r="E43" s="2"/>
      <c r="F43" s="21">
        <f t="shared" si="6"/>
        <v>-8.651239536592777E-3</v>
      </c>
      <c r="G43" s="2"/>
      <c r="H43" s="2">
        <v>236.19</v>
      </c>
      <c r="I43" s="2"/>
      <c r="J43" s="21">
        <f t="shared" si="7"/>
        <v>4.6707246870907144E-3</v>
      </c>
      <c r="K43" s="2"/>
      <c r="L43" s="2">
        <f t="shared" si="8"/>
        <v>-696.95</v>
      </c>
      <c r="M43" s="2"/>
      <c r="N43" s="21">
        <f t="shared" si="9"/>
        <v>-2.9508023201659683</v>
      </c>
      <c r="O43" s="11"/>
      <c r="P43" s="2">
        <v>396.73</v>
      </c>
      <c r="Q43" s="2"/>
      <c r="R43" s="21">
        <f t="shared" si="10"/>
        <v>7.1244912039749048E-3</v>
      </c>
      <c r="S43" s="2"/>
      <c r="T43" s="2">
        <v>854.7</v>
      </c>
      <c r="U43" s="2"/>
      <c r="V43" s="21">
        <f t="shared" si="11"/>
        <v>1.6296697130259743E-2</v>
      </c>
      <c r="W43" s="2"/>
      <c r="X43" s="2">
        <f t="shared" si="12"/>
        <v>-457.97</v>
      </c>
      <c r="Y43" s="2"/>
      <c r="Z43" s="21">
        <f t="shared" si="13"/>
        <v>-0.53582543582543585</v>
      </c>
    </row>
    <row r="44" spans="1:26" s="24" customFormat="1" hidden="1" outlineLevel="1" x14ac:dyDescent="0.25">
      <c r="A44" s="50"/>
      <c r="B44" s="11" t="str">
        <f>CONCATENATE("          ", "5028", " - ", "PURCHASES @ COST-ART/TECH")</f>
        <v xml:space="preserve">          5028 - PURCHASES @ COST-ART/TECH</v>
      </c>
      <c r="C44" s="11"/>
      <c r="D44" s="2">
        <v>27515.48</v>
      </c>
      <c r="E44" s="2"/>
      <c r="F44" s="21">
        <f t="shared" si="6"/>
        <v>0.5166312363146276</v>
      </c>
      <c r="G44" s="2"/>
      <c r="H44" s="2">
        <v>12175.58</v>
      </c>
      <c r="I44" s="2"/>
      <c r="J44" s="21">
        <f t="shared" si="7"/>
        <v>0.24077557087788626</v>
      </c>
      <c r="K44" s="2"/>
      <c r="L44" s="2">
        <f t="shared" si="8"/>
        <v>15339.9</v>
      </c>
      <c r="M44" s="2"/>
      <c r="N44" s="21">
        <f t="shared" si="9"/>
        <v>1.2598906992521095</v>
      </c>
      <c r="O44" s="11"/>
      <c r="P44" s="2">
        <v>53398.57</v>
      </c>
      <c r="Q44" s="2"/>
      <c r="R44" s="21">
        <f t="shared" si="10"/>
        <v>0.9589333861060122</v>
      </c>
      <c r="S44" s="2"/>
      <c r="T44" s="2">
        <v>36330.120000000003</v>
      </c>
      <c r="U44" s="2"/>
      <c r="V44" s="21">
        <f t="shared" si="11"/>
        <v>0.69271201865682941</v>
      </c>
      <c r="W44" s="2"/>
      <c r="X44" s="2">
        <f t="shared" si="12"/>
        <v>17068.449999999997</v>
      </c>
      <c r="Y44" s="2"/>
      <c r="Z44" s="21">
        <f t="shared" si="13"/>
        <v>0.46981540385773557</v>
      </c>
    </row>
    <row r="45" spans="1:26" s="24" customFormat="1" hidden="1" outlineLevel="1" x14ac:dyDescent="0.25">
      <c r="A45" s="50"/>
      <c r="B45" s="11" t="str">
        <f>CONCATENATE("          ", "5031", " - ", "PURCHASES @ COST-FOOD")</f>
        <v xml:space="preserve">          5031 - PURCHASES @ COST-FOOD</v>
      </c>
      <c r="C45" s="11"/>
      <c r="D45" s="2">
        <v>2529.9299999999998</v>
      </c>
      <c r="E45" s="2"/>
      <c r="F45" s="21">
        <f t="shared" si="6"/>
        <v>4.7502019361082046E-2</v>
      </c>
      <c r="G45" s="2"/>
      <c r="H45" s="2">
        <v>2731.16</v>
      </c>
      <c r="I45" s="2"/>
      <c r="J45" s="21">
        <f t="shared" si="7"/>
        <v>5.400946880221294E-2</v>
      </c>
      <c r="K45" s="2"/>
      <c r="L45" s="2">
        <f t="shared" si="8"/>
        <v>-201.23000000000002</v>
      </c>
      <c r="M45" s="2"/>
      <c r="N45" s="21">
        <f t="shared" si="9"/>
        <v>-7.3679315748619648E-2</v>
      </c>
      <c r="O45" s="11"/>
      <c r="P45" s="2">
        <v>2529.9299999999998</v>
      </c>
      <c r="Q45" s="2"/>
      <c r="R45" s="21">
        <f t="shared" si="10"/>
        <v>4.5432571349966547E-2</v>
      </c>
      <c r="S45" s="2"/>
      <c r="T45" s="2">
        <v>2731.16</v>
      </c>
      <c r="U45" s="2"/>
      <c r="V45" s="21">
        <f t="shared" si="11"/>
        <v>5.2075450256558083E-2</v>
      </c>
      <c r="W45" s="2"/>
      <c r="X45" s="2">
        <f t="shared" si="12"/>
        <v>-201.23000000000002</v>
      </c>
      <c r="Y45" s="2"/>
      <c r="Z45" s="21">
        <f t="shared" si="13"/>
        <v>-7.3679315748619648E-2</v>
      </c>
    </row>
    <row r="46" spans="1:26" s="24" customFormat="1" hidden="1" outlineLevel="1" x14ac:dyDescent="0.25">
      <c r="A46" s="50"/>
      <c r="B46" s="11" t="str">
        <f>CONCATENATE("          ", "5032", " - ", "PURCHASES @ COST-JUICE")</f>
        <v xml:space="preserve">          5032 - PURCHASES @ COST-JUICE</v>
      </c>
      <c r="C46" s="11"/>
      <c r="D46" s="2">
        <v>227.18</v>
      </c>
      <c r="E46" s="2"/>
      <c r="F46" s="21">
        <f t="shared" si="6"/>
        <v>4.2655365003974894E-3</v>
      </c>
      <c r="G46" s="2"/>
      <c r="H46" s="2">
        <v>982.09</v>
      </c>
      <c r="I46" s="2"/>
      <c r="J46" s="21">
        <f t="shared" si="7"/>
        <v>1.9421110156843727E-2</v>
      </c>
      <c r="K46" s="2"/>
      <c r="L46" s="2">
        <f t="shared" si="8"/>
        <v>-754.91000000000008</v>
      </c>
      <c r="M46" s="2"/>
      <c r="N46" s="21">
        <f t="shared" si="9"/>
        <v>-0.76867700516245974</v>
      </c>
      <c r="O46" s="11"/>
      <c r="P46" s="2">
        <v>341.6</v>
      </c>
      <c r="Q46" s="2"/>
      <c r="R46" s="21">
        <f t="shared" si="10"/>
        <v>6.1344647374230021E-3</v>
      </c>
      <c r="S46" s="2"/>
      <c r="T46" s="2">
        <v>982.09</v>
      </c>
      <c r="U46" s="2"/>
      <c r="V46" s="21">
        <f t="shared" si="11"/>
        <v>1.8725661968710415E-2</v>
      </c>
      <c r="W46" s="2"/>
      <c r="X46" s="2">
        <f t="shared" si="12"/>
        <v>-640.49</v>
      </c>
      <c r="Y46" s="2"/>
      <c r="Z46" s="21">
        <f t="shared" si="13"/>
        <v>-0.65217037135089451</v>
      </c>
    </row>
    <row r="47" spans="1:26" s="24" customFormat="1" hidden="1" outlineLevel="1" x14ac:dyDescent="0.25">
      <c r="A47" s="50"/>
      <c r="B47" s="11" t="str">
        <f>CONCATENATE("          ", "5033", " - ", "PURCHASES @ COST-CANDY")</f>
        <v xml:space="preserve">          5033 - PURCHASES @ COST-CANDY</v>
      </c>
      <c r="C47" s="11"/>
      <c r="D47" s="2">
        <v>905.51</v>
      </c>
      <c r="E47" s="2"/>
      <c r="F47" s="21">
        <f t="shared" si="6"/>
        <v>1.7001874973478874E-2</v>
      </c>
      <c r="G47" s="2"/>
      <c r="H47" s="2">
        <v>836.07</v>
      </c>
      <c r="I47" s="2"/>
      <c r="J47" s="21">
        <f t="shared" si="7"/>
        <v>1.6533522965137954E-2</v>
      </c>
      <c r="K47" s="2"/>
      <c r="L47" s="2">
        <f t="shared" si="8"/>
        <v>69.439999999999941</v>
      </c>
      <c r="M47" s="2"/>
      <c r="N47" s="21">
        <f t="shared" si="9"/>
        <v>8.3055246570263183E-2</v>
      </c>
      <c r="O47" s="11"/>
      <c r="P47" s="2">
        <v>905.51</v>
      </c>
      <c r="Q47" s="2"/>
      <c r="R47" s="21">
        <f t="shared" si="10"/>
        <v>1.6261180223606269E-2</v>
      </c>
      <c r="S47" s="2"/>
      <c r="T47" s="2">
        <v>836.07</v>
      </c>
      <c r="U47" s="2"/>
      <c r="V47" s="21">
        <f t="shared" si="11"/>
        <v>1.5941476038020666E-2</v>
      </c>
      <c r="W47" s="2"/>
      <c r="X47" s="2">
        <f t="shared" si="12"/>
        <v>69.439999999999941</v>
      </c>
      <c r="Y47" s="2"/>
      <c r="Z47" s="21">
        <f t="shared" si="13"/>
        <v>8.3055246570263183E-2</v>
      </c>
    </row>
    <row r="48" spans="1:26" s="24" customFormat="1" hidden="1" outlineLevel="1" x14ac:dyDescent="0.25">
      <c r="A48" s="50"/>
      <c r="B48" s="11" t="str">
        <f>CONCATENATE("          ", "5034", " - ", "PURCHASES @ COST-SODA")</f>
        <v xml:space="preserve">          5034 - PURCHASES @ COST-SODA</v>
      </c>
      <c r="C48" s="11"/>
      <c r="D48" s="2">
        <v>350.04</v>
      </c>
      <c r="E48" s="2"/>
      <c r="F48" s="21">
        <f t="shared" si="6"/>
        <v>6.5723584672908583E-3</v>
      </c>
      <c r="G48" s="2"/>
      <c r="H48" s="2">
        <v>538.94000000000005</v>
      </c>
      <c r="I48" s="2"/>
      <c r="J48" s="21">
        <f t="shared" si="7"/>
        <v>1.0657692378426986E-2</v>
      </c>
      <c r="K48" s="2"/>
      <c r="L48" s="2">
        <f t="shared" si="8"/>
        <v>-188.90000000000003</v>
      </c>
      <c r="M48" s="2"/>
      <c r="N48" s="21">
        <f t="shared" si="9"/>
        <v>-0.3505028389060007</v>
      </c>
      <c r="O48" s="11"/>
      <c r="P48" s="2">
        <v>288.5</v>
      </c>
      <c r="Q48" s="2"/>
      <c r="R48" s="21">
        <f t="shared" si="10"/>
        <v>5.1808930818107021E-3</v>
      </c>
      <c r="S48" s="2"/>
      <c r="T48" s="2">
        <v>548.17999999999995</v>
      </c>
      <c r="U48" s="2"/>
      <c r="V48" s="21">
        <f t="shared" si="11"/>
        <v>1.0452232868685837E-2</v>
      </c>
      <c r="W48" s="2"/>
      <c r="X48" s="2">
        <f t="shared" si="12"/>
        <v>-259.67999999999995</v>
      </c>
      <c r="Y48" s="2"/>
      <c r="Z48" s="21">
        <f t="shared" si="13"/>
        <v>-0.47371301397351229</v>
      </c>
    </row>
    <row r="49" spans="1:26" s="24" customFormat="1" hidden="1" outlineLevel="1" x14ac:dyDescent="0.25">
      <c r="A49" s="50"/>
      <c r="B49" s="11" t="str">
        <f>CONCATENATE("          ", "5035", " - ", "PURCHASES @ COST-HEALTH &amp; BEAU")</f>
        <v xml:space="preserve">          5035 - PURCHASES @ COST-HEALTH &amp; BEAU</v>
      </c>
      <c r="C49" s="11"/>
      <c r="D49" s="2">
        <v>42.24</v>
      </c>
      <c r="E49" s="2"/>
      <c r="F49" s="21">
        <f t="shared" si="6"/>
        <v>7.9309913626547212E-4</v>
      </c>
      <c r="G49" s="2"/>
      <c r="H49" s="2">
        <v>44.49</v>
      </c>
      <c r="I49" s="2"/>
      <c r="J49" s="21">
        <f t="shared" si="7"/>
        <v>8.7980245280776443E-4</v>
      </c>
      <c r="K49" s="2"/>
      <c r="L49" s="2">
        <f t="shared" si="8"/>
        <v>-2.25</v>
      </c>
      <c r="M49" s="2"/>
      <c r="N49" s="21">
        <f t="shared" si="9"/>
        <v>-5.0573162508428859E-2</v>
      </c>
      <c r="O49" s="11"/>
      <c r="P49" s="2">
        <v>42.24</v>
      </c>
      <c r="Q49" s="2"/>
      <c r="R49" s="21">
        <f t="shared" si="10"/>
        <v>7.5854739610289109E-4</v>
      </c>
      <c r="S49" s="2"/>
      <c r="T49" s="2">
        <v>44.49</v>
      </c>
      <c r="U49" s="2"/>
      <c r="V49" s="21">
        <f t="shared" si="11"/>
        <v>8.4829771302826244E-4</v>
      </c>
      <c r="W49" s="2"/>
      <c r="X49" s="2">
        <f t="shared" si="12"/>
        <v>-2.25</v>
      </c>
      <c r="Y49" s="2"/>
      <c r="Z49" s="21">
        <f t="shared" si="13"/>
        <v>-5.0573162508428859E-2</v>
      </c>
    </row>
    <row r="50" spans="1:26" s="24" customFormat="1" hidden="1" outlineLevel="1" x14ac:dyDescent="0.25">
      <c r="A50" s="50"/>
      <c r="B50" s="11" t="str">
        <f>CONCATENATE("          ", "5037", " - ", "PURCHASES @ COST-WATER")</f>
        <v xml:space="preserve">          5037 - PURCHASES @ COST-WATER</v>
      </c>
      <c r="C50" s="11"/>
      <c r="D50" s="2">
        <v>449.64</v>
      </c>
      <c r="E50" s="2"/>
      <c r="F50" s="21">
        <f t="shared" si="6"/>
        <v>8.442450180644101E-3</v>
      </c>
      <c r="G50" s="2"/>
      <c r="H50" s="2">
        <v>591.05999999999995</v>
      </c>
      <c r="I50" s="2"/>
      <c r="J50" s="21">
        <f t="shared" si="7"/>
        <v>1.1688380259756286E-2</v>
      </c>
      <c r="K50" s="2"/>
      <c r="L50" s="2">
        <f t="shared" si="8"/>
        <v>-141.41999999999996</v>
      </c>
      <c r="M50" s="2"/>
      <c r="N50" s="21">
        <f t="shared" si="9"/>
        <v>-0.2392650492335803</v>
      </c>
      <c r="O50" s="11"/>
      <c r="P50" s="2">
        <v>466.18</v>
      </c>
      <c r="Q50" s="2"/>
      <c r="R50" s="21">
        <f t="shared" si="10"/>
        <v>8.3716767309480536E-3</v>
      </c>
      <c r="S50" s="2"/>
      <c r="T50" s="2">
        <v>591.05999999999995</v>
      </c>
      <c r="U50" s="2"/>
      <c r="V50" s="21">
        <f t="shared" si="11"/>
        <v>1.1269832462631709E-2</v>
      </c>
      <c r="W50" s="2"/>
      <c r="X50" s="2">
        <f t="shared" si="12"/>
        <v>-124.87999999999994</v>
      </c>
      <c r="Y50" s="2"/>
      <c r="Z50" s="21">
        <f t="shared" si="13"/>
        <v>-0.21128142658951704</v>
      </c>
    </row>
    <row r="51" spans="1:26" s="24" customFormat="1" hidden="1" outlineLevel="1" x14ac:dyDescent="0.25">
      <c r="A51" s="50"/>
      <c r="B51" s="11" t="str">
        <f>CONCATENATE("          ", "5081", " - ", "PURCHASES @ COST-ELECTRONICS")</f>
        <v xml:space="preserve">          5081 - PURCHASES @ COST-ELECTRONICS</v>
      </c>
      <c r="C51" s="11"/>
      <c r="D51" s="2">
        <v>304.16000000000003</v>
      </c>
      <c r="E51" s="2"/>
      <c r="F51" s="21">
        <f t="shared" si="6"/>
        <v>5.7109146137903884E-3</v>
      </c>
      <c r="G51" s="2"/>
      <c r="H51" s="2">
        <v>156.52000000000001</v>
      </c>
      <c r="I51" s="2"/>
      <c r="J51" s="21">
        <f t="shared" si="7"/>
        <v>3.0952276896711911E-3</v>
      </c>
      <c r="K51" s="2"/>
      <c r="L51" s="2">
        <f t="shared" si="8"/>
        <v>147.64000000000001</v>
      </c>
      <c r="M51" s="2"/>
      <c r="N51" s="21">
        <f t="shared" si="9"/>
        <v>0.94326603628929218</v>
      </c>
      <c r="O51" s="11"/>
      <c r="P51" s="2">
        <v>304.16000000000003</v>
      </c>
      <c r="Q51" s="2"/>
      <c r="R51" s="21">
        <f t="shared" si="10"/>
        <v>5.4621159090590754E-3</v>
      </c>
      <c r="S51" s="2"/>
      <c r="T51" s="2">
        <v>156.52000000000001</v>
      </c>
      <c r="U51" s="2"/>
      <c r="V51" s="21">
        <f t="shared" si="11"/>
        <v>2.9843910551401133E-3</v>
      </c>
      <c r="W51" s="2"/>
      <c r="X51" s="2">
        <f t="shared" si="12"/>
        <v>147.64000000000001</v>
      </c>
      <c r="Y51" s="2"/>
      <c r="Z51" s="21">
        <f t="shared" si="13"/>
        <v>0.94326603628929218</v>
      </c>
    </row>
    <row r="52" spans="1:26" s="24" customFormat="1" hidden="1" outlineLevel="1" x14ac:dyDescent="0.25">
      <c r="A52" s="50"/>
      <c r="B52" s="11" t="str">
        <f>CONCATENATE("          ", "5082", " - ", "PURCHASES @ COST-COMPUTER HARD")</f>
        <v xml:space="preserve">          5082 - PURCHASES @ COST-COMPUTER HARD</v>
      </c>
      <c r="C52" s="11"/>
      <c r="D52" s="2">
        <v>130.6</v>
      </c>
      <c r="E52" s="2"/>
      <c r="F52" s="21">
        <f t="shared" si="6"/>
        <v>2.4521483711238317E-3</v>
      </c>
      <c r="G52" s="2"/>
      <c r="H52" s="2">
        <v>58</v>
      </c>
      <c r="I52" s="2"/>
      <c r="J52" s="21">
        <f t="shared" si="7"/>
        <v>1.146966560189938E-3</v>
      </c>
      <c r="K52" s="2"/>
      <c r="L52" s="2">
        <f t="shared" si="8"/>
        <v>72.599999999999994</v>
      </c>
      <c r="M52" s="2"/>
      <c r="N52" s="21">
        <f t="shared" si="9"/>
        <v>1.2517241379310344</v>
      </c>
      <c r="O52" s="11"/>
      <c r="P52" s="2">
        <v>130.6</v>
      </c>
      <c r="Q52" s="2"/>
      <c r="R52" s="21">
        <f t="shared" si="10"/>
        <v>2.3453193638976696E-3</v>
      </c>
      <c r="S52" s="2"/>
      <c r="T52" s="2">
        <v>58</v>
      </c>
      <c r="U52" s="2"/>
      <c r="V52" s="21">
        <f t="shared" si="11"/>
        <v>1.1058949731543991E-3</v>
      </c>
      <c r="W52" s="2"/>
      <c r="X52" s="2">
        <f t="shared" si="12"/>
        <v>72.599999999999994</v>
      </c>
      <c r="Y52" s="2"/>
      <c r="Z52" s="21">
        <f t="shared" si="13"/>
        <v>1.2517241379310344</v>
      </c>
    </row>
    <row r="53" spans="1:26" s="24" customFormat="1" hidden="1" outlineLevel="1" x14ac:dyDescent="0.25">
      <c r="A53" s="50"/>
      <c r="B53" s="11" t="str">
        <f>CONCATENATE("          ", "5083", " - ", "PURCHASES @ COST-COMPUTER EQUI")</f>
        <v xml:space="preserve">          5083 - PURCHASES @ COST-COMPUTER EQUI</v>
      </c>
      <c r="C53" s="11"/>
      <c r="D53" s="2">
        <v>41.5</v>
      </c>
      <c r="E53" s="2"/>
      <c r="F53" s="21">
        <f t="shared" si="6"/>
        <v>7.7920488056385157E-4</v>
      </c>
      <c r="G53" s="2"/>
      <c r="H53" s="2">
        <v>70.25</v>
      </c>
      <c r="I53" s="2"/>
      <c r="J53" s="21">
        <f t="shared" si="7"/>
        <v>1.389213807816261E-3</v>
      </c>
      <c r="K53" s="2"/>
      <c r="L53" s="2">
        <f t="shared" si="8"/>
        <v>-28.75</v>
      </c>
      <c r="M53" s="2"/>
      <c r="N53" s="21">
        <f t="shared" si="9"/>
        <v>-0.40925266903914592</v>
      </c>
      <c r="O53" s="11"/>
      <c r="P53" s="2">
        <v>41.5</v>
      </c>
      <c r="Q53" s="2"/>
      <c r="R53" s="21">
        <f t="shared" si="10"/>
        <v>7.4525845024313395E-4</v>
      </c>
      <c r="S53" s="2"/>
      <c r="T53" s="2">
        <v>70.25</v>
      </c>
      <c r="U53" s="2"/>
      <c r="V53" s="21">
        <f t="shared" si="11"/>
        <v>1.3394676183464923E-3</v>
      </c>
      <c r="W53" s="2"/>
      <c r="X53" s="2">
        <f t="shared" si="12"/>
        <v>-28.75</v>
      </c>
      <c r="Y53" s="2"/>
      <c r="Z53" s="21">
        <f t="shared" si="13"/>
        <v>-0.40925266903914592</v>
      </c>
    </row>
    <row r="54" spans="1:26" s="24" customFormat="1" hidden="1" outlineLevel="1" x14ac:dyDescent="0.25">
      <c r="A54" s="50"/>
      <c r="B54" s="11" t="str">
        <f>CONCATENATE("          ", "5086", " - ", "PURCHASES @ COST-COMPUTER SUPP")</f>
        <v xml:space="preserve">          5086 - PURCHASES @ COST-COMPUTER SUPP</v>
      </c>
      <c r="C54" s="11"/>
      <c r="D54" s="2">
        <v>58</v>
      </c>
      <c r="E54" s="2"/>
      <c r="F54" s="21">
        <f t="shared" si="6"/>
        <v>1.0890092306675516E-3</v>
      </c>
      <c r="G54" s="2"/>
      <c r="H54" s="2">
        <v>92.47</v>
      </c>
      <c r="I54" s="2"/>
      <c r="J54" s="21">
        <f t="shared" si="7"/>
        <v>1.8286206520821302E-3</v>
      </c>
      <c r="K54" s="2"/>
      <c r="L54" s="2">
        <f t="shared" si="8"/>
        <v>-34.47</v>
      </c>
      <c r="M54" s="2"/>
      <c r="N54" s="21">
        <f t="shared" si="9"/>
        <v>-0.37276954688006919</v>
      </c>
      <c r="O54" s="11"/>
      <c r="P54" s="2">
        <v>58</v>
      </c>
      <c r="Q54" s="2"/>
      <c r="R54" s="21">
        <f t="shared" si="10"/>
        <v>1.0415660268458258E-3</v>
      </c>
      <c r="S54" s="2"/>
      <c r="T54" s="2">
        <v>92.47</v>
      </c>
      <c r="U54" s="2"/>
      <c r="V54" s="21">
        <f t="shared" si="11"/>
        <v>1.7631397959928844E-3</v>
      </c>
      <c r="W54" s="2"/>
      <c r="X54" s="2">
        <f t="shared" si="12"/>
        <v>-34.47</v>
      </c>
      <c r="Y54" s="2"/>
      <c r="Z54" s="21">
        <f t="shared" si="13"/>
        <v>-0.37276954688006919</v>
      </c>
    </row>
    <row r="55" spans="1:26" s="24" customFormat="1" hidden="1" outlineLevel="1" x14ac:dyDescent="0.25">
      <c r="A55" s="50"/>
      <c r="B55" s="11" t="str">
        <f>CONCATENATE("          ", "5200", " - ", "PURCHASES OFFSET")</f>
        <v xml:space="preserve">          5200 - PURCHASES OFFSET</v>
      </c>
      <c r="C55" s="11"/>
      <c r="D55" s="2">
        <v>-31865</v>
      </c>
      <c r="E55" s="2"/>
      <c r="F55" s="21">
        <f t="shared" si="6"/>
        <v>-0.59829791612450911</v>
      </c>
      <c r="G55" s="2"/>
      <c r="H55" s="2">
        <v>-18786</v>
      </c>
      <c r="I55" s="2"/>
      <c r="J55" s="21">
        <f t="shared" si="7"/>
        <v>-0.37149851378841675</v>
      </c>
      <c r="K55" s="2"/>
      <c r="L55" s="2">
        <f t="shared" si="8"/>
        <v>-13079</v>
      </c>
      <c r="M55" s="2"/>
      <c r="N55" s="21">
        <f t="shared" si="9"/>
        <v>0.69620994357500265</v>
      </c>
      <c r="O55" s="11"/>
      <c r="P55" s="2">
        <v>-59550</v>
      </c>
      <c r="Q55" s="2"/>
      <c r="R55" s="21">
        <f t="shared" si="10"/>
        <v>-1.0694009810115332</v>
      </c>
      <c r="S55" s="2"/>
      <c r="T55" s="2">
        <v>-44176</v>
      </c>
      <c r="U55" s="2"/>
      <c r="V55" s="21">
        <f t="shared" si="11"/>
        <v>-0.84231062644946109</v>
      </c>
      <c r="W55" s="2"/>
      <c r="X55" s="2">
        <f t="shared" si="12"/>
        <v>-15374</v>
      </c>
      <c r="Y55" s="2"/>
      <c r="Z55" s="21">
        <f t="shared" si="13"/>
        <v>0.34801702281781965</v>
      </c>
    </row>
    <row r="56" spans="1:26" s="24" customFormat="1" hidden="1" outlineLevel="1" x14ac:dyDescent="0.25">
      <c r="A56" s="50"/>
      <c r="B56" s="11" t="str">
        <f>CONCATENATE("          ", "5300", " - ", "COG$ OFFSET")</f>
        <v xml:space="preserve">          5300 - COG$ OFFSET</v>
      </c>
      <c r="C56" s="11"/>
      <c r="D56" s="2">
        <v>28054</v>
      </c>
      <c r="E56" s="2"/>
      <c r="F56" s="21">
        <f t="shared" si="6"/>
        <v>0.52674249926116368</v>
      </c>
      <c r="G56" s="2"/>
      <c r="H56" s="2">
        <v>27445</v>
      </c>
      <c r="I56" s="2"/>
      <c r="J56" s="21">
        <f t="shared" si="7"/>
        <v>0.54273271111056631</v>
      </c>
      <c r="K56" s="2"/>
      <c r="L56" s="2">
        <f t="shared" si="8"/>
        <v>609</v>
      </c>
      <c r="M56" s="2"/>
      <c r="N56" s="21">
        <f t="shared" si="9"/>
        <v>2.218983421388231E-2</v>
      </c>
      <c r="O56" s="11"/>
      <c r="P56" s="2">
        <v>29418</v>
      </c>
      <c r="Q56" s="2"/>
      <c r="R56" s="21">
        <f t="shared" si="10"/>
        <v>0.52828947203018106</v>
      </c>
      <c r="S56" s="2"/>
      <c r="T56" s="2">
        <v>28529</v>
      </c>
      <c r="U56" s="2"/>
      <c r="V56" s="21">
        <f t="shared" si="11"/>
        <v>0.54396685670899747</v>
      </c>
      <c r="W56" s="2"/>
      <c r="X56" s="2">
        <f t="shared" si="12"/>
        <v>889</v>
      </c>
      <c r="Y56" s="2"/>
      <c r="Z56" s="21">
        <f t="shared" si="13"/>
        <v>3.1161274492621543E-2</v>
      </c>
    </row>
    <row r="57" spans="1:26" s="24" customFormat="1" hidden="1" outlineLevel="1" x14ac:dyDescent="0.25">
      <c r="A57" s="50"/>
      <c r="B57" s="11" t="str">
        <f>CONCATENATE("          ", "5527", " - ", "FREIGHT-IN-SCHOOL SUPPLIES")</f>
        <v xml:space="preserve">          5527 - FREIGHT-IN-SCHOOL SUPPLIES</v>
      </c>
      <c r="C57" s="11"/>
      <c r="D57" s="2"/>
      <c r="E57" s="2"/>
      <c r="F57" s="21">
        <f t="shared" si="6"/>
        <v>0</v>
      </c>
      <c r="G57" s="2"/>
      <c r="H57" s="2"/>
      <c r="I57" s="2"/>
      <c r="J57" s="21">
        <f t="shared" si="7"/>
        <v>0</v>
      </c>
      <c r="K57" s="2"/>
      <c r="L57" s="2">
        <f t="shared" si="8"/>
        <v>0</v>
      </c>
      <c r="M57" s="2"/>
      <c r="N57" s="21">
        <f t="shared" si="9"/>
        <v>0</v>
      </c>
      <c r="O57" s="11"/>
      <c r="P57" s="2"/>
      <c r="Q57" s="2"/>
      <c r="R57" s="21">
        <f t="shared" si="10"/>
        <v>0</v>
      </c>
      <c r="S57" s="2"/>
      <c r="T57" s="2">
        <v>88.48</v>
      </c>
      <c r="U57" s="2"/>
      <c r="V57" s="21">
        <f t="shared" si="11"/>
        <v>1.6870618487017457E-3</v>
      </c>
      <c r="W57" s="2"/>
      <c r="X57" s="2">
        <f t="shared" si="12"/>
        <v>-88.48</v>
      </c>
      <c r="Y57" s="2"/>
      <c r="Z57" s="21">
        <f t="shared" si="13"/>
        <v>-1</v>
      </c>
    </row>
    <row r="58" spans="1:26" s="24" customFormat="1" hidden="1" outlineLevel="1" x14ac:dyDescent="0.25">
      <c r="A58" s="50"/>
      <c r="B58" s="11" t="str">
        <f>CONCATENATE("          ", "5528", " - ", "FREIGHT-IN-ART/TECH")</f>
        <v xml:space="preserve">          5528 - FREIGHT-IN-ART/TECH</v>
      </c>
      <c r="C58" s="11"/>
      <c r="D58" s="2">
        <v>255.45</v>
      </c>
      <c r="E58" s="2"/>
      <c r="F58" s="21">
        <f t="shared" si="6"/>
        <v>4.7963346202418286E-3</v>
      </c>
      <c r="G58" s="2"/>
      <c r="H58" s="2">
        <v>77.150000000000006</v>
      </c>
      <c r="I58" s="2"/>
      <c r="J58" s="21">
        <f t="shared" si="7"/>
        <v>1.5256632779078226E-3</v>
      </c>
      <c r="K58" s="2"/>
      <c r="L58" s="2">
        <f t="shared" si="8"/>
        <v>178.29999999999998</v>
      </c>
      <c r="M58" s="2"/>
      <c r="N58" s="21">
        <f t="shared" si="9"/>
        <v>2.3110823071937778</v>
      </c>
      <c r="O58" s="11"/>
      <c r="P58" s="2">
        <v>255.8</v>
      </c>
      <c r="Q58" s="2"/>
      <c r="R58" s="21">
        <f t="shared" si="10"/>
        <v>4.5936653390890045E-3</v>
      </c>
      <c r="S58" s="2"/>
      <c r="T58" s="2">
        <v>223.04</v>
      </c>
      <c r="U58" s="2"/>
      <c r="V58" s="21">
        <f t="shared" si="11"/>
        <v>4.2527381864199514E-3</v>
      </c>
      <c r="W58" s="2"/>
      <c r="X58" s="2">
        <f t="shared" si="12"/>
        <v>32.760000000000019</v>
      </c>
      <c r="Y58" s="2"/>
      <c r="Z58" s="21">
        <f t="shared" si="13"/>
        <v>0.14687948350071744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6" t="s">
        <v>6</v>
      </c>
      <c r="C60" s="26"/>
      <c r="D60" s="20">
        <f>D12-D41</f>
        <v>25206.159999999993</v>
      </c>
      <c r="E60" s="13"/>
      <c r="F60" s="19">
        <f>IF(D$12=0,0,D60/D$12)</f>
        <v>0.47327139499453802</v>
      </c>
      <c r="G60" s="13"/>
      <c r="H60" s="20">
        <f>H12-H41</f>
        <v>23121.879999999986</v>
      </c>
      <c r="I60" s="13"/>
      <c r="J60" s="19">
        <f>IF(H$12=0,0,H60/H$12)</f>
        <v>0.45724177877111216</v>
      </c>
      <c r="K60" s="15"/>
      <c r="L60" s="20">
        <f>+D60-H60</f>
        <v>2084.2800000000061</v>
      </c>
      <c r="M60" s="15"/>
      <c r="N60" s="19">
        <f>IF(H60=0,0,L60/H60)</f>
        <v>9.0143189048641686E-2</v>
      </c>
      <c r="O60" s="25"/>
      <c r="P60" s="20">
        <f>P12-P41</f>
        <v>26267.239999999987</v>
      </c>
      <c r="Q60" s="13"/>
      <c r="R60" s="19">
        <f>IF(P$12=0,0,P60/P$12)</f>
        <v>0.4717080138449265</v>
      </c>
      <c r="S60" s="13"/>
      <c r="T60" s="20">
        <f>T12-T41</f>
        <v>23915.620000000021</v>
      </c>
      <c r="U60" s="13"/>
      <c r="V60" s="19">
        <f>IF(T$12=0,0,T60/T$12)</f>
        <v>0.45600282651501445</v>
      </c>
      <c r="W60" s="15"/>
      <c r="X60" s="20">
        <f>+P60-T60</f>
        <v>2351.6199999999662</v>
      </c>
      <c r="Y60" s="15"/>
      <c r="Z60" s="19">
        <f>IF(T60=0,0,X60/T60)</f>
        <v>9.8329878129856732E-2</v>
      </c>
    </row>
    <row r="61" spans="1:26" x14ac:dyDescent="0.25">
      <c r="A61" s="9"/>
      <c r="B61" s="10"/>
      <c r="C61" s="9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5" t="s">
        <v>9</v>
      </c>
      <c r="C62" s="10"/>
      <c r="D62" s="22">
        <f>SUM(OSRRefD22x_0)</f>
        <v>8153.29</v>
      </c>
      <c r="E62" s="22"/>
      <c r="F62" s="33">
        <f t="shared" ref="F62:F71" si="14">IF(D$12=0,0,D62/D$12)</f>
        <v>0.15308634603981797</v>
      </c>
      <c r="G62" s="22"/>
      <c r="H62" s="22">
        <f>SUM(OSRRefH22x_0)</f>
        <v>11524.35</v>
      </c>
      <c r="I62" s="22"/>
      <c r="J62" s="33">
        <f t="shared" ref="J62:J71" si="15">IF(H$12=0,0,H62/H$12)</f>
        <v>0.22789731168836053</v>
      </c>
      <c r="K62" s="4"/>
      <c r="L62" s="22">
        <f t="shared" ref="L62:L71" si="16">+D62-H62</f>
        <v>-3371.0600000000004</v>
      </c>
      <c r="M62" s="4"/>
      <c r="N62" s="33">
        <f t="shared" ref="N62:N71" si="17">IF(H62=0,0,L62/H62)</f>
        <v>-0.29251628074468411</v>
      </c>
      <c r="O62" s="10"/>
      <c r="P62" s="22">
        <f>SUM(OSRRefP22x_0)</f>
        <v>19436.990000000002</v>
      </c>
      <c r="Q62" s="22"/>
      <c r="R62" s="33">
        <f t="shared" ref="R62:R71" si="18">IF(P$12=0,0,P62/P$12)</f>
        <v>0.34905014565762155</v>
      </c>
      <c r="S62" s="22"/>
      <c r="T62" s="22">
        <f>SUM(OSRRefT22x_0)</f>
        <v>21382.149999999998</v>
      </c>
      <c r="U62" s="22"/>
      <c r="V62" s="33">
        <f t="shared" ref="V62:V71" si="19">IF(T$12=0,0,T62/T$12)</f>
        <v>0.40769676207298855</v>
      </c>
      <c r="W62" s="4"/>
      <c r="X62" s="22">
        <f t="shared" ref="X62:X71" si="20">+P62-T62</f>
        <v>-1945.1599999999962</v>
      </c>
      <c r="Y62" s="4"/>
      <c r="Z62" s="33">
        <f t="shared" ref="Z62:Z71" si="21">IF(T62=0,0,X62/T62)</f>
        <v>-9.0971207292063538E-2</v>
      </c>
    </row>
    <row r="63" spans="1:26" s="27" customFormat="1" outlineLevel="1" collapsed="1" x14ac:dyDescent="0.25">
      <c r="A63" s="28"/>
      <c r="B63" s="14" t="str">
        <f>CONCATENATE("     ","*Benefits                                         ")</f>
        <v xml:space="preserve">     *Benefits                                         </v>
      </c>
      <c r="C63" s="14"/>
      <c r="D63" s="1">
        <f>SUM(OSRRefD22_0x_0)</f>
        <v>1596.77</v>
      </c>
      <c r="E63" s="1"/>
      <c r="F63" s="5">
        <f t="shared" si="14"/>
        <v>2.9980987400914247E-2</v>
      </c>
      <c r="G63" s="1"/>
      <c r="H63" s="1">
        <f>SUM(OSRRefH22_0x_0)</f>
        <v>1868.42</v>
      </c>
      <c r="I63" s="1"/>
      <c r="J63" s="5">
        <f t="shared" si="15"/>
        <v>3.6948538972242824E-2</v>
      </c>
      <c r="K63" s="1"/>
      <c r="L63" s="1">
        <f t="shared" si="16"/>
        <v>-271.65000000000009</v>
      </c>
      <c r="M63" s="1"/>
      <c r="N63" s="5">
        <f t="shared" si="17"/>
        <v>-0.14539022275505512</v>
      </c>
      <c r="O63" s="14"/>
      <c r="P63" s="1">
        <f>SUM(OSRRefP22_0x_0)</f>
        <v>3200.52</v>
      </c>
      <c r="Q63" s="1"/>
      <c r="R63" s="5">
        <f t="shared" si="18"/>
        <v>5.7475050004148313E-2</v>
      </c>
      <c r="S63" s="1"/>
      <c r="T63" s="1">
        <f>SUM(OSRRefT22_0x_0)</f>
        <v>3451.3899999999994</v>
      </c>
      <c r="U63" s="1"/>
      <c r="V63" s="5">
        <f t="shared" si="19"/>
        <v>6.5808187093023468E-2</v>
      </c>
      <c r="W63" s="1"/>
      <c r="X63" s="1">
        <f t="shared" si="20"/>
        <v>-250.86999999999944</v>
      </c>
      <c r="Y63" s="1"/>
      <c r="Z63" s="5">
        <f t="shared" si="21"/>
        <v>-7.2686656680351819E-2</v>
      </c>
    </row>
    <row r="64" spans="1:26" s="24" customFormat="1" hidden="1" outlineLevel="2" x14ac:dyDescent="0.25">
      <c r="A64" s="29"/>
      <c r="B64" s="11" t="str">
        <f>CONCATENATE("          ", "6111", " - ", "F.I.C.A.")</f>
        <v xml:space="preserve">          6111 - F.I.C.A.</v>
      </c>
      <c r="C64" s="11"/>
      <c r="D64" s="7">
        <v>357.38</v>
      </c>
      <c r="E64" s="2"/>
      <c r="F64" s="6">
        <f t="shared" si="14"/>
        <v>6.7101744630339586E-3</v>
      </c>
      <c r="G64" s="2"/>
      <c r="H64" s="7">
        <v>394.41</v>
      </c>
      <c r="I64" s="2"/>
      <c r="J64" s="6">
        <f t="shared" si="15"/>
        <v>7.7995703621467835E-3</v>
      </c>
      <c r="K64" s="2"/>
      <c r="L64" s="7">
        <f t="shared" si="16"/>
        <v>-37.03000000000003</v>
      </c>
      <c r="M64" s="2"/>
      <c r="N64" s="6">
        <f t="shared" si="17"/>
        <v>-9.388707182880765E-2</v>
      </c>
      <c r="O64" s="11"/>
      <c r="P64" s="7">
        <v>721.63</v>
      </c>
      <c r="Q64" s="2"/>
      <c r="R64" s="6">
        <f t="shared" si="18"/>
        <v>1.295905675780609E-2</v>
      </c>
      <c r="S64" s="2"/>
      <c r="T64" s="7">
        <v>777.38</v>
      </c>
      <c r="U64" s="2"/>
      <c r="V64" s="6">
        <f t="shared" si="19"/>
        <v>1.482242472811667E-2</v>
      </c>
      <c r="W64" s="2"/>
      <c r="X64" s="7">
        <f t="shared" si="20"/>
        <v>-55.75</v>
      </c>
      <c r="Y64" s="2"/>
      <c r="Z64" s="6">
        <f t="shared" si="21"/>
        <v>-7.1715248655741082E-2</v>
      </c>
    </row>
    <row r="65" spans="1:26" s="24" customFormat="1" hidden="1" outlineLevel="2" x14ac:dyDescent="0.25">
      <c r="A65" s="29"/>
      <c r="B65" s="11" t="str">
        <f>CONCATENATE("          ", "6112", " - ", "COMPENSATION INSURANCE")</f>
        <v xml:space="preserve">          6112 - COMPENSATION INSURANCE</v>
      </c>
      <c r="C65" s="11"/>
      <c r="D65" s="7">
        <v>88.76</v>
      </c>
      <c r="E65" s="2"/>
      <c r="F65" s="6">
        <f t="shared" si="14"/>
        <v>1.6665596433457221E-3</v>
      </c>
      <c r="G65" s="2"/>
      <c r="H65" s="7">
        <v>59.22</v>
      </c>
      <c r="I65" s="2"/>
      <c r="J65" s="6">
        <f t="shared" si="15"/>
        <v>1.1710924085249676E-3</v>
      </c>
      <c r="K65" s="2"/>
      <c r="L65" s="7">
        <f t="shared" si="16"/>
        <v>29.540000000000006</v>
      </c>
      <c r="M65" s="2"/>
      <c r="N65" s="6">
        <f t="shared" si="17"/>
        <v>0.4988179669030734</v>
      </c>
      <c r="O65" s="11"/>
      <c r="P65" s="7">
        <v>178.74</v>
      </c>
      <c r="Q65" s="2"/>
      <c r="R65" s="6">
        <f t="shared" si="18"/>
        <v>3.2098191661797055E-3</v>
      </c>
      <c r="S65" s="2"/>
      <c r="T65" s="7">
        <v>150.69</v>
      </c>
      <c r="U65" s="2"/>
      <c r="V65" s="6">
        <f t="shared" si="19"/>
        <v>2.8732295431833864E-3</v>
      </c>
      <c r="W65" s="2"/>
      <c r="X65" s="7">
        <f t="shared" si="20"/>
        <v>28.050000000000011</v>
      </c>
      <c r="Y65" s="2"/>
      <c r="Z65" s="6">
        <f t="shared" si="21"/>
        <v>0.18614373880151311</v>
      </c>
    </row>
    <row r="66" spans="1:26" s="24" customFormat="1" hidden="1" outlineLevel="2" x14ac:dyDescent="0.25">
      <c r="A66" s="29"/>
      <c r="B66" s="11" t="str">
        <f>CONCATENATE("          ", "6113", " - ", "GROUP INSURANCE")</f>
        <v xml:space="preserve">          6113 - GROUP INSURANCE</v>
      </c>
      <c r="C66" s="11"/>
      <c r="D66" s="7">
        <v>488.51</v>
      </c>
      <c r="E66" s="2"/>
      <c r="F66" s="6">
        <f t="shared" si="14"/>
        <v>9.1722741254035445E-3</v>
      </c>
      <c r="G66" s="2"/>
      <c r="H66" s="7">
        <v>691.86</v>
      </c>
      <c r="I66" s="2"/>
      <c r="J66" s="6">
        <f t="shared" si="15"/>
        <v>1.3681729040224317E-2</v>
      </c>
      <c r="K66" s="2"/>
      <c r="L66" s="7">
        <f t="shared" si="16"/>
        <v>-203.35000000000002</v>
      </c>
      <c r="M66" s="2"/>
      <c r="N66" s="6">
        <f t="shared" si="17"/>
        <v>-0.2939178446506519</v>
      </c>
      <c r="O66" s="11"/>
      <c r="P66" s="7">
        <v>977.02</v>
      </c>
      <c r="Q66" s="2"/>
      <c r="R66" s="6">
        <f t="shared" si="18"/>
        <v>1.7545359302567391E-2</v>
      </c>
      <c r="S66" s="2"/>
      <c r="T66" s="7">
        <v>720.18</v>
      </c>
      <c r="U66" s="2"/>
      <c r="V66" s="6">
        <f t="shared" si="19"/>
        <v>1.3731783478729918E-2</v>
      </c>
      <c r="W66" s="2"/>
      <c r="X66" s="7">
        <f t="shared" si="20"/>
        <v>256.84000000000003</v>
      </c>
      <c r="Y66" s="2"/>
      <c r="Z66" s="6">
        <f t="shared" si="21"/>
        <v>0.35663306395623323</v>
      </c>
    </row>
    <row r="67" spans="1:26" s="24" customFormat="1" hidden="1" outlineLevel="2" x14ac:dyDescent="0.25">
      <c r="A67" s="29"/>
      <c r="B67" s="11" t="str">
        <f>CONCATENATE("          ", "6114", " - ", "STATE UNEMPLOYMENT INSURANCE")</f>
        <v xml:space="preserve">          6114 - STATE UNEMPLOYMENT INSURANCE</v>
      </c>
      <c r="C67" s="11"/>
      <c r="D67" s="7">
        <v>12.15</v>
      </c>
      <c r="E67" s="2"/>
      <c r="F67" s="6">
        <f t="shared" si="14"/>
        <v>2.2812865780363366E-4</v>
      </c>
      <c r="G67" s="2"/>
      <c r="H67" s="7">
        <v>12.94</v>
      </c>
      <c r="I67" s="2"/>
      <c r="J67" s="6">
        <f t="shared" si="15"/>
        <v>2.5589219463547925E-4</v>
      </c>
      <c r="K67" s="2"/>
      <c r="L67" s="7">
        <f t="shared" si="16"/>
        <v>-0.78999999999999915</v>
      </c>
      <c r="M67" s="2"/>
      <c r="N67" s="6">
        <f t="shared" si="17"/>
        <v>-6.1051004636785096E-2</v>
      </c>
      <c r="O67" s="11"/>
      <c r="P67" s="7">
        <v>24.46</v>
      </c>
      <c r="Q67" s="2"/>
      <c r="R67" s="6">
        <f t="shared" si="18"/>
        <v>4.3925353476980864E-4</v>
      </c>
      <c r="S67" s="2"/>
      <c r="T67" s="7">
        <v>32.93</v>
      </c>
      <c r="U67" s="2"/>
      <c r="V67" s="6">
        <f t="shared" si="19"/>
        <v>6.278814045857649E-4</v>
      </c>
      <c r="W67" s="2"/>
      <c r="X67" s="7">
        <f t="shared" si="20"/>
        <v>-8.4699999999999989</v>
      </c>
      <c r="Y67" s="2"/>
      <c r="Z67" s="6">
        <f t="shared" si="21"/>
        <v>-0.25721226844822348</v>
      </c>
    </row>
    <row r="68" spans="1:26" s="24" customFormat="1" hidden="1" outlineLevel="2" x14ac:dyDescent="0.25">
      <c r="A68" s="29"/>
      <c r="B68" s="11" t="str">
        <f>CONCATENATE("          ", "6115", " - ", "P.E.R.S.")</f>
        <v xml:space="preserve">          6115 - P.E.R.S.</v>
      </c>
      <c r="C68" s="11"/>
      <c r="D68" s="7">
        <v>201.17</v>
      </c>
      <c r="E68" s="2"/>
      <c r="F68" s="6">
        <f t="shared" si="14"/>
        <v>3.7771721885067472E-3</v>
      </c>
      <c r="G68" s="2"/>
      <c r="H68" s="7">
        <v>250.45</v>
      </c>
      <c r="I68" s="2"/>
      <c r="J68" s="6">
        <f t="shared" si="15"/>
        <v>4.9527202586132748E-3</v>
      </c>
      <c r="K68" s="2"/>
      <c r="L68" s="7">
        <f t="shared" si="16"/>
        <v>-49.28</v>
      </c>
      <c r="M68" s="2"/>
      <c r="N68" s="6">
        <f t="shared" si="17"/>
        <v>-0.19676582152126174</v>
      </c>
      <c r="O68" s="11"/>
      <c r="P68" s="7">
        <v>402.34</v>
      </c>
      <c r="Q68" s="2"/>
      <c r="R68" s="6">
        <f t="shared" si="18"/>
        <v>7.2252357800198196E-3</v>
      </c>
      <c r="S68" s="2"/>
      <c r="T68" s="7">
        <v>622.48</v>
      </c>
      <c r="U68" s="2"/>
      <c r="V68" s="6">
        <f t="shared" si="19"/>
        <v>1.1868922463606043E-2</v>
      </c>
      <c r="W68" s="2"/>
      <c r="X68" s="7">
        <f t="shared" si="20"/>
        <v>-220.14000000000004</v>
      </c>
      <c r="Y68" s="2"/>
      <c r="Z68" s="6">
        <f t="shared" si="21"/>
        <v>-0.35364991646317961</v>
      </c>
    </row>
    <row r="69" spans="1:26" s="24" customFormat="1" hidden="1" outlineLevel="2" x14ac:dyDescent="0.25">
      <c r="A69" s="29"/>
      <c r="B69" s="11" t="str">
        <f>CONCATENATE("          ", "6118", " - ", "VACATION")</f>
        <v xml:space="preserve">          6118 - VACATION</v>
      </c>
      <c r="C69" s="11"/>
      <c r="D69" s="7">
        <v>165.96</v>
      </c>
      <c r="E69" s="2"/>
      <c r="F69" s="6">
        <f t="shared" si="14"/>
        <v>3.1160684814066702E-3</v>
      </c>
      <c r="G69" s="2"/>
      <c r="H69" s="7">
        <v>140.91999999999999</v>
      </c>
      <c r="I69" s="2"/>
      <c r="J69" s="6">
        <f t="shared" si="15"/>
        <v>2.7867332355511385E-3</v>
      </c>
      <c r="K69" s="2"/>
      <c r="L69" s="7">
        <f t="shared" si="16"/>
        <v>25.04000000000002</v>
      </c>
      <c r="M69" s="2"/>
      <c r="N69" s="6">
        <f t="shared" si="17"/>
        <v>0.17768946920238449</v>
      </c>
      <c r="O69" s="11"/>
      <c r="P69" s="7">
        <v>331.92</v>
      </c>
      <c r="Q69" s="2"/>
      <c r="R69" s="6">
        <f t="shared" si="18"/>
        <v>5.9606309591494228E-3</v>
      </c>
      <c r="S69" s="2"/>
      <c r="T69" s="7">
        <v>351.28</v>
      </c>
      <c r="U69" s="2"/>
      <c r="V69" s="6">
        <f t="shared" si="19"/>
        <v>6.6979101063737471E-3</v>
      </c>
      <c r="W69" s="2"/>
      <c r="X69" s="7">
        <f t="shared" si="20"/>
        <v>-19.359999999999957</v>
      </c>
      <c r="Y69" s="2"/>
      <c r="Z69" s="6">
        <f t="shared" si="21"/>
        <v>-5.511273058528797E-2</v>
      </c>
    </row>
    <row r="70" spans="1:26" s="24" customFormat="1" hidden="1" outlineLevel="2" x14ac:dyDescent="0.25">
      <c r="A70" s="29"/>
      <c r="B70" s="11" t="str">
        <f>CONCATENATE("          ", "6119", " - ", "SICK LEAVE")</f>
        <v xml:space="preserve">          6119 - SICK LEAVE</v>
      </c>
      <c r="C70" s="11"/>
      <c r="D70" s="7">
        <v>132.84</v>
      </c>
      <c r="E70" s="2"/>
      <c r="F70" s="6">
        <f t="shared" si="14"/>
        <v>2.4942066586530615E-3</v>
      </c>
      <c r="G70" s="2"/>
      <c r="H70" s="7">
        <v>168.84</v>
      </c>
      <c r="I70" s="2"/>
      <c r="J70" s="6">
        <f t="shared" si="15"/>
        <v>3.3388592072839504E-3</v>
      </c>
      <c r="K70" s="2"/>
      <c r="L70" s="7">
        <f t="shared" si="16"/>
        <v>-36</v>
      </c>
      <c r="M70" s="2"/>
      <c r="N70" s="6">
        <f t="shared" si="17"/>
        <v>-0.21321961620469082</v>
      </c>
      <c r="O70" s="11"/>
      <c r="P70" s="7">
        <v>265.68</v>
      </c>
      <c r="Q70" s="2"/>
      <c r="R70" s="6">
        <f t="shared" si="18"/>
        <v>4.7710907243517066E-3</v>
      </c>
      <c r="S70" s="2"/>
      <c r="T70" s="7">
        <v>496.67</v>
      </c>
      <c r="U70" s="2"/>
      <c r="V70" s="6">
        <f t="shared" si="19"/>
        <v>9.4700837295964742E-3</v>
      </c>
      <c r="W70" s="2"/>
      <c r="X70" s="7">
        <f t="shared" si="20"/>
        <v>-230.99</v>
      </c>
      <c r="Y70" s="2"/>
      <c r="Z70" s="6">
        <f t="shared" si="21"/>
        <v>-0.46507741558781485</v>
      </c>
    </row>
    <row r="71" spans="1:26" s="24" customFormat="1" hidden="1" outlineLevel="2" x14ac:dyDescent="0.25">
      <c r="A71" s="29"/>
      <c r="B71" s="11" t="str">
        <f>CONCATENATE("          ", "6156", " - ", "EMPLOYEE MEALS")</f>
        <v xml:space="preserve">          6156 - EMPLOYEE MEALS</v>
      </c>
      <c r="C71" s="11"/>
      <c r="D71" s="7">
        <v>150</v>
      </c>
      <c r="E71" s="2"/>
      <c r="F71" s="6">
        <f t="shared" si="14"/>
        <v>2.8164031827609091E-3</v>
      </c>
      <c r="G71" s="2"/>
      <c r="H71" s="7">
        <v>149.78</v>
      </c>
      <c r="I71" s="2"/>
      <c r="J71" s="6">
        <f t="shared" si="15"/>
        <v>2.9619422652629119E-3</v>
      </c>
      <c r="K71" s="2"/>
      <c r="L71" s="7">
        <f t="shared" si="16"/>
        <v>0.21999999999999886</v>
      </c>
      <c r="M71" s="2"/>
      <c r="N71" s="6">
        <f t="shared" si="17"/>
        <v>1.4688209373748089E-3</v>
      </c>
      <c r="O71" s="11"/>
      <c r="P71" s="7">
        <v>298.73</v>
      </c>
      <c r="Q71" s="2"/>
      <c r="R71" s="6">
        <f t="shared" si="18"/>
        <v>5.3646037793043718E-3</v>
      </c>
      <c r="S71" s="2"/>
      <c r="T71" s="7">
        <v>299.77999999999997</v>
      </c>
      <c r="U71" s="2"/>
      <c r="V71" s="6">
        <f t="shared" si="19"/>
        <v>5.7159516388314785E-3</v>
      </c>
      <c r="W71" s="2"/>
      <c r="X71" s="7">
        <f t="shared" si="20"/>
        <v>-1.0499999999999545</v>
      </c>
      <c r="Y71" s="2"/>
      <c r="Z71" s="6">
        <f t="shared" si="21"/>
        <v>-3.5025685502700467E-3</v>
      </c>
    </row>
    <row r="72" spans="1:26" s="27" customFormat="1" outlineLevel="1" collapsed="1" x14ac:dyDescent="0.25">
      <c r="A72" s="28"/>
      <c r="B72" s="14" t="str">
        <f>CONCATENATE("     ","*Payroll                                          ")</f>
        <v xml:space="preserve">     *Payroll                                          </v>
      </c>
      <c r="C72" s="14"/>
      <c r="D72" s="1">
        <f>SUM(OSRRefD22_1x_0)</f>
        <v>3840.56</v>
      </c>
      <c r="E72" s="1"/>
      <c r="F72" s="5">
        <f t="shared" ref="F72:F75" si="22">IF(D$12=0,0,D72/D$12)</f>
        <v>7.2110436050561583E-2</v>
      </c>
      <c r="G72" s="1"/>
      <c r="H72" s="1">
        <f>SUM(OSRRefH22_1x_0)</f>
        <v>6578.38</v>
      </c>
      <c r="I72" s="1"/>
      <c r="J72" s="5">
        <f t="shared" ref="J72:J75" si="23">IF(H$12=0,0,H72/H$12)</f>
        <v>0.13008934276245315</v>
      </c>
      <c r="K72" s="1"/>
      <c r="L72" s="1">
        <f t="shared" ref="L72:L75" si="24">+D72-H72</f>
        <v>-2737.82</v>
      </c>
      <c r="M72" s="1"/>
      <c r="N72" s="5">
        <f t="shared" ref="N72:N75" si="25">IF(H72=0,0,L72/H72)</f>
        <v>-0.41618453175401848</v>
      </c>
      <c r="O72" s="14"/>
      <c r="P72" s="1">
        <f>SUM(OSRRefP22_1x_0)</f>
        <v>11658.75</v>
      </c>
      <c r="Q72" s="1"/>
      <c r="R72" s="5">
        <f t="shared" ref="R72:R75" si="26">IF(P$12=0,0,P72/P$12)</f>
        <v>0.2093682399222202</v>
      </c>
      <c r="S72" s="1"/>
      <c r="T72" s="1">
        <f>SUM(OSRRefT22_1x_0)</f>
        <v>12730.41</v>
      </c>
      <c r="U72" s="1"/>
      <c r="V72" s="5">
        <f t="shared" ref="V72:V75" si="27">IF(T$12=0,0,T72/T$12)</f>
        <v>0.242732696986112</v>
      </c>
      <c r="W72" s="1"/>
      <c r="X72" s="1">
        <f t="shared" ref="X72:X75" si="28">+P72-T72</f>
        <v>-1071.6599999999999</v>
      </c>
      <c r="Y72" s="1"/>
      <c r="Z72" s="5">
        <f t="shared" ref="Z72:Z75" si="29">IF(T72=0,0,X72/T72)</f>
        <v>-8.4181106500104852E-2</v>
      </c>
    </row>
    <row r="73" spans="1:26" s="24" customFormat="1" hidden="1" outlineLevel="2" x14ac:dyDescent="0.25">
      <c r="A73" s="29"/>
      <c r="B73" s="11" t="str">
        <f>CONCATENATE("          ", "6002", " - ", "STAFF SALARIES")</f>
        <v xml:space="preserve">          6002 - STAFF SALARIES</v>
      </c>
      <c r="C73" s="11"/>
      <c r="D73" s="7">
        <v>707</v>
      </c>
      <c r="E73" s="2"/>
      <c r="F73" s="6">
        <f t="shared" si="22"/>
        <v>1.3274647001413085E-2</v>
      </c>
      <c r="G73" s="2"/>
      <c r="H73" s="7">
        <v>3311.5</v>
      </c>
      <c r="I73" s="2"/>
      <c r="J73" s="6">
        <f t="shared" si="23"/>
        <v>6.5485858001189293E-2</v>
      </c>
      <c r="K73" s="2"/>
      <c r="L73" s="7">
        <f t="shared" si="24"/>
        <v>-2604.5</v>
      </c>
      <c r="M73" s="2"/>
      <c r="N73" s="6">
        <f t="shared" si="25"/>
        <v>-0.78650158538426695</v>
      </c>
      <c r="O73" s="11"/>
      <c r="P73" s="7">
        <v>6336</v>
      </c>
      <c r="Q73" s="2"/>
      <c r="R73" s="6">
        <f t="shared" si="26"/>
        <v>0.11378210941543365</v>
      </c>
      <c r="S73" s="2"/>
      <c r="T73" s="7">
        <v>8033.28</v>
      </c>
      <c r="U73" s="2"/>
      <c r="V73" s="6">
        <f t="shared" si="27"/>
        <v>0.15317179258520297</v>
      </c>
      <c r="W73" s="2"/>
      <c r="X73" s="7">
        <f t="shared" si="28"/>
        <v>-1697.2799999999997</v>
      </c>
      <c r="Y73" s="2"/>
      <c r="Z73" s="6">
        <f t="shared" si="29"/>
        <v>-0.21128107074569788</v>
      </c>
    </row>
    <row r="74" spans="1:26" s="24" customFormat="1" hidden="1" outlineLevel="2" x14ac:dyDescent="0.25">
      <c r="A74" s="29"/>
      <c r="B74" s="11" t="str">
        <f>CONCATENATE("          ", "6006", " - ", "TEMPORARY PART TIME")</f>
        <v xml:space="preserve">          6006 - TEMPORARY PART TIME</v>
      </c>
      <c r="C74" s="11"/>
      <c r="D74" s="7"/>
      <c r="E74" s="2"/>
      <c r="F74" s="6">
        <f t="shared" si="22"/>
        <v>0</v>
      </c>
      <c r="G74" s="2"/>
      <c r="H74" s="7">
        <v>211.75</v>
      </c>
      <c r="I74" s="2"/>
      <c r="J74" s="6">
        <f t="shared" si="23"/>
        <v>4.1874167089692993E-3</v>
      </c>
      <c r="K74" s="2"/>
      <c r="L74" s="7">
        <f t="shared" si="24"/>
        <v>-211.75</v>
      </c>
      <c r="M74" s="2"/>
      <c r="N74" s="6">
        <f t="shared" si="25"/>
        <v>-1</v>
      </c>
      <c r="O74" s="11"/>
      <c r="P74" s="7">
        <v>25.5</v>
      </c>
      <c r="Q74" s="2"/>
      <c r="R74" s="6">
        <f t="shared" si="26"/>
        <v>4.5792989111325099E-4</v>
      </c>
      <c r="S74" s="2"/>
      <c r="T74" s="7">
        <v>574.75</v>
      </c>
      <c r="U74" s="2"/>
      <c r="V74" s="6">
        <f t="shared" si="27"/>
        <v>1.095884716931881E-2</v>
      </c>
      <c r="W74" s="2"/>
      <c r="X74" s="7">
        <f t="shared" si="28"/>
        <v>-549.25</v>
      </c>
      <c r="Y74" s="2"/>
      <c r="Z74" s="6">
        <f t="shared" si="29"/>
        <v>-0.95563288386254897</v>
      </c>
    </row>
    <row r="75" spans="1:26" s="24" customFormat="1" hidden="1" outlineLevel="2" x14ac:dyDescent="0.25">
      <c r="A75" s="29"/>
      <c r="B75" s="11" t="str">
        <f>CONCATENATE("          ", "6007", " - ", "STUDENT HOURLY")</f>
        <v xml:space="preserve">          6007 - STUDENT HOURLY</v>
      </c>
      <c r="C75" s="11"/>
      <c r="D75" s="7">
        <v>3133.56</v>
      </c>
      <c r="E75" s="2"/>
      <c r="F75" s="6">
        <f t="shared" si="22"/>
        <v>5.8835789049148497E-2</v>
      </c>
      <c r="G75" s="2"/>
      <c r="H75" s="7">
        <v>3055.13</v>
      </c>
      <c r="I75" s="2"/>
      <c r="J75" s="6">
        <f t="shared" si="23"/>
        <v>6.0416068052294568E-2</v>
      </c>
      <c r="K75" s="2"/>
      <c r="L75" s="7">
        <f t="shared" si="24"/>
        <v>78.429999999999836</v>
      </c>
      <c r="M75" s="2"/>
      <c r="N75" s="6">
        <f t="shared" si="25"/>
        <v>2.5671575350312371E-2</v>
      </c>
      <c r="O75" s="11"/>
      <c r="P75" s="7">
        <v>5297.25</v>
      </c>
      <c r="Q75" s="2"/>
      <c r="R75" s="6">
        <f t="shared" si="26"/>
        <v>9.5128200615673286E-2</v>
      </c>
      <c r="S75" s="2"/>
      <c r="T75" s="7">
        <v>4122.38</v>
      </c>
      <c r="U75" s="2"/>
      <c r="V75" s="6">
        <f t="shared" si="27"/>
        <v>7.8602057231590208E-2</v>
      </c>
      <c r="W75" s="2"/>
      <c r="X75" s="7">
        <f t="shared" si="28"/>
        <v>1174.8699999999999</v>
      </c>
      <c r="Y75" s="2"/>
      <c r="Z75" s="6">
        <f t="shared" si="29"/>
        <v>0.28499798659997377</v>
      </c>
    </row>
    <row r="76" spans="1:26" s="27" customFormat="1" outlineLevel="1" collapsed="1" x14ac:dyDescent="0.25">
      <c r="A76" s="28"/>
      <c r="B76" s="14" t="str">
        <f>CONCATENATE("     ","Advertising/Promo                                 ")</f>
        <v xml:space="preserve">     Advertising/Promo                                 </v>
      </c>
      <c r="C76" s="14"/>
      <c r="D76" s="1">
        <f>SUM(OSRRefD22_2x_0)</f>
        <v>45.86</v>
      </c>
      <c r="E76" s="1"/>
      <c r="F76" s="5">
        <f t="shared" ref="F76:F82" si="30">IF(D$12=0,0,D76/D$12)</f>
        <v>8.6106833307610195E-4</v>
      </c>
      <c r="G76" s="1"/>
      <c r="H76" s="1">
        <f>SUM(OSRRefH22_2x_0)</f>
        <v>0</v>
      </c>
      <c r="I76" s="1"/>
      <c r="J76" s="5">
        <f t="shared" ref="J76:J82" si="31">IF(H$12=0,0,H76/H$12)</f>
        <v>0</v>
      </c>
      <c r="K76" s="1"/>
      <c r="L76" s="1">
        <f t="shared" ref="L76:L82" si="32">+D76-H76</f>
        <v>45.86</v>
      </c>
      <c r="M76" s="1"/>
      <c r="N76" s="5">
        <f t="shared" ref="N76:N82" si="33">IF(H76=0,0,L76/H76)</f>
        <v>0</v>
      </c>
      <c r="O76" s="14"/>
      <c r="P76" s="1">
        <f>SUM(OSRRefP22_2x_0)</f>
        <v>45.86</v>
      </c>
      <c r="Q76" s="1"/>
      <c r="R76" s="5">
        <f t="shared" ref="R76:R82" si="34">IF(P$12=0,0,P76/P$12)</f>
        <v>8.2355548260602709E-4</v>
      </c>
      <c r="S76" s="1"/>
      <c r="T76" s="1">
        <f>SUM(OSRRefT22_2x_0)</f>
        <v>0</v>
      </c>
      <c r="U76" s="1"/>
      <c r="V76" s="5">
        <f t="shared" ref="V76:V82" si="35">IF(T$12=0,0,T76/T$12)</f>
        <v>0</v>
      </c>
      <c r="W76" s="1"/>
      <c r="X76" s="1">
        <f t="shared" ref="X76:X82" si="36">+P76-T76</f>
        <v>45.86</v>
      </c>
      <c r="Y76" s="1"/>
      <c r="Z76" s="5">
        <f t="shared" ref="Z76:Z82" si="37">IF(T76=0,0,X76/T76)</f>
        <v>0</v>
      </c>
    </row>
    <row r="77" spans="1:26" s="24" customFormat="1" hidden="1" outlineLevel="2" x14ac:dyDescent="0.25">
      <c r="A77" s="29"/>
      <c r="B77" s="11" t="str">
        <f>CONCATENATE("          ", "6362", " - ", "ADVERTISING EXPENSE")</f>
        <v xml:space="preserve">          6362 - ADVERTISING EXPENSE</v>
      </c>
      <c r="C77" s="11"/>
      <c r="D77" s="7">
        <v>45.86</v>
      </c>
      <c r="E77" s="2"/>
      <c r="F77" s="6">
        <f t="shared" si="30"/>
        <v>8.6106833307610195E-4</v>
      </c>
      <c r="G77" s="2"/>
      <c r="H77" s="7"/>
      <c r="I77" s="2"/>
      <c r="J77" s="6">
        <f t="shared" si="31"/>
        <v>0</v>
      </c>
      <c r="K77" s="2"/>
      <c r="L77" s="7">
        <f t="shared" si="32"/>
        <v>45.86</v>
      </c>
      <c r="M77" s="2"/>
      <c r="N77" s="6">
        <f t="shared" si="33"/>
        <v>0</v>
      </c>
      <c r="O77" s="11"/>
      <c r="P77" s="7">
        <v>45.86</v>
      </c>
      <c r="Q77" s="2"/>
      <c r="R77" s="6">
        <f t="shared" si="34"/>
        <v>8.2355548260602709E-4</v>
      </c>
      <c r="S77" s="2"/>
      <c r="T77" s="7"/>
      <c r="U77" s="2"/>
      <c r="V77" s="6">
        <f t="shared" si="35"/>
        <v>0</v>
      </c>
      <c r="W77" s="2"/>
      <c r="X77" s="7">
        <f t="shared" si="36"/>
        <v>45.86</v>
      </c>
      <c r="Y77" s="2"/>
      <c r="Z77" s="6">
        <f t="shared" si="37"/>
        <v>0</v>
      </c>
    </row>
    <row r="78" spans="1:26" s="27" customFormat="1" outlineLevel="1" collapsed="1" x14ac:dyDescent="0.25">
      <c r="A78" s="28"/>
      <c r="B78" s="14" t="str">
        <f>CONCATENATE("     ","Bad Debts/Over/Short                              ")</f>
        <v xml:space="preserve">     Bad Debts/Over/Short                              </v>
      </c>
      <c r="C78" s="14"/>
      <c r="D78" s="1">
        <f>SUM(OSRRefD22_3x_0)</f>
        <v>-9.4499999999999993</v>
      </c>
      <c r="E78" s="1"/>
      <c r="F78" s="5">
        <f t="shared" si="30"/>
        <v>-1.7743340051393726E-4</v>
      </c>
      <c r="G78" s="1"/>
      <c r="H78" s="1">
        <f>SUM(OSRRefH22_3x_0)</f>
        <v>2.0299999999999998</v>
      </c>
      <c r="I78" s="1"/>
      <c r="J78" s="5">
        <f t="shared" si="31"/>
        <v>4.0143829606647822E-5</v>
      </c>
      <c r="K78" s="1"/>
      <c r="L78" s="1">
        <f t="shared" si="32"/>
        <v>-11.479999999999999</v>
      </c>
      <c r="M78" s="1"/>
      <c r="N78" s="5">
        <f t="shared" si="33"/>
        <v>-5.6551724137931032</v>
      </c>
      <c r="O78" s="14"/>
      <c r="P78" s="1">
        <f>SUM(OSRRefP22_3x_0)</f>
        <v>-9.07</v>
      </c>
      <c r="Q78" s="1"/>
      <c r="R78" s="5">
        <f t="shared" si="34"/>
        <v>-1.628793769567524E-4</v>
      </c>
      <c r="S78" s="1"/>
      <c r="T78" s="1">
        <f>SUM(OSRRefT22_3x_0)</f>
        <v>-1.29</v>
      </c>
      <c r="U78" s="1"/>
      <c r="V78" s="5">
        <f t="shared" si="35"/>
        <v>-2.4596629575330606E-5</v>
      </c>
      <c r="W78" s="1"/>
      <c r="X78" s="1">
        <f t="shared" si="36"/>
        <v>-7.78</v>
      </c>
      <c r="Y78" s="1"/>
      <c r="Z78" s="5">
        <f t="shared" si="37"/>
        <v>6.0310077519379846</v>
      </c>
    </row>
    <row r="79" spans="1:26" s="24" customFormat="1" hidden="1" outlineLevel="2" x14ac:dyDescent="0.25">
      <c r="A79" s="29"/>
      <c r="B79" s="11" t="str">
        <f>CONCATENATE("          ", "6272", " - ", "CASH (OVER/SHORT)")</f>
        <v xml:space="preserve">          6272 - CASH (OVER/SHORT)</v>
      </c>
      <c r="C79" s="11"/>
      <c r="D79" s="7">
        <v>-9.4499999999999993</v>
      </c>
      <c r="E79" s="2"/>
      <c r="F79" s="6">
        <f t="shared" si="30"/>
        <v>-1.7743340051393726E-4</v>
      </c>
      <c r="G79" s="2"/>
      <c r="H79" s="7">
        <v>2.0299999999999998</v>
      </c>
      <c r="I79" s="2"/>
      <c r="J79" s="6">
        <f t="shared" si="31"/>
        <v>4.0143829606647822E-5</v>
      </c>
      <c r="K79" s="2"/>
      <c r="L79" s="7">
        <f t="shared" si="32"/>
        <v>-11.479999999999999</v>
      </c>
      <c r="M79" s="2"/>
      <c r="N79" s="6">
        <f t="shared" si="33"/>
        <v>-5.6551724137931032</v>
      </c>
      <c r="O79" s="11"/>
      <c r="P79" s="7">
        <v>-9.07</v>
      </c>
      <c r="Q79" s="2"/>
      <c r="R79" s="6">
        <f t="shared" si="34"/>
        <v>-1.628793769567524E-4</v>
      </c>
      <c r="S79" s="2"/>
      <c r="T79" s="7">
        <v>-1.29</v>
      </c>
      <c r="U79" s="2"/>
      <c r="V79" s="6">
        <f t="shared" si="35"/>
        <v>-2.4596629575330606E-5</v>
      </c>
      <c r="W79" s="2"/>
      <c r="X79" s="7">
        <f t="shared" si="36"/>
        <v>-7.78</v>
      </c>
      <c r="Y79" s="2"/>
      <c r="Z79" s="6">
        <f t="shared" si="37"/>
        <v>6.0310077519379846</v>
      </c>
    </row>
    <row r="80" spans="1:26" s="27" customFormat="1" outlineLevel="1" collapsed="1" x14ac:dyDescent="0.25">
      <c r="A80" s="28"/>
      <c r="B80" s="14" t="str">
        <f>CONCATENATE("     ","Discounts and Markdowns                           ")</f>
        <v xml:space="preserve">     Discounts and Markdowns                           </v>
      </c>
      <c r="C80" s="14"/>
      <c r="D80" s="1">
        <f>SUM(OSRRefD22_4x_0)</f>
        <v>2310.4499999999998</v>
      </c>
      <c r="E80" s="1"/>
      <c r="F80" s="5">
        <f t="shared" si="30"/>
        <v>4.338105822406628E-2</v>
      </c>
      <c r="G80" s="1"/>
      <c r="H80" s="1">
        <f>SUM(OSRRefH22_4x_0)</f>
        <v>2107.88</v>
      </c>
      <c r="I80" s="1"/>
      <c r="J80" s="5">
        <f t="shared" si="31"/>
        <v>4.1683928842985628E-2</v>
      </c>
      <c r="K80" s="1"/>
      <c r="L80" s="1">
        <f t="shared" si="32"/>
        <v>202.56999999999971</v>
      </c>
      <c r="M80" s="1"/>
      <c r="N80" s="5">
        <f t="shared" si="33"/>
        <v>9.6101296088961272E-2</v>
      </c>
      <c r="O80" s="14"/>
      <c r="P80" s="1">
        <f>SUM(OSRRefP22_4x_0)</f>
        <v>2440.94</v>
      </c>
      <c r="Q80" s="1"/>
      <c r="R80" s="5">
        <f t="shared" si="34"/>
        <v>4.3834485820156033E-2</v>
      </c>
      <c r="S80" s="1"/>
      <c r="T80" s="1">
        <f>SUM(OSRRefT22_4x_0)</f>
        <v>2141.59</v>
      </c>
      <c r="U80" s="1"/>
      <c r="V80" s="5">
        <f t="shared" si="35"/>
        <v>4.0834027854443622E-2</v>
      </c>
      <c r="W80" s="1"/>
      <c r="X80" s="1">
        <f t="shared" si="36"/>
        <v>299.34999999999991</v>
      </c>
      <c r="Y80" s="1"/>
      <c r="Z80" s="5">
        <f t="shared" si="37"/>
        <v>0.13977932283957242</v>
      </c>
    </row>
    <row r="81" spans="1:26" s="24" customFormat="1" hidden="1" outlineLevel="2" x14ac:dyDescent="0.25">
      <c r="A81" s="29"/>
      <c r="B81" s="11" t="str">
        <f>CONCATENATE("          ", "6382", " - ", "DISCOUNTS/MARK DOWNS")</f>
        <v xml:space="preserve">          6382 - DISCOUNTS/MARK DOWNS</v>
      </c>
      <c r="C81" s="11"/>
      <c r="D81" s="7">
        <v>2368.89</v>
      </c>
      <c r="E81" s="2"/>
      <c r="F81" s="6">
        <f t="shared" si="30"/>
        <v>4.4478328904069935E-2</v>
      </c>
      <c r="G81" s="2"/>
      <c r="H81" s="7">
        <v>2107.88</v>
      </c>
      <c r="I81" s="2"/>
      <c r="J81" s="6">
        <f t="shared" si="31"/>
        <v>4.1683928842985628E-2</v>
      </c>
      <c r="K81" s="2"/>
      <c r="L81" s="7">
        <f t="shared" si="32"/>
        <v>261.00999999999976</v>
      </c>
      <c r="M81" s="2"/>
      <c r="N81" s="6">
        <f t="shared" si="33"/>
        <v>0.12382583448773163</v>
      </c>
      <c r="O81" s="11"/>
      <c r="P81" s="7">
        <v>2499.38</v>
      </c>
      <c r="Q81" s="2"/>
      <c r="R81" s="6">
        <f t="shared" si="34"/>
        <v>4.4883953382377932E-2</v>
      </c>
      <c r="S81" s="2"/>
      <c r="T81" s="7">
        <v>2141.59</v>
      </c>
      <c r="U81" s="2"/>
      <c r="V81" s="6">
        <f t="shared" si="35"/>
        <v>4.0834027854443622E-2</v>
      </c>
      <c r="W81" s="2"/>
      <c r="X81" s="7">
        <f t="shared" si="36"/>
        <v>357.78999999999996</v>
      </c>
      <c r="Y81" s="2"/>
      <c r="Z81" s="6">
        <f t="shared" si="37"/>
        <v>0.16706745922422123</v>
      </c>
    </row>
    <row r="82" spans="1:26" s="24" customFormat="1" hidden="1" outlineLevel="2" x14ac:dyDescent="0.25">
      <c r="A82" s="29"/>
      <c r="B82" s="11" t="str">
        <f>CONCATENATE("          ", "9175", " - ", "EARNED DISCOUNTS")</f>
        <v xml:space="preserve">          9175 - EARNED DISCOUNTS</v>
      </c>
      <c r="C82" s="11"/>
      <c r="D82" s="7">
        <v>-58.44</v>
      </c>
      <c r="E82" s="2"/>
      <c r="F82" s="6">
        <f t="shared" si="30"/>
        <v>-1.0972706800036502E-3</v>
      </c>
      <c r="G82" s="2"/>
      <c r="H82" s="7"/>
      <c r="I82" s="2"/>
      <c r="J82" s="6">
        <f t="shared" si="31"/>
        <v>0</v>
      </c>
      <c r="K82" s="2"/>
      <c r="L82" s="7">
        <f t="shared" si="32"/>
        <v>-58.44</v>
      </c>
      <c r="M82" s="2"/>
      <c r="N82" s="6">
        <f t="shared" si="33"/>
        <v>0</v>
      </c>
      <c r="O82" s="11"/>
      <c r="P82" s="7">
        <v>-58.44</v>
      </c>
      <c r="Q82" s="2"/>
      <c r="R82" s="6">
        <f t="shared" si="34"/>
        <v>-1.0494675622218976E-3</v>
      </c>
      <c r="S82" s="2"/>
      <c r="T82" s="7"/>
      <c r="U82" s="2"/>
      <c r="V82" s="6">
        <f t="shared" si="35"/>
        <v>0</v>
      </c>
      <c r="W82" s="2"/>
      <c r="X82" s="7">
        <f t="shared" si="36"/>
        <v>-58.44</v>
      </c>
      <c r="Y82" s="2"/>
      <c r="Z82" s="6">
        <f t="shared" si="37"/>
        <v>0</v>
      </c>
    </row>
    <row r="83" spans="1:26" s="27" customFormat="1" outlineLevel="1" collapsed="1" x14ac:dyDescent="0.25">
      <c r="A83" s="28"/>
      <c r="B83" s="14" t="str">
        <f>CONCATENATE("     ","General                                           ")</f>
        <v xml:space="preserve">     General                                           </v>
      </c>
      <c r="C83" s="14"/>
      <c r="D83" s="1">
        <f>SUM(OSRRefD22_5x_0)</f>
        <v>0</v>
      </c>
      <c r="E83" s="1"/>
      <c r="F83" s="5">
        <f t="shared" ref="F83:F91" si="38">IF(D$12=0,0,D83/D$12)</f>
        <v>0</v>
      </c>
      <c r="G83" s="1"/>
      <c r="H83" s="1">
        <f>SUM(OSRRefH22_5x_0)</f>
        <v>0</v>
      </c>
      <c r="I83" s="1"/>
      <c r="J83" s="5">
        <f t="shared" ref="J83:J91" si="39">IF(H$12=0,0,H83/H$12)</f>
        <v>0</v>
      </c>
      <c r="K83" s="1"/>
      <c r="L83" s="1">
        <f t="shared" ref="L83:L91" si="40">+D83-H83</f>
        <v>0</v>
      </c>
      <c r="M83" s="1"/>
      <c r="N83" s="5">
        <f t="shared" ref="N83:N91" si="41">IF(H83=0,0,L83/H83)</f>
        <v>0</v>
      </c>
      <c r="O83" s="14"/>
      <c r="P83" s="1">
        <f>SUM(OSRRefP22_5x_0)</f>
        <v>694.55</v>
      </c>
      <c r="Q83" s="1"/>
      <c r="R83" s="5">
        <f t="shared" ref="R83:R91" si="42">IF(P$12=0,0,P83/P$12)</f>
        <v>1.2472753171478763E-2</v>
      </c>
      <c r="S83" s="1"/>
      <c r="T83" s="1">
        <f>SUM(OSRRefT22_5x_0)</f>
        <v>669.2</v>
      </c>
      <c r="U83" s="1"/>
      <c r="V83" s="5">
        <f t="shared" ref="V83:V91" si="43">IF(T$12=0,0,T83/T$12)</f>
        <v>1.2759739931636621E-2</v>
      </c>
      <c r="W83" s="1"/>
      <c r="X83" s="1">
        <f t="shared" ref="X83:X91" si="44">+P83-T83</f>
        <v>25.349999999999909</v>
      </c>
      <c r="Y83" s="1"/>
      <c r="Z83" s="5">
        <f t="shared" ref="Z83:Z91" si="45">IF(T83=0,0,X83/T83)</f>
        <v>3.7881052002390773E-2</v>
      </c>
    </row>
    <row r="84" spans="1:26" s="24" customFormat="1" hidden="1" outlineLevel="2" x14ac:dyDescent="0.25">
      <c r="A84" s="29"/>
      <c r="B84" s="11" t="str">
        <f>CONCATENATE("          ", "6279", " - ", "GENERAL EXPENSE")</f>
        <v xml:space="preserve">          6279 - GENERAL EXPENSE</v>
      </c>
      <c r="C84" s="11"/>
      <c r="D84" s="7"/>
      <c r="E84" s="2"/>
      <c r="F84" s="6">
        <f t="shared" si="38"/>
        <v>0</v>
      </c>
      <c r="G84" s="2"/>
      <c r="H84" s="7"/>
      <c r="I84" s="2"/>
      <c r="J84" s="6">
        <f t="shared" si="39"/>
        <v>0</v>
      </c>
      <c r="K84" s="2"/>
      <c r="L84" s="7">
        <f t="shared" si="40"/>
        <v>0</v>
      </c>
      <c r="M84" s="2"/>
      <c r="N84" s="6">
        <f t="shared" si="41"/>
        <v>0</v>
      </c>
      <c r="O84" s="11"/>
      <c r="P84" s="7">
        <v>694.55</v>
      </c>
      <c r="Q84" s="2"/>
      <c r="R84" s="6">
        <f t="shared" si="42"/>
        <v>1.2472753171478763E-2</v>
      </c>
      <c r="S84" s="2"/>
      <c r="T84" s="7">
        <v>669.2</v>
      </c>
      <c r="U84" s="2"/>
      <c r="V84" s="6">
        <f t="shared" si="43"/>
        <v>1.2759739931636621E-2</v>
      </c>
      <c r="W84" s="2"/>
      <c r="X84" s="7">
        <f t="shared" si="44"/>
        <v>25.349999999999909</v>
      </c>
      <c r="Y84" s="2"/>
      <c r="Z84" s="6">
        <f t="shared" si="45"/>
        <v>3.7881052002390773E-2</v>
      </c>
    </row>
    <row r="85" spans="1:26" s="27" customFormat="1" outlineLevel="1" collapsed="1" x14ac:dyDescent="0.25">
      <c r="A85" s="28"/>
      <c r="B85" s="14" t="str">
        <f>CONCATENATE("     ","Inventory Adjustment                              ")</f>
        <v xml:space="preserve">     Inventory Adjustment                              </v>
      </c>
      <c r="C85" s="14"/>
      <c r="D85" s="1">
        <f>SUM(OSRRefD22_6x_0)</f>
        <v>0</v>
      </c>
      <c r="E85" s="1"/>
      <c r="F85" s="5">
        <f t="shared" si="38"/>
        <v>0</v>
      </c>
      <c r="G85" s="1"/>
      <c r="H85" s="1">
        <f>SUM(OSRRefH22_6x_0)</f>
        <v>400</v>
      </c>
      <c r="I85" s="1"/>
      <c r="J85" s="5">
        <f t="shared" si="39"/>
        <v>7.9101142082064688E-3</v>
      </c>
      <c r="K85" s="1"/>
      <c r="L85" s="1">
        <f t="shared" si="40"/>
        <v>-400</v>
      </c>
      <c r="M85" s="1"/>
      <c r="N85" s="5">
        <f t="shared" si="41"/>
        <v>-1</v>
      </c>
      <c r="O85" s="14"/>
      <c r="P85" s="1">
        <f>SUM(OSRRefP22_6x_0)</f>
        <v>0</v>
      </c>
      <c r="Q85" s="1"/>
      <c r="R85" s="5">
        <f t="shared" si="42"/>
        <v>0</v>
      </c>
      <c r="S85" s="1"/>
      <c r="T85" s="1">
        <f>SUM(OSRRefT22_6x_0)</f>
        <v>800</v>
      </c>
      <c r="U85" s="1"/>
      <c r="V85" s="5">
        <f t="shared" si="43"/>
        <v>1.5253723767646886E-2</v>
      </c>
      <c r="W85" s="1"/>
      <c r="X85" s="1">
        <f t="shared" si="44"/>
        <v>-800</v>
      </c>
      <c r="Y85" s="1"/>
      <c r="Z85" s="5">
        <f t="shared" si="45"/>
        <v>-1</v>
      </c>
    </row>
    <row r="86" spans="1:26" s="24" customFormat="1" hidden="1" outlineLevel="2" x14ac:dyDescent="0.25">
      <c r="A86" s="29"/>
      <c r="B86" s="11" t="str">
        <f>CONCATENATE("          ", "6408", " - ", "INVENTORY ADJUSTMENT")</f>
        <v xml:space="preserve">          6408 - INVENTORY ADJUSTMENT</v>
      </c>
      <c r="C86" s="11"/>
      <c r="D86" s="7"/>
      <c r="E86" s="2"/>
      <c r="F86" s="6">
        <f t="shared" si="38"/>
        <v>0</v>
      </c>
      <c r="G86" s="2"/>
      <c r="H86" s="7">
        <v>400</v>
      </c>
      <c r="I86" s="2"/>
      <c r="J86" s="6">
        <f t="shared" si="39"/>
        <v>7.9101142082064688E-3</v>
      </c>
      <c r="K86" s="2"/>
      <c r="L86" s="7">
        <f t="shared" si="40"/>
        <v>-400</v>
      </c>
      <c r="M86" s="2"/>
      <c r="N86" s="6">
        <f t="shared" si="41"/>
        <v>-1</v>
      </c>
      <c r="O86" s="11"/>
      <c r="P86" s="7"/>
      <c r="Q86" s="2"/>
      <c r="R86" s="6">
        <f t="shared" si="42"/>
        <v>0</v>
      </c>
      <c r="S86" s="2"/>
      <c r="T86" s="7">
        <v>800</v>
      </c>
      <c r="U86" s="2"/>
      <c r="V86" s="6">
        <f t="shared" si="43"/>
        <v>1.5253723767646886E-2</v>
      </c>
      <c r="W86" s="2"/>
      <c r="X86" s="7">
        <f t="shared" si="44"/>
        <v>-800</v>
      </c>
      <c r="Y86" s="2"/>
      <c r="Z86" s="6">
        <f t="shared" si="45"/>
        <v>-1</v>
      </c>
    </row>
    <row r="87" spans="1:26" s="27" customFormat="1" outlineLevel="1" collapsed="1" x14ac:dyDescent="0.25">
      <c r="A87" s="28"/>
      <c r="B87" s="14" t="str">
        <f>CONCATENATE("     ","Professional Services                             ")</f>
        <v xml:space="preserve">     Professional Services                             </v>
      </c>
      <c r="C87" s="14"/>
      <c r="D87" s="1">
        <f>SUM(OSRRefD22_7x_0)</f>
        <v>0</v>
      </c>
      <c r="E87" s="1"/>
      <c r="F87" s="5">
        <f t="shared" si="38"/>
        <v>0</v>
      </c>
      <c r="G87" s="1"/>
      <c r="H87" s="1">
        <f>SUM(OSRRefH22_7x_0)</f>
        <v>0</v>
      </c>
      <c r="I87" s="1"/>
      <c r="J87" s="5">
        <f t="shared" si="39"/>
        <v>0</v>
      </c>
      <c r="K87" s="1"/>
      <c r="L87" s="1">
        <f t="shared" si="40"/>
        <v>0</v>
      </c>
      <c r="M87" s="1"/>
      <c r="N87" s="5">
        <f t="shared" si="41"/>
        <v>0</v>
      </c>
      <c r="O87" s="14"/>
      <c r="P87" s="1">
        <f>SUM(OSRRefP22_7x_0)</f>
        <v>750</v>
      </c>
      <c r="Q87" s="1"/>
      <c r="R87" s="5">
        <f t="shared" si="42"/>
        <v>1.3468526209213265E-2</v>
      </c>
      <c r="S87" s="1"/>
      <c r="T87" s="1">
        <f>SUM(OSRRefT22_7x_0)</f>
        <v>750</v>
      </c>
      <c r="U87" s="1"/>
      <c r="V87" s="5">
        <f t="shared" si="43"/>
        <v>1.4300366032168955E-2</v>
      </c>
      <c r="W87" s="1"/>
      <c r="X87" s="1">
        <f t="shared" si="44"/>
        <v>0</v>
      </c>
      <c r="Y87" s="1"/>
      <c r="Z87" s="5">
        <f t="shared" si="45"/>
        <v>0</v>
      </c>
    </row>
    <row r="88" spans="1:26" s="24" customFormat="1" hidden="1" outlineLevel="2" x14ac:dyDescent="0.25">
      <c r="A88" s="29"/>
      <c r="B88" s="11" t="str">
        <f>CONCATENATE("          ", "6336", " - ", "PROFESSIONAL SERVICES")</f>
        <v xml:space="preserve">          6336 - PROFESSIONAL SERVICES</v>
      </c>
      <c r="C88" s="11"/>
      <c r="D88" s="7"/>
      <c r="E88" s="2"/>
      <c r="F88" s="6">
        <f t="shared" si="38"/>
        <v>0</v>
      </c>
      <c r="G88" s="2"/>
      <c r="H88" s="7"/>
      <c r="I88" s="2"/>
      <c r="J88" s="6">
        <f t="shared" si="39"/>
        <v>0</v>
      </c>
      <c r="K88" s="2"/>
      <c r="L88" s="7">
        <f t="shared" si="40"/>
        <v>0</v>
      </c>
      <c r="M88" s="2"/>
      <c r="N88" s="6">
        <f t="shared" si="41"/>
        <v>0</v>
      </c>
      <c r="O88" s="11"/>
      <c r="P88" s="7">
        <v>750</v>
      </c>
      <c r="Q88" s="2"/>
      <c r="R88" s="6">
        <f t="shared" si="42"/>
        <v>1.3468526209213265E-2</v>
      </c>
      <c r="S88" s="2"/>
      <c r="T88" s="7">
        <v>750</v>
      </c>
      <c r="U88" s="2"/>
      <c r="V88" s="6">
        <f t="shared" si="43"/>
        <v>1.4300366032168955E-2</v>
      </c>
      <c r="W88" s="2"/>
      <c r="X88" s="7">
        <f t="shared" si="44"/>
        <v>0</v>
      </c>
      <c r="Y88" s="2"/>
      <c r="Z88" s="6">
        <f t="shared" si="45"/>
        <v>0</v>
      </c>
    </row>
    <row r="89" spans="1:26" s="27" customFormat="1" outlineLevel="1" collapsed="1" x14ac:dyDescent="0.25">
      <c r="A89" s="28"/>
      <c r="B89" s="14" t="str">
        <f>CONCATENATE("     ","Services                                          ")</f>
        <v xml:space="preserve">     Services                                          </v>
      </c>
      <c r="C89" s="14"/>
      <c r="D89" s="1">
        <f>SUM(OSRRefD22_8x_0)</f>
        <v>255.18</v>
      </c>
      <c r="E89" s="1"/>
      <c r="F89" s="5">
        <f t="shared" si="38"/>
        <v>4.7912650945128588E-3</v>
      </c>
      <c r="G89" s="1"/>
      <c r="H89" s="1">
        <f>SUM(OSRRefH22_8x_0)</f>
        <v>196.7</v>
      </c>
      <c r="I89" s="1"/>
      <c r="J89" s="5">
        <f t="shared" si="39"/>
        <v>3.8897986618855306E-3</v>
      </c>
      <c r="K89" s="1"/>
      <c r="L89" s="1">
        <f t="shared" si="40"/>
        <v>58.480000000000018</v>
      </c>
      <c r="M89" s="1"/>
      <c r="N89" s="5">
        <f t="shared" si="41"/>
        <v>0.2973055414336554</v>
      </c>
      <c r="O89" s="14"/>
      <c r="P89" s="1">
        <f>SUM(OSRRefP22_8x_0)</f>
        <v>462.85</v>
      </c>
      <c r="Q89" s="1"/>
      <c r="R89" s="5">
        <f t="shared" si="42"/>
        <v>8.3118764745791461E-3</v>
      </c>
      <c r="S89" s="1"/>
      <c r="T89" s="1">
        <f>SUM(OSRRefT22_8x_0)</f>
        <v>431.3</v>
      </c>
      <c r="U89" s="1"/>
      <c r="V89" s="5">
        <f t="shared" si="43"/>
        <v>8.2236638262326283E-3</v>
      </c>
      <c r="W89" s="1"/>
      <c r="X89" s="1">
        <f t="shared" si="44"/>
        <v>31.550000000000011</v>
      </c>
      <c r="Y89" s="1"/>
      <c r="Z89" s="5">
        <f t="shared" si="45"/>
        <v>7.3150939021562736E-2</v>
      </c>
    </row>
    <row r="90" spans="1:26" s="24" customFormat="1" hidden="1" outlineLevel="2" x14ac:dyDescent="0.25">
      <c r="A90" s="29"/>
      <c r="B90" s="11" t="str">
        <f>CONCATENATE("          ", "6282", " - ", "JANITORIAL/EXTERMINATOR EXPENS")</f>
        <v xml:space="preserve">          6282 - JANITORIAL/EXTERMINATOR EXPENS</v>
      </c>
      <c r="C90" s="11"/>
      <c r="D90" s="7">
        <v>44</v>
      </c>
      <c r="E90" s="2"/>
      <c r="F90" s="6">
        <f t="shared" si="38"/>
        <v>8.2614493360986673E-4</v>
      </c>
      <c r="G90" s="2"/>
      <c r="H90" s="7"/>
      <c r="I90" s="2"/>
      <c r="J90" s="6">
        <f t="shared" si="39"/>
        <v>0</v>
      </c>
      <c r="K90" s="2"/>
      <c r="L90" s="7">
        <f t="shared" si="40"/>
        <v>44</v>
      </c>
      <c r="M90" s="2"/>
      <c r="N90" s="6">
        <f t="shared" si="41"/>
        <v>0</v>
      </c>
      <c r="O90" s="11"/>
      <c r="P90" s="7">
        <v>88</v>
      </c>
      <c r="Q90" s="2"/>
      <c r="R90" s="6">
        <f t="shared" si="42"/>
        <v>1.5803070752143564E-3</v>
      </c>
      <c r="S90" s="2"/>
      <c r="T90" s="7">
        <v>41.5</v>
      </c>
      <c r="U90" s="2"/>
      <c r="V90" s="6">
        <f t="shared" si="43"/>
        <v>7.9128692044668218E-4</v>
      </c>
      <c r="W90" s="2"/>
      <c r="X90" s="7">
        <f t="shared" si="44"/>
        <v>46.5</v>
      </c>
      <c r="Y90" s="2"/>
      <c r="Z90" s="6">
        <f t="shared" si="45"/>
        <v>1.1204819277108433</v>
      </c>
    </row>
    <row r="91" spans="1:26" s="24" customFormat="1" hidden="1" outlineLevel="2" x14ac:dyDescent="0.25">
      <c r="A91" s="29"/>
      <c r="B91" s="11" t="str">
        <f>CONCATENATE("          ", "6285", " - ", "JANITORIAL SERVICES")</f>
        <v xml:space="preserve">          6285 - JANITORIAL SERVICES</v>
      </c>
      <c r="C91" s="11"/>
      <c r="D91" s="7">
        <v>211.18</v>
      </c>
      <c r="E91" s="2"/>
      <c r="F91" s="6">
        <f t="shared" si="38"/>
        <v>3.9651201609029922E-3</v>
      </c>
      <c r="G91" s="2"/>
      <c r="H91" s="7">
        <v>196.7</v>
      </c>
      <c r="I91" s="2"/>
      <c r="J91" s="6">
        <f t="shared" si="39"/>
        <v>3.8897986618855306E-3</v>
      </c>
      <c r="K91" s="2"/>
      <c r="L91" s="7">
        <f t="shared" si="40"/>
        <v>14.480000000000018</v>
      </c>
      <c r="M91" s="2"/>
      <c r="N91" s="6">
        <f t="shared" si="41"/>
        <v>7.3614641586171939E-2</v>
      </c>
      <c r="O91" s="11"/>
      <c r="P91" s="7">
        <v>374.85</v>
      </c>
      <c r="Q91" s="2"/>
      <c r="R91" s="6">
        <f t="shared" si="42"/>
        <v>6.7315693993647901E-3</v>
      </c>
      <c r="S91" s="2"/>
      <c r="T91" s="7">
        <v>389.8</v>
      </c>
      <c r="U91" s="2"/>
      <c r="V91" s="6">
        <f t="shared" si="43"/>
        <v>7.4323769057859455E-3</v>
      </c>
      <c r="W91" s="2"/>
      <c r="X91" s="7">
        <f t="shared" si="44"/>
        <v>-14.949999999999989</v>
      </c>
      <c r="Y91" s="2"/>
      <c r="Z91" s="6">
        <f t="shared" si="45"/>
        <v>-3.8353001539250871E-2</v>
      </c>
    </row>
    <row r="92" spans="1:26" s="27" customFormat="1" outlineLevel="1" collapsed="1" x14ac:dyDescent="0.25">
      <c r="A92" s="28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SUM(OSRRefD22_9x_0)</f>
        <v>10.42</v>
      </c>
      <c r="E92" s="1"/>
      <c r="F92" s="5">
        <f t="shared" ref="F92:F95" si="46">IF(D$12=0,0,D92/D$12)</f>
        <v>1.9564614109579117E-4</v>
      </c>
      <c r="G92" s="1"/>
      <c r="H92" s="1">
        <f>SUM(OSRRefH22_9x_0)</f>
        <v>267.58999999999997</v>
      </c>
      <c r="I92" s="1"/>
      <c r="J92" s="5">
        <f t="shared" ref="J92:J95" si="47">IF(H$12=0,0,H92/H$12)</f>
        <v>5.2916686524349214E-3</v>
      </c>
      <c r="K92" s="1"/>
      <c r="L92" s="1">
        <f t="shared" ref="L92:L95" si="48">+D92-H92</f>
        <v>-257.16999999999996</v>
      </c>
      <c r="M92" s="1"/>
      <c r="N92" s="5">
        <f t="shared" ref="N92:N95" si="49">IF(H92=0,0,L92/H92)</f>
        <v>-0.96105983033745646</v>
      </c>
      <c r="O92" s="14"/>
      <c r="P92" s="1">
        <f>SUM(OSRRefP22_9x_0)</f>
        <v>15.09</v>
      </c>
      <c r="Q92" s="1"/>
      <c r="R92" s="5">
        <f t="shared" ref="R92:R95" si="50">IF(P$12=0,0,P92/P$12)</f>
        <v>2.7098674732937088E-4</v>
      </c>
      <c r="S92" s="1"/>
      <c r="T92" s="1">
        <f>SUM(OSRRefT22_9x_0)</f>
        <v>301.2</v>
      </c>
      <c r="U92" s="1"/>
      <c r="V92" s="5">
        <f t="shared" ref="V92:V95" si="51">IF(T$12=0,0,T92/T$12)</f>
        <v>5.7430269985190522E-3</v>
      </c>
      <c r="W92" s="1"/>
      <c r="X92" s="1">
        <f t="shared" ref="X92:X95" si="52">+P92-T92</f>
        <v>-286.11</v>
      </c>
      <c r="Y92" s="1"/>
      <c r="Z92" s="5">
        <f t="shared" ref="Z92:Z95" si="53">IF(T92=0,0,X92/T92)</f>
        <v>-0.94990039840637464</v>
      </c>
    </row>
    <row r="93" spans="1:26" s="24" customFormat="1" hidden="1" outlineLevel="2" x14ac:dyDescent="0.25">
      <c r="A93" s="29"/>
      <c r="B93" s="11" t="str">
        <f>CONCATENATE("          ", "6241", " - ", "OFFICE EXPENSE")</f>
        <v xml:space="preserve">          6241 - OFFICE EXPENSE</v>
      </c>
      <c r="C93" s="11"/>
      <c r="D93" s="7">
        <v>10.42</v>
      </c>
      <c r="E93" s="2"/>
      <c r="F93" s="6">
        <f t="shared" si="46"/>
        <v>1.9564614109579117E-4</v>
      </c>
      <c r="G93" s="2"/>
      <c r="H93" s="7">
        <v>267.58999999999997</v>
      </c>
      <c r="I93" s="2"/>
      <c r="J93" s="6">
        <f t="shared" si="47"/>
        <v>5.2916686524349214E-3</v>
      </c>
      <c r="K93" s="2"/>
      <c r="L93" s="7">
        <f t="shared" si="48"/>
        <v>-257.16999999999996</v>
      </c>
      <c r="M93" s="2"/>
      <c r="N93" s="6">
        <f t="shared" si="49"/>
        <v>-0.96105983033745646</v>
      </c>
      <c r="O93" s="11"/>
      <c r="P93" s="7">
        <v>15.09</v>
      </c>
      <c r="Q93" s="2"/>
      <c r="R93" s="6">
        <f t="shared" si="50"/>
        <v>2.7098674732937088E-4</v>
      </c>
      <c r="S93" s="2"/>
      <c r="T93" s="7">
        <v>301.2</v>
      </c>
      <c r="U93" s="2"/>
      <c r="V93" s="6">
        <f t="shared" si="51"/>
        <v>5.7430269985190522E-3</v>
      </c>
      <c r="W93" s="2"/>
      <c r="X93" s="7">
        <f t="shared" si="52"/>
        <v>-286.11</v>
      </c>
      <c r="Y93" s="2"/>
      <c r="Z93" s="6">
        <f t="shared" si="53"/>
        <v>-0.94990039840637464</v>
      </c>
    </row>
    <row r="94" spans="1:26" s="27" customFormat="1" outlineLevel="1" collapsed="1" x14ac:dyDescent="0.25">
      <c r="A94" s="28"/>
      <c r="B94" s="14" t="str">
        <f>CONCATENATE("     ","Telephone/Data Lines                              ")</f>
        <v xml:space="preserve">     Telephone/Data Lines                              </v>
      </c>
      <c r="C94" s="14"/>
      <c r="D94" s="1">
        <f>SUM(OSRRefD22_10x_0)</f>
        <v>103.5</v>
      </c>
      <c r="E94" s="1"/>
      <c r="F94" s="5">
        <f t="shared" si="46"/>
        <v>1.9433181961050275E-3</v>
      </c>
      <c r="G94" s="1"/>
      <c r="H94" s="1">
        <f>SUM(OSRRefH22_10x_0)</f>
        <v>103.35</v>
      </c>
      <c r="I94" s="1"/>
      <c r="J94" s="5">
        <f t="shared" si="47"/>
        <v>2.0437757585453462E-3</v>
      </c>
      <c r="K94" s="1"/>
      <c r="L94" s="1">
        <f t="shared" si="48"/>
        <v>0.15000000000000568</v>
      </c>
      <c r="M94" s="1"/>
      <c r="N94" s="5">
        <f t="shared" si="49"/>
        <v>1.451378809869431E-3</v>
      </c>
      <c r="O94" s="14"/>
      <c r="P94" s="1">
        <f>SUM(OSRRefP22_10x_0)</f>
        <v>177.5</v>
      </c>
      <c r="Q94" s="1"/>
      <c r="R94" s="5">
        <f t="shared" si="50"/>
        <v>3.1875512028471391E-3</v>
      </c>
      <c r="S94" s="1"/>
      <c r="T94" s="1">
        <f>SUM(OSRRefT22_10x_0)</f>
        <v>108.35</v>
      </c>
      <c r="U94" s="1"/>
      <c r="V94" s="5">
        <f t="shared" si="51"/>
        <v>2.0659262127806751E-3</v>
      </c>
      <c r="W94" s="1"/>
      <c r="X94" s="1">
        <f t="shared" si="52"/>
        <v>69.150000000000006</v>
      </c>
      <c r="Y94" s="1"/>
      <c r="Z94" s="5">
        <f t="shared" si="53"/>
        <v>0.63820950622981087</v>
      </c>
    </row>
    <row r="95" spans="1:26" s="24" customFormat="1" hidden="1" outlineLevel="2" x14ac:dyDescent="0.25">
      <c r="A95" s="29"/>
      <c r="B95" s="11" t="str">
        <f>CONCATENATE("          ", "6309", " - ", "TELEPHONE")</f>
        <v xml:space="preserve">          6309 - TELEPHONE</v>
      </c>
      <c r="C95" s="11"/>
      <c r="D95" s="7">
        <v>103.5</v>
      </c>
      <c r="E95" s="2"/>
      <c r="F95" s="6">
        <f t="shared" si="46"/>
        <v>1.9433181961050275E-3</v>
      </c>
      <c r="G95" s="2"/>
      <c r="H95" s="7">
        <v>103.35</v>
      </c>
      <c r="I95" s="2"/>
      <c r="J95" s="6">
        <f t="shared" si="47"/>
        <v>2.0437757585453462E-3</v>
      </c>
      <c r="K95" s="2"/>
      <c r="L95" s="7">
        <f t="shared" si="48"/>
        <v>0.15000000000000568</v>
      </c>
      <c r="M95" s="2"/>
      <c r="N95" s="6">
        <f t="shared" si="49"/>
        <v>1.451378809869431E-3</v>
      </c>
      <c r="O95" s="11"/>
      <c r="P95" s="7">
        <v>177.5</v>
      </c>
      <c r="Q95" s="2"/>
      <c r="R95" s="6">
        <f t="shared" si="50"/>
        <v>3.1875512028471391E-3</v>
      </c>
      <c r="S95" s="2"/>
      <c r="T95" s="7">
        <v>108.35</v>
      </c>
      <c r="U95" s="2"/>
      <c r="V95" s="6">
        <f t="shared" si="51"/>
        <v>2.0659262127806751E-3</v>
      </c>
      <c r="W95" s="2"/>
      <c r="X95" s="7">
        <f t="shared" si="52"/>
        <v>69.150000000000006</v>
      </c>
      <c r="Y95" s="2"/>
      <c r="Z95" s="6">
        <f t="shared" si="53"/>
        <v>0.63820950622981087</v>
      </c>
    </row>
    <row r="96" spans="1:26" s="62" customFormat="1" x14ac:dyDescent="0.25">
      <c r="A96" s="37"/>
      <c r="B96" s="37"/>
      <c r="C96" s="37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25">
      <c r="A97" s="10"/>
      <c r="B97" s="25" t="s">
        <v>0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6" t="s">
        <v>3</v>
      </c>
      <c r="C99" s="26"/>
      <c r="D99" s="20">
        <f>+D60-D62+D97</f>
        <v>17052.869999999992</v>
      </c>
      <c r="E99" s="13"/>
      <c r="F99" s="19">
        <f>IF(D$12=0,0,D99/D$12)</f>
        <v>0.32018504895472</v>
      </c>
      <c r="G99" s="13"/>
      <c r="H99" s="20">
        <f>+H60-H62+H97</f>
        <v>11597.529999999986</v>
      </c>
      <c r="I99" s="13"/>
      <c r="J99" s="19">
        <f>IF(H$12=0,0,H99/H$12)</f>
        <v>0.22934446708275164</v>
      </c>
      <c r="K99" s="15"/>
      <c r="L99" s="20">
        <f>+D99-H99</f>
        <v>5455.3400000000056</v>
      </c>
      <c r="M99" s="15"/>
      <c r="N99" s="19">
        <f>IF(H99=0,0,L99/H99)</f>
        <v>0.47038809125736358</v>
      </c>
      <c r="O99" s="25"/>
      <c r="P99" s="20">
        <f>+P60-P62+P97</f>
        <v>6830.2499999999854</v>
      </c>
      <c r="Q99" s="13"/>
      <c r="R99" s="19">
        <f>IF(P$12=0,0,P99/P$12)</f>
        <v>0.12265786818730494</v>
      </c>
      <c r="S99" s="13"/>
      <c r="T99" s="20">
        <f>+T60-T62+T97</f>
        <v>2533.470000000023</v>
      </c>
      <c r="U99" s="13"/>
      <c r="V99" s="19">
        <f>IF(T$12=0,0,T99/T$12)</f>
        <v>4.8306064442025884E-2</v>
      </c>
      <c r="W99" s="15"/>
      <c r="X99" s="20">
        <f>+P99-T99</f>
        <v>4296.7799999999625</v>
      </c>
      <c r="Y99" s="15"/>
      <c r="Z99" s="19">
        <f>IF(T99=0,0,X99/T99)</f>
        <v>1.6960058733673276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1"/>
      <c r="B101" s="10" t="s">
        <v>13</v>
      </c>
      <c r="C101" s="10"/>
      <c r="D101" s="4">
        <v>6438.52</v>
      </c>
      <c r="E101" s="4"/>
      <c r="F101" s="12">
        <f>IF(D$12=0,0,D101/D$12)</f>
        <v>0.12088978813513181</v>
      </c>
      <c r="G101" s="4"/>
      <c r="H101" s="4">
        <v>4968.95</v>
      </c>
      <c r="I101" s="4"/>
      <c r="J101" s="12">
        <f>IF(H$12=0,0,H101/H$12)</f>
        <v>9.8262404987168817E-2</v>
      </c>
      <c r="K101" s="4"/>
      <c r="L101" s="4">
        <f>+D101-H101</f>
        <v>1469.5700000000006</v>
      </c>
      <c r="M101" s="4"/>
      <c r="N101" s="12">
        <f>IF(H101=0,0,L101/H101)</f>
        <v>0.29575061129614921</v>
      </c>
      <c r="O101" s="10"/>
      <c r="P101" s="4">
        <v>6942.95</v>
      </c>
      <c r="Q101" s="4"/>
      <c r="R101" s="12">
        <f>IF(P$12=0,0,P101/P$12)</f>
        <v>0.12468173872567631</v>
      </c>
      <c r="S101" s="4"/>
      <c r="T101" s="4">
        <v>5354.51</v>
      </c>
      <c r="U101" s="4"/>
      <c r="V101" s="12">
        <f>IF(T$12=0,0,T101/T$12)</f>
        <v>0.10209527056387867</v>
      </c>
      <c r="W101" s="4"/>
      <c r="X101" s="4">
        <f>+P101-T101</f>
        <v>1588.4399999999996</v>
      </c>
      <c r="Y101" s="4"/>
      <c r="Z101" s="12">
        <f>IF(T101=0,0,X101/T101)</f>
        <v>0.2966545958453714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6" t="s">
        <v>4</v>
      </c>
      <c r="C103" s="26"/>
      <c r="D103" s="31">
        <f>+D99-D101</f>
        <v>10614.349999999991</v>
      </c>
      <c r="E103" s="13"/>
      <c r="F103" s="36">
        <f>IF(D$12=0,0,D103/D$12)</f>
        <v>0.1992952608195882</v>
      </c>
      <c r="G103" s="13"/>
      <c r="H103" s="31">
        <f>+H99-H101</f>
        <v>6628.5799999999863</v>
      </c>
      <c r="I103" s="13"/>
      <c r="J103" s="36">
        <f>IF(H$12=0,0,H103/H$12)</f>
        <v>0.13108206209558279</v>
      </c>
      <c r="K103" s="15"/>
      <c r="L103" s="31">
        <f>D103-H103</f>
        <v>3985.770000000005</v>
      </c>
      <c r="M103" s="15"/>
      <c r="N103" s="36">
        <f>IF(H103=0,0,L103/H103)</f>
        <v>0.60130073107664284</v>
      </c>
      <c r="O103" s="25"/>
      <c r="P103" s="31">
        <f>+P99-P101</f>
        <v>-112.70000000001437</v>
      </c>
      <c r="Q103" s="13"/>
      <c r="R103" s="36">
        <f>IF(P$12=0,0,P103/P$12)</f>
        <v>-2.0238705383713715E-3</v>
      </c>
      <c r="S103" s="13"/>
      <c r="T103" s="31">
        <f>+T99-T101</f>
        <v>-2821.0399999999772</v>
      </c>
      <c r="U103" s="13"/>
      <c r="V103" s="36">
        <f>IF(T$12=0,0,T103/T$12)</f>
        <v>-5.3789206121852777E-2</v>
      </c>
      <c r="W103" s="15"/>
      <c r="X103" s="31">
        <f>P103-T103</f>
        <v>2708.3399999999629</v>
      </c>
      <c r="Y103" s="15"/>
      <c r="Z103" s="36">
        <f>IF(T103=0,0,X103/T103)</f>
        <v>-0.9600501942545957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6" t="s">
        <v>5</v>
      </c>
      <c r="C106" s="26"/>
      <c r="D106" s="32">
        <f>SUM(D103:D105)</f>
        <v>10614.349999999991</v>
      </c>
      <c r="E106" s="13"/>
      <c r="F106" s="30">
        <f>IF(D$12=0,0,D106/D$12)</f>
        <v>0.1992952608195882</v>
      </c>
      <c r="G106" s="13"/>
      <c r="H106" s="32">
        <f>SUM(H103:H105)</f>
        <v>6628.5799999999863</v>
      </c>
      <c r="I106" s="13"/>
      <c r="J106" s="30">
        <f>IF(H$12=0,0,H106/H$12)</f>
        <v>0.13108206209558279</v>
      </c>
      <c r="K106" s="15"/>
      <c r="L106" s="32">
        <f>+D106-H106</f>
        <v>3985.770000000005</v>
      </c>
      <c r="M106" s="15"/>
      <c r="N106" s="30">
        <f>IF(H106=0,0,L106/H106)</f>
        <v>0.60130073107664284</v>
      </c>
      <c r="O106" s="25"/>
      <c r="P106" s="32">
        <f>SUM(P103:P105)</f>
        <v>-112.70000000001437</v>
      </c>
      <c r="Q106" s="13"/>
      <c r="R106" s="30">
        <f>IF(P$12=0,0,P106/P$12)</f>
        <v>-2.0238705383713715E-3</v>
      </c>
      <c r="S106" s="13"/>
      <c r="T106" s="32">
        <f>SUM(T103:T105)</f>
        <v>-2821.0399999999772</v>
      </c>
      <c r="U106" s="13"/>
      <c r="V106" s="30">
        <f>IF(T$12=0,0,T106/T$12)</f>
        <v>-5.3789206121852777E-2</v>
      </c>
      <c r="W106" s="15"/>
      <c r="X106" s="32">
        <f>+P106-T106</f>
        <v>2708.3399999999629</v>
      </c>
      <c r="Y106" s="15"/>
      <c r="Z106" s="30">
        <f>IF(T106=0,0,X106/T106)</f>
        <v>-0.9600501942545957</v>
      </c>
    </row>
    <row r="107" spans="1:26" ht="15.75" thickTop="1" x14ac:dyDescent="0.25">
      <c r="A107" s="9"/>
      <c r="C107" s="9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57">
        <v>43732.709656400461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60" t="s">
        <v>313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6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","314", " - ", "Supplies")</f>
        <v>Department 314 - Supplies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80072.809999999983</v>
      </c>
      <c r="E12" s="4"/>
      <c r="F12" s="12"/>
      <c r="G12" s="4"/>
      <c r="H12" s="4">
        <f>SUM(OSRRefH13x_0)</f>
        <v>78495.55</v>
      </c>
      <c r="I12" s="4"/>
      <c r="J12" s="12"/>
      <c r="K12" s="4"/>
      <c r="L12" s="4">
        <f t="shared" ref="L12:L33" si="0">+D12-H12</f>
        <v>1577.2599999999802</v>
      </c>
      <c r="M12" s="4"/>
      <c r="N12" s="12">
        <f t="shared" ref="N12:N33" si="1">IF(H12=0,0,L12/H12)</f>
        <v>2.0093623141693766E-2</v>
      </c>
      <c r="O12" s="10"/>
      <c r="P12" s="4">
        <f>SUM(OSRRefP13x_0)</f>
        <v>96415.629999999976</v>
      </c>
      <c r="Q12" s="4"/>
      <c r="R12" s="12"/>
      <c r="S12" s="4"/>
      <c r="T12" s="4">
        <f>SUM(OSRRefT13x_0)</f>
        <v>94626.419999999969</v>
      </c>
      <c r="U12" s="4"/>
      <c r="V12" s="12"/>
      <c r="W12" s="4"/>
      <c r="X12" s="4">
        <f t="shared" ref="X12:X33" si="2">+P12-T12</f>
        <v>1789.2100000000064</v>
      </c>
      <c r="Y12" s="4"/>
      <c r="Z12" s="12">
        <f t="shared" ref="Z12:Z33" si="3">IF(T12=0,0,X12/T12)</f>
        <v>1.8908144258231549E-2</v>
      </c>
    </row>
    <row r="13" spans="1:26" s="24" customFormat="1" hidden="1" outlineLevel="1" x14ac:dyDescent="0.25">
      <c r="A13" s="50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--152.83</f>
        <v>152.83000000000001</v>
      </c>
      <c r="E13" s="2"/>
      <c r="F13" s="21"/>
      <c r="G13" s="2"/>
      <c r="H13" s="2">
        <f>--335.74</f>
        <v>335.74</v>
      </c>
      <c r="I13" s="2"/>
      <c r="J13" s="21"/>
      <c r="K13" s="2"/>
      <c r="L13" s="2">
        <f t="shared" si="0"/>
        <v>-182.91</v>
      </c>
      <c r="M13" s="2"/>
      <c r="N13" s="21">
        <f t="shared" si="1"/>
        <v>-0.54479656877345561</v>
      </c>
      <c r="O13" s="11"/>
      <c r="P13" s="2">
        <f>--157.3</f>
        <v>157.30000000000001</v>
      </c>
      <c r="Q13" s="2"/>
      <c r="R13" s="21"/>
      <c r="S13" s="2"/>
      <c r="T13" s="2">
        <f>--600.35</f>
        <v>600.35</v>
      </c>
      <c r="U13" s="2"/>
      <c r="V13" s="21"/>
      <c r="W13" s="2"/>
      <c r="X13" s="2">
        <f t="shared" si="2"/>
        <v>-443.05</v>
      </c>
      <c r="Y13" s="2"/>
      <c r="Z13" s="21">
        <f t="shared" si="3"/>
        <v>-0.73798617473140671</v>
      </c>
    </row>
    <row r="14" spans="1:26" s="24" customFormat="1" hidden="1" outlineLevel="1" x14ac:dyDescent="0.25">
      <c r="A14" s="50"/>
      <c r="B14" s="11" t="str">
        <f>CONCATENATE("          ", "4019", " - ", "TAXABLE SALES-BOOK RELATED")</f>
        <v xml:space="preserve">          4019 - TAXABLE SALES-BOOK RELATED</v>
      </c>
      <c r="C14" s="11"/>
      <c r="D14" s="2">
        <f>--14.95</f>
        <v>14.95</v>
      </c>
      <c r="E14" s="2"/>
      <c r="F14" s="21"/>
      <c r="G14" s="2"/>
      <c r="H14" s="2">
        <f>0</f>
        <v>0</v>
      </c>
      <c r="I14" s="2"/>
      <c r="J14" s="21"/>
      <c r="K14" s="2"/>
      <c r="L14" s="2">
        <f t="shared" si="0"/>
        <v>14.95</v>
      </c>
      <c r="M14" s="2"/>
      <c r="N14" s="21">
        <f t="shared" si="1"/>
        <v>0</v>
      </c>
      <c r="O14" s="11"/>
      <c r="P14" s="2">
        <f>--14.95</f>
        <v>14.95</v>
      </c>
      <c r="Q14" s="2"/>
      <c r="R14" s="21"/>
      <c r="S14" s="2"/>
      <c r="T14" s="2">
        <f>0</f>
        <v>0</v>
      </c>
      <c r="U14" s="2"/>
      <c r="V14" s="21"/>
      <c r="W14" s="2"/>
      <c r="X14" s="2">
        <f t="shared" si="2"/>
        <v>14.95</v>
      </c>
      <c r="Y14" s="2"/>
      <c r="Z14" s="21">
        <f t="shared" si="3"/>
        <v>0</v>
      </c>
    </row>
    <row r="15" spans="1:26" s="24" customFormat="1" hidden="1" outlineLevel="1" x14ac:dyDescent="0.25">
      <c r="A15" s="50"/>
      <c r="B15" s="11" t="str">
        <f>CONCATENATE("          ", "4025", " - ", "TAXABLE SALES-TEST FORMS")</f>
        <v xml:space="preserve">          4025 - TAXABLE SALES-TEST FORMS</v>
      </c>
      <c r="C15" s="11"/>
      <c r="D15" s="2">
        <f>--3964.99</f>
        <v>3964.99</v>
      </c>
      <c r="E15" s="2"/>
      <c r="F15" s="21"/>
      <c r="G15" s="2"/>
      <c r="H15" s="2">
        <f>--4225.52</f>
        <v>4225.5200000000004</v>
      </c>
      <c r="I15" s="2"/>
      <c r="J15" s="21"/>
      <c r="K15" s="2"/>
      <c r="L15" s="2">
        <f t="shared" si="0"/>
        <v>-260.53000000000065</v>
      </c>
      <c r="M15" s="2"/>
      <c r="N15" s="21">
        <f t="shared" si="1"/>
        <v>-6.165631685567708E-2</v>
      </c>
      <c r="O15" s="11"/>
      <c r="P15" s="2">
        <f>--4355.81</f>
        <v>4355.8100000000004</v>
      </c>
      <c r="Q15" s="2"/>
      <c r="R15" s="21"/>
      <c r="S15" s="2"/>
      <c r="T15" s="2">
        <f>--4843.6</f>
        <v>4843.6000000000004</v>
      </c>
      <c r="U15" s="2"/>
      <c r="V15" s="21"/>
      <c r="W15" s="2"/>
      <c r="X15" s="2">
        <f t="shared" si="2"/>
        <v>-487.78999999999996</v>
      </c>
      <c r="Y15" s="2"/>
      <c r="Z15" s="21">
        <f t="shared" si="3"/>
        <v>-0.10070815096209429</v>
      </c>
    </row>
    <row r="16" spans="1:26" s="24" customFormat="1" hidden="1" outlineLevel="1" x14ac:dyDescent="0.25">
      <c r="A16" s="50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--10164.41</f>
        <v>10164.41</v>
      </c>
      <c r="E16" s="2"/>
      <c r="F16" s="21"/>
      <c r="G16" s="2"/>
      <c r="H16" s="2">
        <f>--9780.55</f>
        <v>9780.5499999999993</v>
      </c>
      <c r="I16" s="2"/>
      <c r="J16" s="21"/>
      <c r="K16" s="2"/>
      <c r="L16" s="2">
        <f t="shared" si="0"/>
        <v>383.86000000000058</v>
      </c>
      <c r="M16" s="2"/>
      <c r="N16" s="21">
        <f t="shared" si="1"/>
        <v>3.9247281594593411E-2</v>
      </c>
      <c r="O16" s="11"/>
      <c r="P16" s="2">
        <f>--12038.56</f>
        <v>12038.56</v>
      </c>
      <c r="Q16" s="2"/>
      <c r="R16" s="21"/>
      <c r="S16" s="2"/>
      <c r="T16" s="2">
        <f>--11772.26</f>
        <v>11772.26</v>
      </c>
      <c r="U16" s="2"/>
      <c r="V16" s="21"/>
      <c r="W16" s="2"/>
      <c r="X16" s="2">
        <f t="shared" si="2"/>
        <v>266.29999999999927</v>
      </c>
      <c r="Y16" s="2"/>
      <c r="Z16" s="21">
        <f t="shared" si="3"/>
        <v>2.2620975071906267E-2</v>
      </c>
    </row>
    <row r="17" spans="1:26" s="24" customFormat="1" hidden="1" outlineLevel="1" x14ac:dyDescent="0.25">
      <c r="A17" s="50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--62645.85</f>
        <v>62645.85</v>
      </c>
      <c r="E17" s="2"/>
      <c r="F17" s="21"/>
      <c r="G17" s="2"/>
      <c r="H17" s="2">
        <f>--59917.47</f>
        <v>59917.47</v>
      </c>
      <c r="I17" s="2"/>
      <c r="J17" s="21"/>
      <c r="K17" s="2"/>
      <c r="L17" s="2">
        <f t="shared" si="0"/>
        <v>2728.3799999999974</v>
      </c>
      <c r="M17" s="2"/>
      <c r="N17" s="21">
        <f t="shared" si="1"/>
        <v>4.5535634264931367E-2</v>
      </c>
      <c r="O17" s="11"/>
      <c r="P17" s="2">
        <f>--75723.74</f>
        <v>75723.740000000005</v>
      </c>
      <c r="Q17" s="2"/>
      <c r="R17" s="21"/>
      <c r="S17" s="2"/>
      <c r="T17" s="2">
        <f>--71779.66</f>
        <v>71779.66</v>
      </c>
      <c r="U17" s="2"/>
      <c r="V17" s="21"/>
      <c r="W17" s="2"/>
      <c r="X17" s="2">
        <f t="shared" si="2"/>
        <v>3944.0800000000017</v>
      </c>
      <c r="Y17" s="2"/>
      <c r="Z17" s="21">
        <f t="shared" si="3"/>
        <v>5.4947042100784563E-2</v>
      </c>
    </row>
    <row r="18" spans="1:26" s="24" customFormat="1" hidden="1" outlineLevel="1" x14ac:dyDescent="0.25">
      <c r="A18" s="50"/>
      <c r="B18" s="11" t="str">
        <f>CONCATENATE("          ", "4028", " - ", "TAXABLE SALES-ART/TECH")</f>
        <v xml:space="preserve">          4028 - TAXABLE SALES-ART/TECH</v>
      </c>
      <c r="C18" s="11"/>
      <c r="D18" s="2">
        <f>--1736.67</f>
        <v>1736.67</v>
      </c>
      <c r="E18" s="2"/>
      <c r="F18" s="21"/>
      <c r="G18" s="2"/>
      <c r="H18" s="2">
        <f>--1642.4</f>
        <v>1642.4</v>
      </c>
      <c r="I18" s="2"/>
      <c r="J18" s="21"/>
      <c r="K18" s="2"/>
      <c r="L18" s="2">
        <f t="shared" si="0"/>
        <v>94.269999999999982</v>
      </c>
      <c r="M18" s="2"/>
      <c r="N18" s="21">
        <f t="shared" si="1"/>
        <v>5.739771066731611E-2</v>
      </c>
      <c r="O18" s="11"/>
      <c r="P18" s="2">
        <f>--2164.46</f>
        <v>2164.46</v>
      </c>
      <c r="Q18" s="2"/>
      <c r="R18" s="21"/>
      <c r="S18" s="2"/>
      <c r="T18" s="2">
        <f>--2271.23</f>
        <v>2271.23</v>
      </c>
      <c r="U18" s="2"/>
      <c r="V18" s="21"/>
      <c r="W18" s="2"/>
      <c r="X18" s="2">
        <f t="shared" si="2"/>
        <v>-106.76999999999998</v>
      </c>
      <c r="Y18" s="2"/>
      <c r="Z18" s="21">
        <f t="shared" si="3"/>
        <v>-4.7009770036500038E-2</v>
      </c>
    </row>
    <row r="19" spans="1:26" s="24" customFormat="1" hidden="1" outlineLevel="1" x14ac:dyDescent="0.25">
      <c r="A19" s="50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>--3.95</f>
        <v>3.95</v>
      </c>
      <c r="E19" s="2"/>
      <c r="F19" s="21"/>
      <c r="G19" s="2"/>
      <c r="H19" s="2">
        <f>--37.45</f>
        <v>37.450000000000003</v>
      </c>
      <c r="I19" s="2"/>
      <c r="J19" s="21"/>
      <c r="K19" s="2"/>
      <c r="L19" s="2">
        <f t="shared" si="0"/>
        <v>-33.5</v>
      </c>
      <c r="M19" s="2"/>
      <c r="N19" s="21">
        <f t="shared" si="1"/>
        <v>-0.89452603471295056</v>
      </c>
      <c r="O19" s="11"/>
      <c r="P19" s="2">
        <f>--6.93</f>
        <v>6.93</v>
      </c>
      <c r="Q19" s="2"/>
      <c r="R19" s="21"/>
      <c r="S19" s="2"/>
      <c r="T19" s="2">
        <f>--81.95</f>
        <v>81.95</v>
      </c>
      <c r="U19" s="2"/>
      <c r="V19" s="21"/>
      <c r="W19" s="2"/>
      <c r="X19" s="2">
        <f t="shared" si="2"/>
        <v>-75.02000000000001</v>
      </c>
      <c r="Y19" s="2"/>
      <c r="Z19" s="21">
        <f t="shared" si="3"/>
        <v>-0.91543624161073833</v>
      </c>
    </row>
    <row r="20" spans="1:26" s="24" customFormat="1" hidden="1" outlineLevel="1" x14ac:dyDescent="0.25">
      <c r="A20" s="50"/>
      <c r="B20" s="11" t="str">
        <f>CONCATENATE("          ", "4125", " - ", "NON-TAXABLE SALES-TEST FORMS")</f>
        <v xml:space="preserve">          4125 - NON-TAXABLE SALES-TEST FORMS</v>
      </c>
      <c r="C20" s="11"/>
      <c r="D20" s="2">
        <f>--77.17</f>
        <v>77.17</v>
      </c>
      <c r="E20" s="2"/>
      <c r="F20" s="21"/>
      <c r="G20" s="2"/>
      <c r="H20" s="2">
        <f>--102.67</f>
        <v>102.67</v>
      </c>
      <c r="I20" s="2"/>
      <c r="J20" s="21"/>
      <c r="K20" s="2"/>
      <c r="L20" s="2">
        <f t="shared" si="0"/>
        <v>-25.5</v>
      </c>
      <c r="M20" s="2"/>
      <c r="N20" s="21">
        <f t="shared" si="1"/>
        <v>-0.24836855946235512</v>
      </c>
      <c r="O20" s="11"/>
      <c r="P20" s="2">
        <f>--82.15</f>
        <v>82.15</v>
      </c>
      <c r="Q20" s="2"/>
      <c r="R20" s="21"/>
      <c r="S20" s="2"/>
      <c r="T20" s="2">
        <f>--108.79</f>
        <v>108.79</v>
      </c>
      <c r="U20" s="2"/>
      <c r="V20" s="21"/>
      <c r="W20" s="2"/>
      <c r="X20" s="2">
        <f t="shared" si="2"/>
        <v>-26.64</v>
      </c>
      <c r="Y20" s="2"/>
      <c r="Z20" s="21">
        <f t="shared" si="3"/>
        <v>-0.24487544811103962</v>
      </c>
    </row>
    <row r="21" spans="1:26" s="24" customFormat="1" hidden="1" outlineLevel="1" x14ac:dyDescent="0.25">
      <c r="A21" s="50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>--844.09</f>
        <v>844.09</v>
      </c>
      <c r="E21" s="2"/>
      <c r="F21" s="21"/>
      <c r="G21" s="2"/>
      <c r="H21" s="2">
        <f>--916.07</f>
        <v>916.07</v>
      </c>
      <c r="I21" s="2"/>
      <c r="J21" s="21"/>
      <c r="K21" s="2"/>
      <c r="L21" s="2">
        <f t="shared" si="0"/>
        <v>-71.980000000000018</v>
      </c>
      <c r="M21" s="2"/>
      <c r="N21" s="21">
        <f t="shared" si="1"/>
        <v>-7.8574781403167898E-2</v>
      </c>
      <c r="O21" s="11"/>
      <c r="P21" s="2">
        <f>--1011.12</f>
        <v>1011.12</v>
      </c>
      <c r="Q21" s="2"/>
      <c r="R21" s="21"/>
      <c r="S21" s="2"/>
      <c r="T21" s="2">
        <f>--1180.97</f>
        <v>1180.97</v>
      </c>
      <c r="U21" s="2"/>
      <c r="V21" s="21"/>
      <c r="W21" s="2"/>
      <c r="X21" s="2">
        <f t="shared" si="2"/>
        <v>-169.85000000000002</v>
      </c>
      <c r="Y21" s="2"/>
      <c r="Z21" s="21">
        <f t="shared" si="3"/>
        <v>-0.14382245103601279</v>
      </c>
    </row>
    <row r="22" spans="1:26" s="24" customFormat="1" hidden="1" outlineLevel="1" x14ac:dyDescent="0.25">
      <c r="A22" s="50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>--1692.39</f>
        <v>1692.39</v>
      </c>
      <c r="E22" s="2"/>
      <c r="F22" s="21"/>
      <c r="G22" s="2"/>
      <c r="H22" s="2">
        <f>--1761.6</f>
        <v>1761.6</v>
      </c>
      <c r="I22" s="2"/>
      <c r="J22" s="21"/>
      <c r="K22" s="2"/>
      <c r="L22" s="2">
        <f t="shared" si="0"/>
        <v>-69.209999999999809</v>
      </c>
      <c r="M22" s="2"/>
      <c r="N22" s="21">
        <f t="shared" si="1"/>
        <v>-3.9288147138964474E-2</v>
      </c>
      <c r="O22" s="11"/>
      <c r="P22" s="2">
        <f>--1870.28</f>
        <v>1870.28</v>
      </c>
      <c r="Q22" s="2"/>
      <c r="R22" s="21"/>
      <c r="S22" s="2"/>
      <c r="T22" s="2">
        <f>--1896.76</f>
        <v>1896.76</v>
      </c>
      <c r="U22" s="2"/>
      <c r="V22" s="21"/>
      <c r="W22" s="2"/>
      <c r="X22" s="2">
        <f t="shared" si="2"/>
        <v>-26.480000000000018</v>
      </c>
      <c r="Y22" s="2"/>
      <c r="Z22" s="21">
        <f t="shared" si="3"/>
        <v>-1.3960648685126226E-2</v>
      </c>
    </row>
    <row r="23" spans="1:26" s="24" customFormat="1" hidden="1" outlineLevel="1" x14ac:dyDescent="0.25">
      <c r="A23" s="50"/>
      <c r="B23" s="11" t="str">
        <f>CONCATENATE("          ", "4128", " - ", "NON-TAXABLE SALES-ART/TECH")</f>
        <v xml:space="preserve">          4128 - NON-TAXABLE SALES-ART/TECH</v>
      </c>
      <c r="C23" s="11"/>
      <c r="D23" s="2">
        <f>--128.61</f>
        <v>128.61000000000001</v>
      </c>
      <c r="E23" s="2"/>
      <c r="F23" s="21"/>
      <c r="G23" s="2"/>
      <c r="H23" s="2">
        <f>--165.76</f>
        <v>165.76</v>
      </c>
      <c r="I23" s="2"/>
      <c r="J23" s="21"/>
      <c r="K23" s="2"/>
      <c r="L23" s="2">
        <f t="shared" si="0"/>
        <v>-37.149999999999977</v>
      </c>
      <c r="M23" s="2"/>
      <c r="N23" s="21">
        <f t="shared" si="1"/>
        <v>-0.22411920849420838</v>
      </c>
      <c r="O23" s="11"/>
      <c r="P23" s="2">
        <f>--130.1</f>
        <v>130.1</v>
      </c>
      <c r="Q23" s="2"/>
      <c r="R23" s="21"/>
      <c r="S23" s="2"/>
      <c r="T23" s="2">
        <f>--196.45</f>
        <v>196.45</v>
      </c>
      <c r="U23" s="2"/>
      <c r="V23" s="21"/>
      <c r="W23" s="2"/>
      <c r="X23" s="2">
        <f t="shared" si="2"/>
        <v>-66.349999999999994</v>
      </c>
      <c r="Y23" s="2"/>
      <c r="Z23" s="21">
        <f t="shared" si="3"/>
        <v>-0.33774497327564262</v>
      </c>
    </row>
    <row r="24" spans="1:26" s="24" customFormat="1" hidden="1" outlineLevel="1" x14ac:dyDescent="0.25">
      <c r="A24" s="50"/>
      <c r="B24" s="11" t="str">
        <f>CONCATENATE("          ", "4131", " - ", "NON-TAXABLE SALES-FOOD")</f>
        <v xml:space="preserve">          4131 - NON-TAXABLE SALES-FOOD</v>
      </c>
      <c r="C24" s="11"/>
      <c r="D24" s="2">
        <f>--136.51</f>
        <v>136.51</v>
      </c>
      <c r="E24" s="2"/>
      <c r="F24" s="21"/>
      <c r="G24" s="2"/>
      <c r="H24" s="2">
        <f>--247.21</f>
        <v>247.21</v>
      </c>
      <c r="I24" s="2"/>
      <c r="J24" s="21"/>
      <c r="K24" s="2"/>
      <c r="L24" s="2">
        <f t="shared" si="0"/>
        <v>-110.70000000000002</v>
      </c>
      <c r="M24" s="2"/>
      <c r="N24" s="21">
        <f t="shared" si="1"/>
        <v>-0.44779741919825256</v>
      </c>
      <c r="O24" s="11"/>
      <c r="P24" s="2">
        <f>--263.93</f>
        <v>263.93</v>
      </c>
      <c r="Q24" s="2"/>
      <c r="R24" s="21"/>
      <c r="S24" s="2"/>
      <c r="T24" s="2">
        <f>--371.95</f>
        <v>371.95</v>
      </c>
      <c r="U24" s="2"/>
      <c r="V24" s="21"/>
      <c r="W24" s="2"/>
      <c r="X24" s="2">
        <f t="shared" si="2"/>
        <v>-108.01999999999998</v>
      </c>
      <c r="Y24" s="2"/>
      <c r="Z24" s="21">
        <f t="shared" si="3"/>
        <v>-0.29041537841107673</v>
      </c>
    </row>
    <row r="25" spans="1:26" s="24" customFormat="1" hidden="1" outlineLevel="1" x14ac:dyDescent="0.25">
      <c r="A25" s="50"/>
      <c r="B25" s="11" t="str">
        <f>CONCATENATE("          ", "4133", " - ", "NON-TAXABLE SALES-CANDY")</f>
        <v xml:space="preserve">          4133 - NON-TAXABLE SALES-CANDY</v>
      </c>
      <c r="C25" s="11"/>
      <c r="D25" s="2">
        <f>--184.35</f>
        <v>184.35</v>
      </c>
      <c r="E25" s="2"/>
      <c r="F25" s="21"/>
      <c r="G25" s="2"/>
      <c r="H25" s="2">
        <f>--254.54</f>
        <v>254.54</v>
      </c>
      <c r="I25" s="2"/>
      <c r="J25" s="21"/>
      <c r="K25" s="2"/>
      <c r="L25" s="2">
        <f t="shared" si="0"/>
        <v>-70.19</v>
      </c>
      <c r="M25" s="2"/>
      <c r="N25" s="21">
        <f t="shared" si="1"/>
        <v>-0.27575233755009038</v>
      </c>
      <c r="O25" s="11"/>
      <c r="P25" s="2">
        <f>--473.2</f>
        <v>473.2</v>
      </c>
      <c r="Q25" s="2"/>
      <c r="R25" s="21"/>
      <c r="S25" s="2"/>
      <c r="T25" s="2">
        <f>--548.91</f>
        <v>548.91</v>
      </c>
      <c r="U25" s="2"/>
      <c r="V25" s="21"/>
      <c r="W25" s="2"/>
      <c r="X25" s="2">
        <f t="shared" si="2"/>
        <v>-75.70999999999998</v>
      </c>
      <c r="Y25" s="2"/>
      <c r="Z25" s="21">
        <f t="shared" si="3"/>
        <v>-0.13792789346158749</v>
      </c>
    </row>
    <row r="26" spans="1:26" s="24" customFormat="1" hidden="1" outlineLevel="1" x14ac:dyDescent="0.25">
      <c r="A26" s="50"/>
      <c r="B26" s="11" t="str">
        <f>CONCATENATE("          ", "4135", " - ", "NON-TAXABLE SALES")</f>
        <v xml:space="preserve">          4135 - NON-TAXABLE SALES</v>
      </c>
      <c r="C26" s="11"/>
      <c r="D26" s="2">
        <f>--25.03</f>
        <v>25.03</v>
      </c>
      <c r="E26" s="2"/>
      <c r="F26" s="21"/>
      <c r="G26" s="2"/>
      <c r="H26" s="2">
        <f>--5.82</f>
        <v>5.82</v>
      </c>
      <c r="I26" s="2"/>
      <c r="J26" s="21"/>
      <c r="K26" s="2"/>
      <c r="L26" s="2">
        <f t="shared" si="0"/>
        <v>19.21</v>
      </c>
      <c r="M26" s="2"/>
      <c r="N26" s="21">
        <f t="shared" si="1"/>
        <v>3.3006872852233675</v>
      </c>
      <c r="O26" s="11"/>
      <c r="P26" s="2">
        <f>--46.57</f>
        <v>46.57</v>
      </c>
      <c r="Q26" s="2"/>
      <c r="R26" s="21"/>
      <c r="S26" s="2"/>
      <c r="T26" s="2">
        <f>--13</f>
        <v>13</v>
      </c>
      <c r="U26" s="2"/>
      <c r="V26" s="21"/>
      <c r="W26" s="2"/>
      <c r="X26" s="2">
        <f t="shared" si="2"/>
        <v>33.57</v>
      </c>
      <c r="Y26" s="2"/>
      <c r="Z26" s="21">
        <f t="shared" si="3"/>
        <v>2.5823076923076922</v>
      </c>
    </row>
    <row r="27" spans="1:26" s="24" customFormat="1" hidden="1" outlineLevel="1" x14ac:dyDescent="0.25">
      <c r="A27" s="50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>0</f>
        <v>0</v>
      </c>
      <c r="E27" s="2"/>
      <c r="F27" s="21"/>
      <c r="G27" s="2"/>
      <c r="H27" s="2">
        <f>-1.5</f>
        <v>-1.5</v>
      </c>
      <c r="I27" s="2"/>
      <c r="J27" s="21"/>
      <c r="K27" s="2"/>
      <c r="L27" s="2">
        <f t="shared" si="0"/>
        <v>1.5</v>
      </c>
      <c r="M27" s="2"/>
      <c r="N27" s="21">
        <f t="shared" si="1"/>
        <v>-1</v>
      </c>
      <c r="O27" s="11"/>
      <c r="P27" s="2">
        <f>0</f>
        <v>0</v>
      </c>
      <c r="Q27" s="2"/>
      <c r="R27" s="21"/>
      <c r="S27" s="2"/>
      <c r="T27" s="2">
        <f>-1.5</f>
        <v>-1.5</v>
      </c>
      <c r="U27" s="2"/>
      <c r="V27" s="21"/>
      <c r="W27" s="2"/>
      <c r="X27" s="2">
        <f t="shared" si="2"/>
        <v>1.5</v>
      </c>
      <c r="Y27" s="2"/>
      <c r="Z27" s="21">
        <f t="shared" si="3"/>
        <v>-1</v>
      </c>
    </row>
    <row r="28" spans="1:26" s="24" customFormat="1" hidden="1" outlineLevel="1" x14ac:dyDescent="0.25">
      <c r="A28" s="50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>-8.61</f>
        <v>-8.61</v>
      </c>
      <c r="E28" s="2"/>
      <c r="F28" s="21"/>
      <c r="G28" s="2"/>
      <c r="H28" s="2">
        <f>-7.02</f>
        <v>-7.02</v>
      </c>
      <c r="I28" s="2"/>
      <c r="J28" s="21"/>
      <c r="K28" s="2"/>
      <c r="L28" s="2">
        <f t="shared" si="0"/>
        <v>-1.5899999999999999</v>
      </c>
      <c r="M28" s="2"/>
      <c r="N28" s="21">
        <f t="shared" si="1"/>
        <v>0.2264957264957265</v>
      </c>
      <c r="O28" s="11"/>
      <c r="P28" s="2">
        <f>-12.69</f>
        <v>-12.69</v>
      </c>
      <c r="Q28" s="2"/>
      <c r="R28" s="21"/>
      <c r="S28" s="2"/>
      <c r="T28" s="2">
        <f>-13.8</f>
        <v>-13.8</v>
      </c>
      <c r="U28" s="2"/>
      <c r="V28" s="21"/>
      <c r="W28" s="2"/>
      <c r="X28" s="2">
        <f t="shared" si="2"/>
        <v>1.1100000000000012</v>
      </c>
      <c r="Y28" s="2"/>
      <c r="Z28" s="21">
        <f t="shared" si="3"/>
        <v>-8.0434782608695729E-2</v>
      </c>
    </row>
    <row r="29" spans="1:26" s="24" customFormat="1" hidden="1" outlineLevel="1" x14ac:dyDescent="0.25">
      <c r="A29" s="50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-60.28</f>
        <v>-60.28</v>
      </c>
      <c r="E29" s="2"/>
      <c r="F29" s="21"/>
      <c r="G29" s="2"/>
      <c r="H29" s="2">
        <f>-58.07</f>
        <v>-58.07</v>
      </c>
      <c r="I29" s="2"/>
      <c r="J29" s="21"/>
      <c r="K29" s="2"/>
      <c r="L29" s="2">
        <f t="shared" si="0"/>
        <v>-2.2100000000000009</v>
      </c>
      <c r="M29" s="2"/>
      <c r="N29" s="21">
        <f t="shared" si="1"/>
        <v>3.8057516790080952E-2</v>
      </c>
      <c r="O29" s="11"/>
      <c r="P29" s="2">
        <f>-124.21</f>
        <v>-124.21</v>
      </c>
      <c r="Q29" s="2"/>
      <c r="R29" s="21"/>
      <c r="S29" s="2"/>
      <c r="T29" s="2">
        <f>-69.24</f>
        <v>-69.239999999999995</v>
      </c>
      <c r="U29" s="2"/>
      <c r="V29" s="21"/>
      <c r="W29" s="2"/>
      <c r="X29" s="2">
        <f t="shared" si="2"/>
        <v>-54.97</v>
      </c>
      <c r="Y29" s="2"/>
      <c r="Z29" s="21">
        <f t="shared" si="3"/>
        <v>0.79390525707683424</v>
      </c>
    </row>
    <row r="30" spans="1:26" s="24" customFormat="1" hidden="1" outlineLevel="1" x14ac:dyDescent="0.25">
      <c r="A30" s="50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-1529.66</f>
        <v>-1529.66</v>
      </c>
      <c r="E30" s="2"/>
      <c r="F30" s="21"/>
      <c r="G30" s="2"/>
      <c r="H30" s="2">
        <f>-827.37</f>
        <v>-827.37</v>
      </c>
      <c r="I30" s="2"/>
      <c r="J30" s="21"/>
      <c r="K30" s="2"/>
      <c r="L30" s="2">
        <f t="shared" si="0"/>
        <v>-702.29000000000008</v>
      </c>
      <c r="M30" s="2"/>
      <c r="N30" s="21">
        <f t="shared" si="1"/>
        <v>0.84882217145896044</v>
      </c>
      <c r="O30" s="11"/>
      <c r="P30" s="2">
        <f>-1686.13</f>
        <v>-1686.13</v>
      </c>
      <c r="Q30" s="2"/>
      <c r="R30" s="21"/>
      <c r="S30" s="2"/>
      <c r="T30" s="2">
        <f>-949.34</f>
        <v>-949.34</v>
      </c>
      <c r="U30" s="2"/>
      <c r="V30" s="21"/>
      <c r="W30" s="2"/>
      <c r="X30" s="2">
        <f t="shared" si="2"/>
        <v>-736.79000000000008</v>
      </c>
      <c r="Y30" s="2"/>
      <c r="Z30" s="21">
        <f t="shared" si="3"/>
        <v>0.77610761160385111</v>
      </c>
    </row>
    <row r="31" spans="1:26" s="24" customFormat="1" hidden="1" outlineLevel="1" x14ac:dyDescent="0.25">
      <c r="A31" s="50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>-86.86</f>
        <v>-86.86</v>
      </c>
      <c r="E31" s="2"/>
      <c r="F31" s="21"/>
      <c r="G31" s="2"/>
      <c r="H31" s="2">
        <f>0</f>
        <v>0</v>
      </c>
      <c r="I31" s="2"/>
      <c r="J31" s="21"/>
      <c r="K31" s="2"/>
      <c r="L31" s="2">
        <f t="shared" si="0"/>
        <v>-86.86</v>
      </c>
      <c r="M31" s="2"/>
      <c r="N31" s="21">
        <f t="shared" si="1"/>
        <v>0</v>
      </c>
      <c r="O31" s="11"/>
      <c r="P31" s="2">
        <f>-86.86</f>
        <v>-86.86</v>
      </c>
      <c r="Q31" s="2"/>
      <c r="R31" s="21"/>
      <c r="S31" s="2"/>
      <c r="T31" s="2">
        <f>0</f>
        <v>0</v>
      </c>
      <c r="U31" s="2"/>
      <c r="V31" s="21"/>
      <c r="W31" s="2"/>
      <c r="X31" s="2">
        <f t="shared" si="2"/>
        <v>-86.86</v>
      </c>
      <c r="Y31" s="2"/>
      <c r="Z31" s="21">
        <f t="shared" si="3"/>
        <v>0</v>
      </c>
    </row>
    <row r="32" spans="1:26" s="24" customFormat="1" hidden="1" outlineLevel="1" x14ac:dyDescent="0.25">
      <c r="A32" s="50"/>
      <c r="B32" s="11" t="str">
        <f>CONCATENATE("          ", "4326", " - ", "SALES RETURN NON TAXABLE-WRITI")</f>
        <v xml:space="preserve">          4326 - SALES RETURN NON TAXABLE-WRITI</v>
      </c>
      <c r="C32" s="11"/>
      <c r="D32" s="2">
        <f>0</f>
        <v>0</v>
      </c>
      <c r="E32" s="2"/>
      <c r="F32" s="21"/>
      <c r="G32" s="2"/>
      <c r="H32" s="2">
        <f>-3.29</f>
        <v>-3.29</v>
      </c>
      <c r="I32" s="2"/>
      <c r="J32" s="21"/>
      <c r="K32" s="2"/>
      <c r="L32" s="2">
        <f t="shared" si="0"/>
        <v>3.29</v>
      </c>
      <c r="M32" s="2"/>
      <c r="N32" s="21">
        <f t="shared" si="1"/>
        <v>-1</v>
      </c>
      <c r="O32" s="11"/>
      <c r="P32" s="2">
        <f>0</f>
        <v>0</v>
      </c>
      <c r="Q32" s="2"/>
      <c r="R32" s="21"/>
      <c r="S32" s="2"/>
      <c r="T32" s="2">
        <f>-5.58</f>
        <v>-5.58</v>
      </c>
      <c r="U32" s="2"/>
      <c r="V32" s="21"/>
      <c r="W32" s="2"/>
      <c r="X32" s="2">
        <f t="shared" si="2"/>
        <v>5.58</v>
      </c>
      <c r="Y32" s="2"/>
      <c r="Z32" s="21">
        <f t="shared" si="3"/>
        <v>-1</v>
      </c>
    </row>
    <row r="33" spans="1:26" s="24" customFormat="1" hidden="1" outlineLevel="1" x14ac:dyDescent="0.25">
      <c r="A33" s="50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>-13.58</f>
        <v>-13.58</v>
      </c>
      <c r="E33" s="2"/>
      <c r="F33" s="21"/>
      <c r="G33" s="2"/>
      <c r="H33" s="2">
        <f>0</f>
        <v>0</v>
      </c>
      <c r="I33" s="2"/>
      <c r="J33" s="21"/>
      <c r="K33" s="2"/>
      <c r="L33" s="2">
        <f t="shared" si="0"/>
        <v>-13.58</v>
      </c>
      <c r="M33" s="2"/>
      <c r="N33" s="21">
        <f t="shared" si="1"/>
        <v>0</v>
      </c>
      <c r="O33" s="11"/>
      <c r="P33" s="2">
        <f>-13.58</f>
        <v>-13.58</v>
      </c>
      <c r="Q33" s="2"/>
      <c r="R33" s="21"/>
      <c r="S33" s="2"/>
      <c r="T33" s="2">
        <f>0</f>
        <v>0</v>
      </c>
      <c r="U33" s="2"/>
      <c r="V33" s="21"/>
      <c r="W33" s="2"/>
      <c r="X33" s="2">
        <f t="shared" si="2"/>
        <v>-13.58</v>
      </c>
      <c r="Y33" s="2"/>
      <c r="Z33" s="21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5" t="s">
        <v>8</v>
      </c>
      <c r="C35" s="10"/>
      <c r="D35" s="4">
        <f>SUM(OSRRefD16x_0)</f>
        <v>34508.939999999995</v>
      </c>
      <c r="E35" s="4"/>
      <c r="F35" s="12">
        <f t="shared" ref="F35:F49" si="4">IF(D$12=0,0,D35/D$12)</f>
        <v>0.43096951387118804</v>
      </c>
      <c r="G35" s="4"/>
      <c r="H35" s="4">
        <f>SUM(OSRRefH16x_0)</f>
        <v>40052.65</v>
      </c>
      <c r="I35" s="4"/>
      <c r="J35" s="12">
        <f t="shared" ref="J35:J49" si="5">IF(H$12=0,0,H35/H$12)</f>
        <v>0.51025376597781658</v>
      </c>
      <c r="K35" s="4"/>
      <c r="L35" s="4">
        <f t="shared" ref="L35:L49" si="6">+D35-H35</f>
        <v>-5543.7100000000064</v>
      </c>
      <c r="M35" s="4"/>
      <c r="N35" s="12">
        <f t="shared" ref="N35:N49" si="7">IF(H35=0,0,L35/H35)</f>
        <v>-0.13841056709106653</v>
      </c>
      <c r="O35" s="10"/>
      <c r="P35" s="4">
        <f>SUM(OSRRefP16x_0)</f>
        <v>42657.640000000014</v>
      </c>
      <c r="Q35" s="4"/>
      <c r="R35" s="12">
        <f t="shared" ref="R35:R49" si="8">IF(P$12=0,0,P35/P$12)</f>
        <v>0.4424349039673342</v>
      </c>
      <c r="S35" s="4"/>
      <c r="T35" s="4">
        <f>SUM(OSRRefT16x_0)</f>
        <v>48177.430000000008</v>
      </c>
      <c r="U35" s="4"/>
      <c r="V35" s="12">
        <f t="shared" ref="V35:V49" si="9">IF(T$12=0,0,T35/T$12)</f>
        <v>0.50913296730448032</v>
      </c>
      <c r="W35" s="4"/>
      <c r="X35" s="4">
        <f t="shared" ref="X35:X49" si="10">+P35-T35</f>
        <v>-5519.7899999999936</v>
      </c>
      <c r="Y35" s="4"/>
      <c r="Z35" s="12">
        <f t="shared" ref="Z35:Z49" si="11">IF(T35=0,0,X35/T35)</f>
        <v>-0.11457211395460473</v>
      </c>
    </row>
    <row r="36" spans="1:26" s="24" customFormat="1" hidden="1" outlineLevel="1" x14ac:dyDescent="0.25">
      <c r="A36" s="50"/>
      <c r="B36" s="11" t="str">
        <f>CONCATENATE("          ", "5017", " - ", "PURCHASES @ COST-DORM/HOUSEWAR")</f>
        <v xml:space="preserve">          5017 - PURCHASES @ COST-DORM/HOUSEWAR</v>
      </c>
      <c r="C36" s="11"/>
      <c r="D36" s="2">
        <v>139.86000000000001</v>
      </c>
      <c r="E36" s="2"/>
      <c r="F36" s="21">
        <f t="shared" si="4"/>
        <v>1.7466603207755547E-3</v>
      </c>
      <c r="G36" s="2"/>
      <c r="H36" s="2">
        <v>959.6</v>
      </c>
      <c r="I36" s="2"/>
      <c r="J36" s="21">
        <f t="shared" si="5"/>
        <v>1.2224896825361438E-2</v>
      </c>
      <c r="K36" s="2"/>
      <c r="L36" s="2">
        <f t="shared" si="6"/>
        <v>-819.74</v>
      </c>
      <c r="M36" s="2"/>
      <c r="N36" s="21">
        <f t="shared" si="7"/>
        <v>-0.85425177157148813</v>
      </c>
      <c r="O36" s="11"/>
      <c r="P36" s="2">
        <v>139.86000000000001</v>
      </c>
      <c r="Q36" s="2"/>
      <c r="R36" s="21">
        <f t="shared" si="8"/>
        <v>1.4505946805512763E-3</v>
      </c>
      <c r="S36" s="2"/>
      <c r="T36" s="2">
        <v>959.6</v>
      </c>
      <c r="U36" s="2"/>
      <c r="V36" s="21">
        <f t="shared" si="9"/>
        <v>1.0140931042302988E-2</v>
      </c>
      <c r="W36" s="2"/>
      <c r="X36" s="2">
        <f t="shared" si="10"/>
        <v>-819.74</v>
      </c>
      <c r="Y36" s="2"/>
      <c r="Z36" s="21">
        <f t="shared" si="11"/>
        <v>-0.85425177157148813</v>
      </c>
    </row>
    <row r="37" spans="1:26" s="24" customFormat="1" hidden="1" outlineLevel="1" x14ac:dyDescent="0.25">
      <c r="A37" s="50"/>
      <c r="B37" s="11" t="str">
        <f>CONCATENATE("          ", "5025", " - ", "PURCHASES @ COST-TEST FORMS")</f>
        <v xml:space="preserve">          5025 - PURCHASES @ COST-TEST FORMS</v>
      </c>
      <c r="C37" s="11"/>
      <c r="D37" s="2">
        <v>878.02</v>
      </c>
      <c r="E37" s="2"/>
      <c r="F37" s="21">
        <f t="shared" si="4"/>
        <v>1.0965270233428803E-2</v>
      </c>
      <c r="G37" s="2"/>
      <c r="H37" s="2"/>
      <c r="I37" s="2"/>
      <c r="J37" s="21">
        <f t="shared" si="5"/>
        <v>0</v>
      </c>
      <c r="K37" s="2"/>
      <c r="L37" s="2">
        <f t="shared" si="6"/>
        <v>878.02</v>
      </c>
      <c r="M37" s="2"/>
      <c r="N37" s="21">
        <f t="shared" si="7"/>
        <v>0</v>
      </c>
      <c r="O37" s="11"/>
      <c r="P37" s="2">
        <v>1757.14</v>
      </c>
      <c r="Q37" s="2"/>
      <c r="R37" s="21">
        <f t="shared" si="8"/>
        <v>1.822463847407314E-2</v>
      </c>
      <c r="S37" s="2"/>
      <c r="T37" s="2">
        <v>1035</v>
      </c>
      <c r="U37" s="2"/>
      <c r="V37" s="21">
        <f t="shared" si="9"/>
        <v>1.0937748675264269E-2</v>
      </c>
      <c r="W37" s="2"/>
      <c r="X37" s="2">
        <f t="shared" si="10"/>
        <v>722.1400000000001</v>
      </c>
      <c r="Y37" s="2"/>
      <c r="Z37" s="21">
        <f t="shared" si="11"/>
        <v>0.69771980676328516</v>
      </c>
    </row>
    <row r="38" spans="1:26" s="24" customFormat="1" hidden="1" outlineLevel="1" x14ac:dyDescent="0.25">
      <c r="A38" s="50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2669.1</v>
      </c>
      <c r="E38" s="2"/>
      <c r="F38" s="21">
        <f t="shared" si="4"/>
        <v>3.3333412428013957E-2</v>
      </c>
      <c r="G38" s="2"/>
      <c r="H38" s="2">
        <v>-16825.990000000002</v>
      </c>
      <c r="I38" s="2"/>
      <c r="J38" s="21">
        <f t="shared" si="5"/>
        <v>-0.21435597304560577</v>
      </c>
      <c r="K38" s="2"/>
      <c r="L38" s="2">
        <f t="shared" si="6"/>
        <v>19495.09</v>
      </c>
      <c r="M38" s="2"/>
      <c r="N38" s="21">
        <f t="shared" si="7"/>
        <v>-1.1586295962377249</v>
      </c>
      <c r="O38" s="11"/>
      <c r="P38" s="2">
        <v>12199.33</v>
      </c>
      <c r="Q38" s="2"/>
      <c r="R38" s="21">
        <f t="shared" si="8"/>
        <v>0.12652855143922206</v>
      </c>
      <c r="S38" s="2"/>
      <c r="T38" s="2">
        <v>3820</v>
      </c>
      <c r="U38" s="2"/>
      <c r="V38" s="21">
        <f t="shared" si="9"/>
        <v>4.0369275303873922E-2</v>
      </c>
      <c r="W38" s="2"/>
      <c r="X38" s="2">
        <f t="shared" si="10"/>
        <v>8379.33</v>
      </c>
      <c r="Y38" s="2"/>
      <c r="Z38" s="21">
        <f t="shared" si="11"/>
        <v>2.1935418848167538</v>
      </c>
    </row>
    <row r="39" spans="1:26" s="24" customFormat="1" hidden="1" outlineLevel="1" x14ac:dyDescent="0.25">
      <c r="A39" s="50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-190.18</v>
      </c>
      <c r="E39" s="2"/>
      <c r="F39" s="21">
        <f t="shared" si="4"/>
        <v>-2.3750883726948017E-3</v>
      </c>
      <c r="G39" s="2"/>
      <c r="H39" s="2">
        <v>-11925.12</v>
      </c>
      <c r="I39" s="2"/>
      <c r="J39" s="21">
        <f t="shared" si="5"/>
        <v>-0.15192096876829325</v>
      </c>
      <c r="K39" s="2"/>
      <c r="L39" s="2">
        <f t="shared" si="6"/>
        <v>11734.94</v>
      </c>
      <c r="M39" s="2"/>
      <c r="N39" s="21">
        <f t="shared" si="7"/>
        <v>-0.98405215209574404</v>
      </c>
      <c r="O39" s="11"/>
      <c r="P39" s="2">
        <v>49066.48</v>
      </c>
      <c r="Q39" s="2"/>
      <c r="R39" s="21">
        <f t="shared" si="8"/>
        <v>0.50890586930770476</v>
      </c>
      <c r="S39" s="2"/>
      <c r="T39" s="2">
        <v>42200.630000000005</v>
      </c>
      <c r="U39" s="2"/>
      <c r="V39" s="21">
        <f t="shared" si="9"/>
        <v>0.4459709032635919</v>
      </c>
      <c r="W39" s="2"/>
      <c r="X39" s="2">
        <f t="shared" si="10"/>
        <v>6865.8499999999985</v>
      </c>
      <c r="Y39" s="2"/>
      <c r="Z39" s="21">
        <f t="shared" si="11"/>
        <v>0.16269543843302808</v>
      </c>
    </row>
    <row r="40" spans="1:26" s="24" customFormat="1" hidden="1" outlineLevel="1" x14ac:dyDescent="0.25">
      <c r="A40" s="50"/>
      <c r="B40" s="11" t="str">
        <f>CONCATENATE("          ", "5028", " - ", "PURCHASES @ COST-ART/TECH")</f>
        <v xml:space="preserve">          5028 - PURCHASES @ COST-ART/TECH</v>
      </c>
      <c r="C40" s="11"/>
      <c r="D40" s="2">
        <v>471.64</v>
      </c>
      <c r="E40" s="2"/>
      <c r="F40" s="21">
        <f t="shared" si="4"/>
        <v>5.8901392370269015E-3</v>
      </c>
      <c r="G40" s="2"/>
      <c r="H40" s="2">
        <v>-603.35</v>
      </c>
      <c r="I40" s="2"/>
      <c r="J40" s="21">
        <f t="shared" si="5"/>
        <v>-7.686422988309528E-3</v>
      </c>
      <c r="K40" s="2"/>
      <c r="L40" s="2">
        <f t="shared" si="6"/>
        <v>1074.99</v>
      </c>
      <c r="M40" s="2"/>
      <c r="N40" s="21">
        <f t="shared" si="7"/>
        <v>-1.781702162923676</v>
      </c>
      <c r="O40" s="11"/>
      <c r="P40" s="2">
        <v>2616.1999999999998</v>
      </c>
      <c r="Q40" s="2"/>
      <c r="R40" s="21">
        <f t="shared" si="8"/>
        <v>2.7134604627901102E-2</v>
      </c>
      <c r="S40" s="2"/>
      <c r="T40" s="2">
        <v>1266.19</v>
      </c>
      <c r="U40" s="2"/>
      <c r="V40" s="21">
        <f t="shared" si="9"/>
        <v>1.3380935260997937E-2</v>
      </c>
      <c r="W40" s="2"/>
      <c r="X40" s="2">
        <f t="shared" si="10"/>
        <v>1350.0099999999998</v>
      </c>
      <c r="Y40" s="2"/>
      <c r="Z40" s="21">
        <f t="shared" si="11"/>
        <v>1.0661985957873619</v>
      </c>
    </row>
    <row r="41" spans="1:26" s="24" customFormat="1" hidden="1" outlineLevel="1" x14ac:dyDescent="0.25">
      <c r="A41" s="50"/>
      <c r="B41" s="11" t="str">
        <f>CONCATENATE("          ", "5031", " - ", "PURCHASES @ COST-FOOD")</f>
        <v xml:space="preserve">          5031 - PURCHASES @ COST-FOOD</v>
      </c>
      <c r="C41" s="11"/>
      <c r="D41" s="2">
        <v>149.11000000000001</v>
      </c>
      <c r="E41" s="2"/>
      <c r="F41" s="21">
        <f t="shared" si="4"/>
        <v>1.8621801832607104E-3</v>
      </c>
      <c r="G41" s="2"/>
      <c r="H41" s="2">
        <v>142.85</v>
      </c>
      <c r="I41" s="2"/>
      <c r="J41" s="21">
        <f t="shared" si="5"/>
        <v>1.8198483863097971E-3</v>
      </c>
      <c r="K41" s="2"/>
      <c r="L41" s="2">
        <f t="shared" si="6"/>
        <v>6.2600000000000193</v>
      </c>
      <c r="M41" s="2"/>
      <c r="N41" s="21">
        <f t="shared" si="7"/>
        <v>4.3822191109555618E-2</v>
      </c>
      <c r="O41" s="11"/>
      <c r="P41" s="2">
        <v>149.11000000000001</v>
      </c>
      <c r="Q41" s="2"/>
      <c r="R41" s="21">
        <f t="shared" si="8"/>
        <v>1.5465334821750379E-3</v>
      </c>
      <c r="S41" s="2"/>
      <c r="T41" s="2">
        <v>232.01</v>
      </c>
      <c r="U41" s="2"/>
      <c r="V41" s="21">
        <f t="shared" si="9"/>
        <v>2.4518522416889497E-3</v>
      </c>
      <c r="W41" s="2"/>
      <c r="X41" s="2">
        <f t="shared" si="10"/>
        <v>-82.899999999999977</v>
      </c>
      <c r="Y41" s="2"/>
      <c r="Z41" s="21">
        <f t="shared" si="11"/>
        <v>-0.35731218481961974</v>
      </c>
    </row>
    <row r="42" spans="1:26" s="24" customFormat="1" hidden="1" outlineLevel="1" x14ac:dyDescent="0.25">
      <c r="A42" s="50"/>
      <c r="B42" s="11" t="str">
        <f>CONCATENATE("          ", "5033", " - ", "PURCHASES @ COST-CANDY")</f>
        <v xml:space="preserve">          5033 - PURCHASES @ COST-CANDY</v>
      </c>
      <c r="C42" s="11"/>
      <c r="D42" s="2">
        <v>80.95</v>
      </c>
      <c r="E42" s="2"/>
      <c r="F42" s="21">
        <f t="shared" si="4"/>
        <v>1.0109549046673899E-3</v>
      </c>
      <c r="G42" s="2"/>
      <c r="H42" s="2">
        <v>90.86</v>
      </c>
      <c r="I42" s="2"/>
      <c r="J42" s="21">
        <f t="shared" si="5"/>
        <v>1.1575178465530848E-3</v>
      </c>
      <c r="K42" s="2"/>
      <c r="L42" s="2">
        <f t="shared" si="6"/>
        <v>-9.9099999999999966</v>
      </c>
      <c r="M42" s="2"/>
      <c r="N42" s="21">
        <f t="shared" si="7"/>
        <v>-0.10906889720449039</v>
      </c>
      <c r="O42" s="11"/>
      <c r="P42" s="2">
        <v>80.95</v>
      </c>
      <c r="Q42" s="2"/>
      <c r="R42" s="21">
        <f t="shared" si="8"/>
        <v>8.3959416123713577E-4</v>
      </c>
      <c r="S42" s="2"/>
      <c r="T42" s="2">
        <v>253.85</v>
      </c>
      <c r="U42" s="2"/>
      <c r="V42" s="21">
        <f t="shared" si="9"/>
        <v>2.6826545905467001E-3</v>
      </c>
      <c r="W42" s="2"/>
      <c r="X42" s="2">
        <f t="shared" si="10"/>
        <v>-172.89999999999998</v>
      </c>
      <c r="Y42" s="2"/>
      <c r="Z42" s="21">
        <f t="shared" si="11"/>
        <v>-0.68111089225920807</v>
      </c>
    </row>
    <row r="43" spans="1:26" s="24" customFormat="1" hidden="1" outlineLevel="1" x14ac:dyDescent="0.25">
      <c r="A43" s="50"/>
      <c r="B43" s="11" t="str">
        <f>CONCATENATE("          ", "5035", " - ", "PURCHASES @ COST-HEALTH &amp; BEAU")</f>
        <v xml:space="preserve">          5035 - PURCHASES @ COST-HEALTH &amp; BEAU</v>
      </c>
      <c r="C43" s="11"/>
      <c r="D43" s="2">
        <v>34.49</v>
      </c>
      <c r="E43" s="2"/>
      <c r="F43" s="21">
        <f t="shared" si="4"/>
        <v>4.3073297914735361E-4</v>
      </c>
      <c r="G43" s="2"/>
      <c r="H43" s="2"/>
      <c r="I43" s="2"/>
      <c r="J43" s="21">
        <f t="shared" si="5"/>
        <v>0</v>
      </c>
      <c r="K43" s="2"/>
      <c r="L43" s="2">
        <f t="shared" si="6"/>
        <v>34.49</v>
      </c>
      <c r="M43" s="2"/>
      <c r="N43" s="21">
        <f t="shared" si="7"/>
        <v>0</v>
      </c>
      <c r="O43" s="11"/>
      <c r="P43" s="2">
        <v>34.49</v>
      </c>
      <c r="Q43" s="2"/>
      <c r="R43" s="21">
        <f t="shared" si="8"/>
        <v>3.577220830274097E-4</v>
      </c>
      <c r="S43" s="2"/>
      <c r="T43" s="2"/>
      <c r="U43" s="2"/>
      <c r="V43" s="21">
        <f t="shared" si="9"/>
        <v>0</v>
      </c>
      <c r="W43" s="2"/>
      <c r="X43" s="2">
        <f t="shared" si="10"/>
        <v>34.49</v>
      </c>
      <c r="Y43" s="2"/>
      <c r="Z43" s="21">
        <f t="shared" si="11"/>
        <v>0</v>
      </c>
    </row>
    <row r="44" spans="1:26" s="24" customFormat="1" hidden="1" outlineLevel="1" x14ac:dyDescent="0.25">
      <c r="A44" s="50"/>
      <c r="B44" s="11" t="str">
        <f>CONCATENATE("          ", "5200", " - ", "PURCHASES OFFSET")</f>
        <v xml:space="preserve">          5200 - PURCHASES OFFSET</v>
      </c>
      <c r="C44" s="11"/>
      <c r="D44" s="2">
        <v>-4261</v>
      </c>
      <c r="E44" s="2"/>
      <c r="F44" s="21">
        <f t="shared" si="4"/>
        <v>-5.3214068545864704E-2</v>
      </c>
      <c r="G44" s="2"/>
      <c r="H44" s="2">
        <v>28147</v>
      </c>
      <c r="I44" s="2"/>
      <c r="J44" s="21">
        <f t="shared" si="5"/>
        <v>0.3585808367480704</v>
      </c>
      <c r="K44" s="2"/>
      <c r="L44" s="2">
        <f t="shared" si="6"/>
        <v>-32408</v>
      </c>
      <c r="M44" s="2"/>
      <c r="N44" s="21">
        <f t="shared" si="7"/>
        <v>-1.1513838064447366</v>
      </c>
      <c r="O44" s="11"/>
      <c r="P44" s="2">
        <v>-66405</v>
      </c>
      <c r="Q44" s="2"/>
      <c r="R44" s="21">
        <f t="shared" si="8"/>
        <v>-0.68873687803523165</v>
      </c>
      <c r="S44" s="2"/>
      <c r="T44" s="2">
        <v>-50008</v>
      </c>
      <c r="U44" s="2"/>
      <c r="V44" s="21">
        <f t="shared" si="9"/>
        <v>-0.52847819879479763</v>
      </c>
      <c r="W44" s="2"/>
      <c r="X44" s="2">
        <f t="shared" si="10"/>
        <v>-16397</v>
      </c>
      <c r="Y44" s="2"/>
      <c r="Z44" s="21">
        <f t="shared" si="11"/>
        <v>0.32788753799392095</v>
      </c>
    </row>
    <row r="45" spans="1:26" s="24" customFormat="1" hidden="1" outlineLevel="1" x14ac:dyDescent="0.25">
      <c r="A45" s="50"/>
      <c r="B45" s="11" t="str">
        <f>CONCATENATE("          ", "5300", " - ", "COG$ OFFSET")</f>
        <v xml:space="preserve">          5300 - COG$ OFFSET</v>
      </c>
      <c r="C45" s="11"/>
      <c r="D45" s="2">
        <v>34509</v>
      </c>
      <c r="E45" s="2"/>
      <c r="F45" s="21">
        <f t="shared" si="4"/>
        <v>0.430970263189215</v>
      </c>
      <c r="G45" s="2"/>
      <c r="H45" s="2">
        <v>40054</v>
      </c>
      <c r="I45" s="2"/>
      <c r="J45" s="21">
        <f t="shared" si="5"/>
        <v>0.51027096440498854</v>
      </c>
      <c r="K45" s="2"/>
      <c r="L45" s="2">
        <f t="shared" si="6"/>
        <v>-5545</v>
      </c>
      <c r="M45" s="2"/>
      <c r="N45" s="21">
        <f t="shared" si="7"/>
        <v>-0.13843810855345284</v>
      </c>
      <c r="O45" s="11"/>
      <c r="P45" s="2">
        <v>42609</v>
      </c>
      <c r="Q45" s="2"/>
      <c r="R45" s="21">
        <f t="shared" si="8"/>
        <v>0.44193042144722811</v>
      </c>
      <c r="S45" s="2"/>
      <c r="T45" s="2">
        <v>48179</v>
      </c>
      <c r="U45" s="2"/>
      <c r="V45" s="21">
        <f t="shared" si="9"/>
        <v>0.50914955886527269</v>
      </c>
      <c r="W45" s="2"/>
      <c r="X45" s="2">
        <f t="shared" si="10"/>
        <v>-5570</v>
      </c>
      <c r="Y45" s="2"/>
      <c r="Z45" s="21">
        <f t="shared" si="11"/>
        <v>-0.1156105357105793</v>
      </c>
    </row>
    <row r="46" spans="1:26" s="24" customFormat="1" hidden="1" outlineLevel="1" x14ac:dyDescent="0.25">
      <c r="A46" s="50"/>
      <c r="B46" s="11" t="str">
        <f>CONCATENATE("          ", "5500", " - ", "FREIGHT-IN")</f>
        <v xml:space="preserve">          5500 - FREIGHT-IN</v>
      </c>
      <c r="C46" s="11"/>
      <c r="D46" s="2"/>
      <c r="E46" s="2"/>
      <c r="F46" s="21">
        <f t="shared" si="4"/>
        <v>0</v>
      </c>
      <c r="G46" s="2"/>
      <c r="H46" s="2"/>
      <c r="I46" s="2"/>
      <c r="J46" s="21">
        <f t="shared" si="5"/>
        <v>0</v>
      </c>
      <c r="K46" s="2"/>
      <c r="L46" s="2">
        <f t="shared" si="6"/>
        <v>0</v>
      </c>
      <c r="M46" s="2"/>
      <c r="N46" s="21">
        <f t="shared" si="7"/>
        <v>0</v>
      </c>
      <c r="O46" s="11"/>
      <c r="P46" s="2">
        <v>49</v>
      </c>
      <c r="Q46" s="2"/>
      <c r="R46" s="21">
        <f t="shared" si="8"/>
        <v>5.0821635454749415E-4</v>
      </c>
      <c r="S46" s="2"/>
      <c r="T46" s="2"/>
      <c r="U46" s="2"/>
      <c r="V46" s="21">
        <f t="shared" si="9"/>
        <v>0</v>
      </c>
      <c r="W46" s="2"/>
      <c r="X46" s="2">
        <f t="shared" si="10"/>
        <v>49</v>
      </c>
      <c r="Y46" s="2"/>
      <c r="Z46" s="21">
        <f t="shared" si="11"/>
        <v>0</v>
      </c>
    </row>
    <row r="47" spans="1:26" s="24" customFormat="1" hidden="1" outlineLevel="1" x14ac:dyDescent="0.25">
      <c r="A47" s="50"/>
      <c r="B47" s="11" t="str">
        <f>CONCATENATE("          ", "5526", " - ", "FREIGHT-IN-WRITING INSTRUMENTS")</f>
        <v xml:space="preserve">          5526 - FREIGHT-IN-WRITING INSTRUMENTS</v>
      </c>
      <c r="C47" s="11"/>
      <c r="D47" s="2">
        <v>17.46</v>
      </c>
      <c r="E47" s="2"/>
      <c r="F47" s="21">
        <f t="shared" si="4"/>
        <v>2.1805154583684529E-4</v>
      </c>
      <c r="G47" s="2"/>
      <c r="H47" s="2">
        <v>8.58</v>
      </c>
      <c r="I47" s="2"/>
      <c r="J47" s="21">
        <f t="shared" si="5"/>
        <v>1.0930555935973441E-4</v>
      </c>
      <c r="K47" s="2"/>
      <c r="L47" s="2">
        <f t="shared" si="6"/>
        <v>8.8800000000000008</v>
      </c>
      <c r="M47" s="2"/>
      <c r="N47" s="21">
        <f t="shared" si="7"/>
        <v>1.034965034965035</v>
      </c>
      <c r="O47" s="11"/>
      <c r="P47" s="2">
        <v>56.57</v>
      </c>
      <c r="Q47" s="2"/>
      <c r="R47" s="21">
        <f t="shared" si="8"/>
        <v>5.8673059544391319E-4</v>
      </c>
      <c r="S47" s="2"/>
      <c r="T47" s="2">
        <v>42.74</v>
      </c>
      <c r="U47" s="2"/>
      <c r="V47" s="21">
        <f t="shared" si="9"/>
        <v>4.5167089698627523E-4</v>
      </c>
      <c r="W47" s="2"/>
      <c r="X47" s="2">
        <f t="shared" si="10"/>
        <v>13.829999999999998</v>
      </c>
      <c r="Y47" s="2"/>
      <c r="Z47" s="21">
        <f t="shared" si="11"/>
        <v>0.32358446420215248</v>
      </c>
    </row>
    <row r="48" spans="1:26" s="24" customFormat="1" hidden="1" outlineLevel="1" x14ac:dyDescent="0.25">
      <c r="A48" s="50"/>
      <c r="B48" s="11" t="str">
        <f>CONCATENATE("          ", "5527", " - ", "FREIGHT-IN-SCHOOL SUPPLIES")</f>
        <v xml:space="preserve">          5527 - FREIGHT-IN-SCHOOL SUPPLIES</v>
      </c>
      <c r="C48" s="11"/>
      <c r="D48" s="2">
        <v>10.49</v>
      </c>
      <c r="E48" s="2"/>
      <c r="F48" s="21">
        <f t="shared" si="4"/>
        <v>1.3100576837505768E-4</v>
      </c>
      <c r="G48" s="2"/>
      <c r="H48" s="2"/>
      <c r="I48" s="2"/>
      <c r="J48" s="21">
        <f t="shared" si="5"/>
        <v>0</v>
      </c>
      <c r="K48" s="2"/>
      <c r="L48" s="2">
        <f t="shared" si="6"/>
        <v>10.49</v>
      </c>
      <c r="M48" s="2"/>
      <c r="N48" s="21">
        <f t="shared" si="7"/>
        <v>0</v>
      </c>
      <c r="O48" s="11"/>
      <c r="P48" s="2">
        <v>260.51</v>
      </c>
      <c r="Q48" s="2"/>
      <c r="R48" s="21">
        <f t="shared" si="8"/>
        <v>2.701947806595259E-3</v>
      </c>
      <c r="S48" s="2"/>
      <c r="T48" s="2">
        <v>192.19</v>
      </c>
      <c r="U48" s="2"/>
      <c r="V48" s="21">
        <f t="shared" si="9"/>
        <v>2.031039534201971E-3</v>
      </c>
      <c r="W48" s="2"/>
      <c r="X48" s="2">
        <f t="shared" si="10"/>
        <v>68.319999999999993</v>
      </c>
      <c r="Y48" s="2"/>
      <c r="Z48" s="21">
        <f t="shared" si="11"/>
        <v>0.35548155471148341</v>
      </c>
    </row>
    <row r="49" spans="1:26" s="24" customFormat="1" hidden="1" outlineLevel="1" x14ac:dyDescent="0.25">
      <c r="A49" s="50"/>
      <c r="B49" s="11" t="str">
        <f>CONCATENATE("          ", "5528", " - ", "FREIGHT-IN-ART/TECH")</f>
        <v xml:space="preserve">          5528 - FREIGHT-IN-ART/TECH</v>
      </c>
      <c r="C49" s="11"/>
      <c r="D49" s="2"/>
      <c r="E49" s="2"/>
      <c r="F49" s="21">
        <f t="shared" si="4"/>
        <v>0</v>
      </c>
      <c r="G49" s="2"/>
      <c r="H49" s="2">
        <v>4.22</v>
      </c>
      <c r="I49" s="2"/>
      <c r="J49" s="21">
        <f t="shared" si="5"/>
        <v>5.3761009382060506E-5</v>
      </c>
      <c r="K49" s="2"/>
      <c r="L49" s="2">
        <f t="shared" si="6"/>
        <v>-4.22</v>
      </c>
      <c r="M49" s="2"/>
      <c r="N49" s="21">
        <f t="shared" si="7"/>
        <v>-1</v>
      </c>
      <c r="O49" s="11"/>
      <c r="P49" s="2">
        <v>44</v>
      </c>
      <c r="Q49" s="2"/>
      <c r="R49" s="21">
        <f t="shared" si="8"/>
        <v>4.5635754285897431E-4</v>
      </c>
      <c r="S49" s="2"/>
      <c r="T49" s="2">
        <v>4.22</v>
      </c>
      <c r="U49" s="2"/>
      <c r="V49" s="21">
        <f t="shared" si="9"/>
        <v>4.4596424550352865E-5</v>
      </c>
      <c r="W49" s="2"/>
      <c r="X49" s="2">
        <f t="shared" si="10"/>
        <v>39.78</v>
      </c>
      <c r="Y49" s="2"/>
      <c r="Z49" s="21">
        <f t="shared" si="11"/>
        <v>9.4265402843601898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6" t="s">
        <v>6</v>
      </c>
      <c r="C51" s="26"/>
      <c r="D51" s="20">
        <f>D12-D35</f>
        <v>45563.869999999988</v>
      </c>
      <c r="E51" s="13"/>
      <c r="F51" s="19">
        <f>IF(D$12=0,0,D51/D$12)</f>
        <v>0.56903048612881202</v>
      </c>
      <c r="G51" s="13"/>
      <c r="H51" s="20">
        <f>H12-H35</f>
        <v>38442.9</v>
      </c>
      <c r="I51" s="13"/>
      <c r="J51" s="19">
        <f>IF(H$12=0,0,H51/H$12)</f>
        <v>0.48974623402218342</v>
      </c>
      <c r="K51" s="15"/>
      <c r="L51" s="20">
        <f>+D51-H51</f>
        <v>7120.9699999999866</v>
      </c>
      <c r="M51" s="15"/>
      <c r="N51" s="19">
        <f>IF(H51=0,0,L51/H51)</f>
        <v>0.18523498487366943</v>
      </c>
      <c r="O51" s="25"/>
      <c r="P51" s="20">
        <f>P12-P35</f>
        <v>53757.989999999962</v>
      </c>
      <c r="Q51" s="13"/>
      <c r="R51" s="19">
        <f>IF(P$12=0,0,P51/P$12)</f>
        <v>0.5575650960326658</v>
      </c>
      <c r="S51" s="13"/>
      <c r="T51" s="20">
        <f>T12-T35</f>
        <v>46448.989999999962</v>
      </c>
      <c r="U51" s="13"/>
      <c r="V51" s="19">
        <f>IF(T$12=0,0,T51/T$12)</f>
        <v>0.49086703269551968</v>
      </c>
      <c r="W51" s="15"/>
      <c r="X51" s="20">
        <f>+P51-T51</f>
        <v>7309</v>
      </c>
      <c r="Y51" s="15"/>
      <c r="Z51" s="19">
        <f>IF(T51=0,0,X51/T51)</f>
        <v>0.15735541289487687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5" t="s">
        <v>9</v>
      </c>
      <c r="C53" s="10"/>
      <c r="D53" s="22">
        <f>SUM(OSRRefD22x_0)</f>
        <v>10263.69</v>
      </c>
      <c r="E53" s="22"/>
      <c r="F53" s="33">
        <f t="shared" ref="F53:F61" si="12">IF(D$12=0,0,D53/D$12)</f>
        <v>0.12817946566381275</v>
      </c>
      <c r="G53" s="22"/>
      <c r="H53" s="22">
        <f>SUM(OSRRefH22x_0)</f>
        <v>9068.68</v>
      </c>
      <c r="I53" s="22"/>
      <c r="J53" s="33">
        <f t="shared" ref="J53:J61" si="13">IF(H$12=0,0,H53/H$12)</f>
        <v>0.11553113520447975</v>
      </c>
      <c r="K53" s="4"/>
      <c r="L53" s="22">
        <f t="shared" ref="L53:L61" si="14">+D53-H53</f>
        <v>1195.0100000000002</v>
      </c>
      <c r="M53" s="4"/>
      <c r="N53" s="33">
        <f t="shared" ref="N53:N61" si="15">IF(H53=0,0,L53/H53)</f>
        <v>0.13177331210275367</v>
      </c>
      <c r="O53" s="10"/>
      <c r="P53" s="22">
        <f>SUM(OSRRefP22x_0)</f>
        <v>22439.33</v>
      </c>
      <c r="Q53" s="22"/>
      <c r="R53" s="33">
        <f t="shared" ref="R53:R61" si="16">IF(P$12=0,0,P53/P$12)</f>
        <v>0.23273539777731067</v>
      </c>
      <c r="S53" s="22"/>
      <c r="T53" s="22">
        <f>SUM(OSRRefT22x_0)</f>
        <v>18377.8</v>
      </c>
      <c r="U53" s="22"/>
      <c r="V53" s="33">
        <f t="shared" ref="V53:V61" si="17">IF(T$12=0,0,T53/T$12)</f>
        <v>0.19421425855485186</v>
      </c>
      <c r="W53" s="4"/>
      <c r="X53" s="22">
        <f t="shared" ref="X53:X61" si="18">+P53-T53</f>
        <v>4061.5300000000025</v>
      </c>
      <c r="Y53" s="4"/>
      <c r="Z53" s="33">
        <f t="shared" ref="Z53:Z61" si="19">IF(T53=0,0,X53/T53)</f>
        <v>0.22100196976787226</v>
      </c>
    </row>
    <row r="54" spans="1:26" s="27" customFormat="1" outlineLevel="1" collapsed="1" x14ac:dyDescent="0.25">
      <c r="A54" s="28"/>
      <c r="B54" s="14" t="str">
        <f>CONCATENATE("     ","*Benefits                                         ")</f>
        <v xml:space="preserve">     *Benefits                                         </v>
      </c>
      <c r="C54" s="14"/>
      <c r="D54" s="1">
        <f>SUM(OSRRefD22_0x_0)</f>
        <v>2009.5700000000002</v>
      </c>
      <c r="E54" s="1"/>
      <c r="F54" s="5">
        <f t="shared" si="12"/>
        <v>2.5096783789653448E-2</v>
      </c>
      <c r="G54" s="1"/>
      <c r="H54" s="1">
        <f>SUM(OSRRefH22_0x_0)</f>
        <v>1857.2400000000002</v>
      </c>
      <c r="I54" s="1"/>
      <c r="J54" s="5">
        <f t="shared" si="13"/>
        <v>2.3660449541407128E-2</v>
      </c>
      <c r="K54" s="1"/>
      <c r="L54" s="1">
        <f t="shared" si="14"/>
        <v>152.32999999999993</v>
      </c>
      <c r="M54" s="1"/>
      <c r="N54" s="5">
        <f t="shared" si="15"/>
        <v>8.2019555900152863E-2</v>
      </c>
      <c r="O54" s="14"/>
      <c r="P54" s="1">
        <f>SUM(OSRRefP22_0x_0)</f>
        <v>4367.8500000000004</v>
      </c>
      <c r="Q54" s="1"/>
      <c r="R54" s="5">
        <f t="shared" si="16"/>
        <v>4.5302302126740253E-2</v>
      </c>
      <c r="S54" s="1"/>
      <c r="T54" s="1">
        <f>SUM(OSRRefT22_0x_0)</f>
        <v>3516.4300000000003</v>
      </c>
      <c r="U54" s="1"/>
      <c r="V54" s="5">
        <f t="shared" si="17"/>
        <v>3.7161186061989891E-2</v>
      </c>
      <c r="W54" s="1"/>
      <c r="X54" s="1">
        <f t="shared" si="18"/>
        <v>851.42000000000007</v>
      </c>
      <c r="Y54" s="1"/>
      <c r="Z54" s="5">
        <f t="shared" si="19"/>
        <v>0.24212624735882698</v>
      </c>
    </row>
    <row r="55" spans="1:26" s="24" customFormat="1" hidden="1" outlineLevel="2" x14ac:dyDescent="0.25">
      <c r="A55" s="29"/>
      <c r="B55" s="11" t="str">
        <f>CONCATENATE("          ", "6111", " - ", "F.I.C.A.")</f>
        <v xml:space="preserve">          6111 - F.I.C.A.</v>
      </c>
      <c r="C55" s="11"/>
      <c r="D55" s="7">
        <v>490.93</v>
      </c>
      <c r="E55" s="2"/>
      <c r="F55" s="6">
        <f t="shared" si="12"/>
        <v>6.1310449826851351E-3</v>
      </c>
      <c r="G55" s="2"/>
      <c r="H55" s="7">
        <v>361.94</v>
      </c>
      <c r="I55" s="2"/>
      <c r="J55" s="6">
        <f t="shared" si="13"/>
        <v>4.6109620226879103E-3</v>
      </c>
      <c r="K55" s="2"/>
      <c r="L55" s="7">
        <f t="shared" si="14"/>
        <v>128.99</v>
      </c>
      <c r="M55" s="2"/>
      <c r="N55" s="6">
        <f t="shared" si="15"/>
        <v>0.35638503619384432</v>
      </c>
      <c r="O55" s="11"/>
      <c r="P55" s="7">
        <v>965.62</v>
      </c>
      <c r="Q55" s="2"/>
      <c r="R55" s="6">
        <f t="shared" si="16"/>
        <v>1.0015181148533701E-2</v>
      </c>
      <c r="S55" s="2"/>
      <c r="T55" s="7">
        <v>739.66</v>
      </c>
      <c r="U55" s="2"/>
      <c r="V55" s="6">
        <f t="shared" si="17"/>
        <v>7.8166330291265396E-3</v>
      </c>
      <c r="W55" s="2"/>
      <c r="X55" s="7">
        <f t="shared" si="18"/>
        <v>225.96000000000004</v>
      </c>
      <c r="Y55" s="2"/>
      <c r="Z55" s="6">
        <f t="shared" si="19"/>
        <v>0.30549171240840395</v>
      </c>
    </row>
    <row r="56" spans="1:26" s="24" customFormat="1" hidden="1" outlineLevel="2" x14ac:dyDescent="0.25">
      <c r="A56" s="29"/>
      <c r="B56" s="11" t="str">
        <f>CONCATENATE("          ", "6112", " - ", "COMPENSATION INSURANCE")</f>
        <v xml:space="preserve">          6112 - COMPENSATION INSURANCE</v>
      </c>
      <c r="C56" s="11"/>
      <c r="D56" s="7">
        <v>121.89</v>
      </c>
      <c r="E56" s="2"/>
      <c r="F56" s="6">
        <f t="shared" si="12"/>
        <v>1.5222395717097979E-3</v>
      </c>
      <c r="G56" s="2"/>
      <c r="H56" s="7">
        <v>55.77</v>
      </c>
      <c r="I56" s="2"/>
      <c r="J56" s="6">
        <f t="shared" si="13"/>
        <v>7.1048613583827365E-4</v>
      </c>
      <c r="K56" s="2"/>
      <c r="L56" s="7">
        <f t="shared" si="14"/>
        <v>66.12</v>
      </c>
      <c r="M56" s="2"/>
      <c r="N56" s="6">
        <f t="shared" si="15"/>
        <v>1.1855836471221086</v>
      </c>
      <c r="O56" s="11"/>
      <c r="P56" s="7">
        <v>239.76</v>
      </c>
      <c r="Q56" s="2"/>
      <c r="R56" s="6">
        <f t="shared" si="16"/>
        <v>2.4867337380879016E-3</v>
      </c>
      <c r="S56" s="2"/>
      <c r="T56" s="7">
        <v>126.43</v>
      </c>
      <c r="U56" s="2"/>
      <c r="V56" s="6">
        <f t="shared" si="17"/>
        <v>1.3360961980808325E-3</v>
      </c>
      <c r="W56" s="2"/>
      <c r="X56" s="7">
        <f t="shared" si="18"/>
        <v>113.32999999999998</v>
      </c>
      <c r="Y56" s="2"/>
      <c r="Z56" s="6">
        <f t="shared" si="19"/>
        <v>0.89638535157794808</v>
      </c>
    </row>
    <row r="57" spans="1:26" s="24" customFormat="1" hidden="1" outlineLevel="2" x14ac:dyDescent="0.25">
      <c r="A57" s="29"/>
      <c r="B57" s="11" t="str">
        <f>CONCATENATE("          ", "6113", " - ", "GROUP INSURANCE")</f>
        <v xml:space="preserve">          6113 - GROUP INSURANCE</v>
      </c>
      <c r="C57" s="11"/>
      <c r="D57" s="7">
        <v>924.25</v>
      </c>
      <c r="E57" s="2"/>
      <c r="F57" s="6">
        <f t="shared" si="12"/>
        <v>1.1542619773178938E-2</v>
      </c>
      <c r="G57" s="2"/>
      <c r="H57" s="7">
        <v>988.44</v>
      </c>
      <c r="I57" s="2"/>
      <c r="J57" s="6">
        <f t="shared" si="13"/>
        <v>1.2592306188057794E-2</v>
      </c>
      <c r="K57" s="2"/>
      <c r="L57" s="7">
        <f t="shared" si="14"/>
        <v>-64.190000000000055</v>
      </c>
      <c r="M57" s="2"/>
      <c r="N57" s="6">
        <f t="shared" si="15"/>
        <v>-6.4940714661486834E-2</v>
      </c>
      <c r="O57" s="11"/>
      <c r="P57" s="7">
        <v>1848.5</v>
      </c>
      <c r="Q57" s="2"/>
      <c r="R57" s="6">
        <f t="shared" si="16"/>
        <v>1.9172202681245774E-2</v>
      </c>
      <c r="S57" s="2"/>
      <c r="T57" s="7">
        <v>1342.24</v>
      </c>
      <c r="U57" s="2"/>
      <c r="V57" s="6">
        <f t="shared" si="17"/>
        <v>1.4184622011484746E-2</v>
      </c>
      <c r="W57" s="2"/>
      <c r="X57" s="7">
        <f t="shared" si="18"/>
        <v>506.26</v>
      </c>
      <c r="Y57" s="2"/>
      <c r="Z57" s="6">
        <f t="shared" si="19"/>
        <v>0.37717546787459766</v>
      </c>
    </row>
    <row r="58" spans="1:26" s="24" customFormat="1" hidden="1" outlineLevel="2" x14ac:dyDescent="0.25">
      <c r="A58" s="29"/>
      <c r="B58" s="11" t="str">
        <f>CONCATENATE("          ", "6114", " - ", "STATE UNEMPLOYMENT INSURANCE")</f>
        <v xml:space="preserve">          6114 - STATE UNEMPLOYMENT INSURANCE</v>
      </c>
      <c r="C58" s="11"/>
      <c r="D58" s="7">
        <v>16.68</v>
      </c>
      <c r="E58" s="2"/>
      <c r="F58" s="6">
        <f t="shared" si="12"/>
        <v>2.0831041148674565E-4</v>
      </c>
      <c r="G58" s="2"/>
      <c r="H58" s="7">
        <v>12.19</v>
      </c>
      <c r="I58" s="2"/>
      <c r="J58" s="6">
        <f t="shared" si="13"/>
        <v>1.5529542757519374E-4</v>
      </c>
      <c r="K58" s="2"/>
      <c r="L58" s="7">
        <f t="shared" si="14"/>
        <v>4.49</v>
      </c>
      <c r="M58" s="2"/>
      <c r="N58" s="6">
        <f t="shared" si="15"/>
        <v>0.36833470057424123</v>
      </c>
      <c r="O58" s="11"/>
      <c r="P58" s="7">
        <v>32.81</v>
      </c>
      <c r="Q58" s="2"/>
      <c r="R58" s="6">
        <f t="shared" si="16"/>
        <v>3.40297522300067E-4</v>
      </c>
      <c r="S58" s="2"/>
      <c r="T58" s="7">
        <v>27.63</v>
      </c>
      <c r="U58" s="2"/>
      <c r="V58" s="6">
        <f t="shared" si="17"/>
        <v>2.9199033420053308E-4</v>
      </c>
      <c r="W58" s="2"/>
      <c r="X58" s="7">
        <f t="shared" si="18"/>
        <v>5.1800000000000033</v>
      </c>
      <c r="Y58" s="2"/>
      <c r="Z58" s="6">
        <f t="shared" si="19"/>
        <v>0.18747737965979022</v>
      </c>
    </row>
    <row r="59" spans="1:26" s="24" customFormat="1" hidden="1" outlineLevel="2" x14ac:dyDescent="0.25">
      <c r="A59" s="29"/>
      <c r="B59" s="11" t="str">
        <f>CONCATENATE("          ", "6115", " - ", "P.E.R.S.")</f>
        <v xml:space="preserve">          6115 - P.E.R.S.</v>
      </c>
      <c r="C59" s="11"/>
      <c r="D59" s="7">
        <v>183.4</v>
      </c>
      <c r="E59" s="2"/>
      <c r="F59" s="6">
        <f t="shared" si="12"/>
        <v>2.2904154356516281E-3</v>
      </c>
      <c r="G59" s="2"/>
      <c r="H59" s="7">
        <v>174.42</v>
      </c>
      <c r="I59" s="2"/>
      <c r="J59" s="6">
        <f t="shared" si="13"/>
        <v>2.2220367906206147E-3</v>
      </c>
      <c r="K59" s="2"/>
      <c r="L59" s="7">
        <f t="shared" si="14"/>
        <v>8.9800000000000182</v>
      </c>
      <c r="M59" s="2"/>
      <c r="N59" s="6">
        <f t="shared" si="15"/>
        <v>5.1484921453961809E-2</v>
      </c>
      <c r="O59" s="11"/>
      <c r="P59" s="7">
        <v>366.8</v>
      </c>
      <c r="Q59" s="2"/>
      <c r="R59" s="6">
        <f t="shared" si="16"/>
        <v>3.8043624254698134E-3</v>
      </c>
      <c r="S59" s="2"/>
      <c r="T59" s="7">
        <v>433.5</v>
      </c>
      <c r="U59" s="2"/>
      <c r="V59" s="6">
        <f t="shared" si="17"/>
        <v>4.5811729958715559E-3</v>
      </c>
      <c r="W59" s="2"/>
      <c r="X59" s="7">
        <f t="shared" si="18"/>
        <v>-66.699999999999989</v>
      </c>
      <c r="Y59" s="2"/>
      <c r="Z59" s="6">
        <f t="shared" si="19"/>
        <v>-0.15386389850057666</v>
      </c>
    </row>
    <row r="60" spans="1:26" s="24" customFormat="1" hidden="1" outlineLevel="2" x14ac:dyDescent="0.25">
      <c r="A60" s="29"/>
      <c r="B60" s="11" t="str">
        <f>CONCATENATE("          ", "6118", " - ", "VACATION")</f>
        <v xml:space="preserve">          6118 - VACATION</v>
      </c>
      <c r="C60" s="11"/>
      <c r="D60" s="7">
        <v>151.31</v>
      </c>
      <c r="E60" s="2"/>
      <c r="F60" s="6">
        <f t="shared" si="12"/>
        <v>1.889655177581504E-3</v>
      </c>
      <c r="G60" s="2"/>
      <c r="H60" s="7">
        <v>146.9</v>
      </c>
      <c r="I60" s="2"/>
      <c r="J60" s="6">
        <f t="shared" si="13"/>
        <v>1.8714436678257558E-3</v>
      </c>
      <c r="K60" s="2"/>
      <c r="L60" s="7">
        <f t="shared" si="14"/>
        <v>4.4099999999999966</v>
      </c>
      <c r="M60" s="2"/>
      <c r="N60" s="6">
        <f t="shared" si="15"/>
        <v>3.0020422055820263E-2</v>
      </c>
      <c r="O60" s="11"/>
      <c r="P60" s="7">
        <v>464.63</v>
      </c>
      <c r="Q60" s="2"/>
      <c r="R60" s="6">
        <f t="shared" si="16"/>
        <v>4.8190319349673922E-3</v>
      </c>
      <c r="S60" s="2"/>
      <c r="T60" s="7">
        <v>443.73</v>
      </c>
      <c r="U60" s="2"/>
      <c r="V60" s="6">
        <f t="shared" si="17"/>
        <v>4.6892823378502551E-3</v>
      </c>
      <c r="W60" s="2"/>
      <c r="X60" s="7">
        <f t="shared" si="18"/>
        <v>20.899999999999977</v>
      </c>
      <c r="Y60" s="2"/>
      <c r="Z60" s="6">
        <f t="shared" si="19"/>
        <v>4.7100714398395367E-2</v>
      </c>
    </row>
    <row r="61" spans="1:26" s="24" customFormat="1" hidden="1" outlineLevel="2" x14ac:dyDescent="0.25">
      <c r="A61" s="29"/>
      <c r="B61" s="11" t="str">
        <f>CONCATENATE("          ", "6119", " - ", "SICK LEAVE")</f>
        <v xml:space="preserve">          6119 - SICK LEAVE</v>
      </c>
      <c r="C61" s="11"/>
      <c r="D61" s="7">
        <v>121.11</v>
      </c>
      <c r="E61" s="2"/>
      <c r="F61" s="6">
        <f t="shared" si="12"/>
        <v>1.5124984373596983E-3</v>
      </c>
      <c r="G61" s="2"/>
      <c r="H61" s="7">
        <v>117.58</v>
      </c>
      <c r="I61" s="2"/>
      <c r="J61" s="6">
        <f t="shared" si="13"/>
        <v>1.4979193088015816E-3</v>
      </c>
      <c r="K61" s="2"/>
      <c r="L61" s="7">
        <f t="shared" si="14"/>
        <v>3.5300000000000011</v>
      </c>
      <c r="M61" s="2"/>
      <c r="N61" s="6">
        <f t="shared" si="15"/>
        <v>3.0022112604184394E-2</v>
      </c>
      <c r="O61" s="11"/>
      <c r="P61" s="7">
        <v>449.73</v>
      </c>
      <c r="Q61" s="2"/>
      <c r="R61" s="6">
        <f t="shared" si="16"/>
        <v>4.6644926761356034E-3</v>
      </c>
      <c r="S61" s="2"/>
      <c r="T61" s="7">
        <v>403.24</v>
      </c>
      <c r="U61" s="2"/>
      <c r="V61" s="6">
        <f t="shared" si="17"/>
        <v>4.2613891553754243E-3</v>
      </c>
      <c r="W61" s="2"/>
      <c r="X61" s="7">
        <f t="shared" si="18"/>
        <v>46.490000000000009</v>
      </c>
      <c r="Y61" s="2"/>
      <c r="Z61" s="6">
        <f t="shared" si="19"/>
        <v>0.11529114175181035</v>
      </c>
    </row>
    <row r="62" spans="1:26" s="27" customFormat="1" outlineLevel="1" collapsed="1" x14ac:dyDescent="0.25">
      <c r="A62" s="28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7186.8899999999994</v>
      </c>
      <c r="E62" s="1"/>
      <c r="F62" s="5">
        <f t="shared" ref="F62:F65" si="20">IF(D$12=0,0,D62/D$12)</f>
        <v>8.9754437242804408E-2</v>
      </c>
      <c r="G62" s="1"/>
      <c r="H62" s="1">
        <f>SUM(OSRRefH22_1x_0)</f>
        <v>4847.1000000000004</v>
      </c>
      <c r="I62" s="1"/>
      <c r="J62" s="5">
        <f t="shared" ref="J62:J65" si="21">IF(H$12=0,0,H62/H$12)</f>
        <v>6.174999729284017E-2</v>
      </c>
      <c r="K62" s="1"/>
      <c r="L62" s="1">
        <f t="shared" ref="L62:L65" si="22">+D62-H62</f>
        <v>2339.7899999999991</v>
      </c>
      <c r="M62" s="1"/>
      <c r="N62" s="5">
        <f t="shared" ref="N62:N65" si="23">IF(H62=0,0,L62/H62)</f>
        <v>0.48271956427554596</v>
      </c>
      <c r="O62" s="14"/>
      <c r="P62" s="1">
        <f>SUM(OSRRefP22_1x_0)</f>
        <v>14692.68</v>
      </c>
      <c r="Q62" s="1"/>
      <c r="R62" s="5">
        <f t="shared" ref="R62:R65" si="24">IF(P$12=0,0,P62/P$12)</f>
        <v>0.15238898506393625</v>
      </c>
      <c r="S62" s="1"/>
      <c r="T62" s="1">
        <f>SUM(OSRRefT22_1x_0)</f>
        <v>10592.630000000001</v>
      </c>
      <c r="U62" s="1"/>
      <c r="V62" s="5">
        <f t="shared" ref="V62:V65" si="25">IF(T$12=0,0,T62/T$12)</f>
        <v>0.11194156980682567</v>
      </c>
      <c r="W62" s="1"/>
      <c r="X62" s="1">
        <f t="shared" ref="X62:X65" si="26">+P62-T62</f>
        <v>4100.0499999999993</v>
      </c>
      <c r="Y62" s="1"/>
      <c r="Z62" s="5">
        <f t="shared" ref="Z62:Z65" si="27">IF(T62=0,0,X62/T62)</f>
        <v>0.387066290430233</v>
      </c>
    </row>
    <row r="63" spans="1:26" s="24" customFormat="1" hidden="1" outlineLevel="2" x14ac:dyDescent="0.25">
      <c r="A63" s="29"/>
      <c r="B63" s="11" t="str">
        <f>CONCATENATE("          ", "6002", " - ", "STAFF SALARIES")</f>
        <v xml:space="preserve">          6002 - STAFF SALARIES</v>
      </c>
      <c r="C63" s="11"/>
      <c r="D63" s="7">
        <v>2626.7</v>
      </c>
      <c r="E63" s="2"/>
      <c r="F63" s="6">
        <f t="shared" si="20"/>
        <v>3.2803894355649572E-2</v>
      </c>
      <c r="G63" s="2"/>
      <c r="H63" s="7">
        <v>2549.2199999999998</v>
      </c>
      <c r="I63" s="2"/>
      <c r="J63" s="6">
        <f t="shared" si="21"/>
        <v>3.247598112249675E-2</v>
      </c>
      <c r="K63" s="2"/>
      <c r="L63" s="7">
        <f t="shared" si="22"/>
        <v>77.480000000000018</v>
      </c>
      <c r="M63" s="2"/>
      <c r="N63" s="6">
        <f t="shared" si="23"/>
        <v>3.0393610594613263E-2</v>
      </c>
      <c r="O63" s="11"/>
      <c r="P63" s="7">
        <v>5777.11</v>
      </c>
      <c r="Q63" s="2"/>
      <c r="R63" s="6">
        <f t="shared" si="24"/>
        <v>5.9918811918772935E-2</v>
      </c>
      <c r="S63" s="2"/>
      <c r="T63" s="7">
        <v>5099.13</v>
      </c>
      <c r="U63" s="2"/>
      <c r="V63" s="6">
        <f t="shared" si="25"/>
        <v>5.388695884299545E-2</v>
      </c>
      <c r="W63" s="2"/>
      <c r="X63" s="7">
        <f t="shared" si="26"/>
        <v>677.97999999999956</v>
      </c>
      <c r="Y63" s="2"/>
      <c r="Z63" s="6">
        <f t="shared" si="27"/>
        <v>0.13295993630285943</v>
      </c>
    </row>
    <row r="64" spans="1:26" s="24" customFormat="1" hidden="1" outlineLevel="2" x14ac:dyDescent="0.25">
      <c r="A64" s="29"/>
      <c r="B64" s="11" t="str">
        <f>CONCATENATE("          ", "6006", " - ", "TEMPORARY PART TIME")</f>
        <v xml:space="preserve">          6006 - TEMPORARY PART TIME</v>
      </c>
      <c r="C64" s="11"/>
      <c r="D64" s="7"/>
      <c r="E64" s="2"/>
      <c r="F64" s="6">
        <f t="shared" si="20"/>
        <v>0</v>
      </c>
      <c r="G64" s="2"/>
      <c r="H64" s="7"/>
      <c r="I64" s="2"/>
      <c r="J64" s="6">
        <f t="shared" si="21"/>
        <v>0</v>
      </c>
      <c r="K64" s="2"/>
      <c r="L64" s="7">
        <f t="shared" si="22"/>
        <v>0</v>
      </c>
      <c r="M64" s="2"/>
      <c r="N64" s="6">
        <f t="shared" si="23"/>
        <v>0</v>
      </c>
      <c r="O64" s="11"/>
      <c r="P64" s="7"/>
      <c r="Q64" s="2"/>
      <c r="R64" s="6">
        <f t="shared" si="24"/>
        <v>0</v>
      </c>
      <c r="S64" s="2"/>
      <c r="T64" s="7">
        <v>58.75</v>
      </c>
      <c r="U64" s="2"/>
      <c r="V64" s="6">
        <f t="shared" si="25"/>
        <v>6.2086254557659499E-4</v>
      </c>
      <c r="W64" s="2"/>
      <c r="X64" s="7">
        <f t="shared" si="26"/>
        <v>-58.75</v>
      </c>
      <c r="Y64" s="2"/>
      <c r="Z64" s="6">
        <f t="shared" si="27"/>
        <v>-1</v>
      </c>
    </row>
    <row r="65" spans="1:26" s="24" customFormat="1" hidden="1" outlineLevel="2" x14ac:dyDescent="0.25">
      <c r="A65" s="29"/>
      <c r="B65" s="11" t="str">
        <f>CONCATENATE("          ", "6007", " - ", "STUDENT HOURLY")</f>
        <v xml:space="preserve">          6007 - STUDENT HOURLY</v>
      </c>
      <c r="C65" s="11"/>
      <c r="D65" s="7">
        <v>4560.1899999999996</v>
      </c>
      <c r="E65" s="2"/>
      <c r="F65" s="6">
        <f t="shared" si="20"/>
        <v>5.6950542887154836E-2</v>
      </c>
      <c r="G65" s="2"/>
      <c r="H65" s="7">
        <v>2297.88</v>
      </c>
      <c r="I65" s="2"/>
      <c r="J65" s="6">
        <f t="shared" si="21"/>
        <v>2.9274016170343416E-2</v>
      </c>
      <c r="K65" s="2"/>
      <c r="L65" s="7">
        <f t="shared" si="22"/>
        <v>2262.3099999999995</v>
      </c>
      <c r="M65" s="2"/>
      <c r="N65" s="6">
        <f t="shared" si="23"/>
        <v>0.98452051456124745</v>
      </c>
      <c r="O65" s="11"/>
      <c r="P65" s="7">
        <v>8915.57</v>
      </c>
      <c r="Q65" s="2"/>
      <c r="R65" s="6">
        <f t="shared" si="24"/>
        <v>9.2470173145163315E-2</v>
      </c>
      <c r="S65" s="2"/>
      <c r="T65" s="7">
        <v>5434.75</v>
      </c>
      <c r="U65" s="2"/>
      <c r="V65" s="6">
        <f t="shared" si="25"/>
        <v>5.7433748418253612E-2</v>
      </c>
      <c r="W65" s="2"/>
      <c r="X65" s="7">
        <f t="shared" si="26"/>
        <v>3480.8199999999997</v>
      </c>
      <c r="Y65" s="2"/>
      <c r="Z65" s="6">
        <f t="shared" si="27"/>
        <v>0.64047472284833706</v>
      </c>
    </row>
    <row r="66" spans="1:26" s="27" customFormat="1" outlineLevel="1" collapsed="1" x14ac:dyDescent="0.25">
      <c r="A66" s="28"/>
      <c r="B66" s="14" t="str">
        <f>CONCATENATE("     ","Advertising/Promo                                 ")</f>
        <v xml:space="preserve">     Advertising/Promo                                 </v>
      </c>
      <c r="C66" s="14"/>
      <c r="D66" s="1">
        <f>SUM(OSRRefD22_2x_0)</f>
        <v>0</v>
      </c>
      <c r="E66" s="1"/>
      <c r="F66" s="5">
        <f t="shared" ref="F66:F70" si="28">IF(D$12=0,0,D66/D$12)</f>
        <v>0</v>
      </c>
      <c r="G66" s="1"/>
      <c r="H66" s="1">
        <f>SUM(OSRRefH22_2x_0)</f>
        <v>45.86</v>
      </c>
      <c r="I66" s="1"/>
      <c r="J66" s="5">
        <f t="shared" ref="J66:J70" si="29">IF(H$12=0,0,H66/H$12)</f>
        <v>5.8423694082021212E-4</v>
      </c>
      <c r="K66" s="1"/>
      <c r="L66" s="1">
        <f t="shared" ref="L66:L70" si="30">+D66-H66</f>
        <v>-45.86</v>
      </c>
      <c r="M66" s="1"/>
      <c r="N66" s="5">
        <f t="shared" ref="N66:N70" si="31">IF(H66=0,0,L66/H66)</f>
        <v>-1</v>
      </c>
      <c r="O66" s="14"/>
      <c r="P66" s="1">
        <f>SUM(OSRRefP22_2x_0)</f>
        <v>0</v>
      </c>
      <c r="Q66" s="1"/>
      <c r="R66" s="5">
        <f t="shared" ref="R66:R70" si="32">IF(P$12=0,0,P66/P$12)</f>
        <v>0</v>
      </c>
      <c r="S66" s="1"/>
      <c r="T66" s="1">
        <f>SUM(OSRRefT22_2x_0)</f>
        <v>45.86</v>
      </c>
      <c r="U66" s="1"/>
      <c r="V66" s="5">
        <f t="shared" ref="V66:V70" si="33">IF(T$12=0,0,T66/T$12)</f>
        <v>4.8464266110881101E-4</v>
      </c>
      <c r="W66" s="1"/>
      <c r="X66" s="1">
        <f t="shared" ref="X66:X70" si="34">+P66-T66</f>
        <v>-45.86</v>
      </c>
      <c r="Y66" s="1"/>
      <c r="Z66" s="5">
        <f t="shared" ref="Z66:Z70" si="35">IF(T66=0,0,X66/T66)</f>
        <v>-1</v>
      </c>
    </row>
    <row r="67" spans="1:26" s="24" customFormat="1" hidden="1" outlineLevel="2" x14ac:dyDescent="0.25">
      <c r="A67" s="29"/>
      <c r="B67" s="11" t="str">
        <f>CONCATENATE("          ", "6362", " - ", "ADVERTISING EXPENSE")</f>
        <v xml:space="preserve">          6362 - ADVERTISING EXPENSE</v>
      </c>
      <c r="C67" s="11"/>
      <c r="D67" s="7"/>
      <c r="E67" s="2"/>
      <c r="F67" s="6">
        <f t="shared" si="28"/>
        <v>0</v>
      </c>
      <c r="G67" s="2"/>
      <c r="H67" s="7">
        <v>45.86</v>
      </c>
      <c r="I67" s="2"/>
      <c r="J67" s="6">
        <f t="shared" si="29"/>
        <v>5.8423694082021212E-4</v>
      </c>
      <c r="K67" s="2"/>
      <c r="L67" s="7">
        <f t="shared" si="30"/>
        <v>-45.86</v>
      </c>
      <c r="M67" s="2"/>
      <c r="N67" s="6">
        <f t="shared" si="31"/>
        <v>-1</v>
      </c>
      <c r="O67" s="11"/>
      <c r="P67" s="7"/>
      <c r="Q67" s="2"/>
      <c r="R67" s="6">
        <f t="shared" si="32"/>
        <v>0</v>
      </c>
      <c r="S67" s="2"/>
      <c r="T67" s="7">
        <v>45.86</v>
      </c>
      <c r="U67" s="2"/>
      <c r="V67" s="6">
        <f t="shared" si="33"/>
        <v>4.8464266110881101E-4</v>
      </c>
      <c r="W67" s="2"/>
      <c r="X67" s="7">
        <f t="shared" si="34"/>
        <v>-45.86</v>
      </c>
      <c r="Y67" s="2"/>
      <c r="Z67" s="6">
        <f t="shared" si="35"/>
        <v>-1</v>
      </c>
    </row>
    <row r="68" spans="1:26" s="27" customFormat="1" outlineLevel="1" collapsed="1" x14ac:dyDescent="0.25">
      <c r="A68" s="28"/>
      <c r="B68" s="14" t="str">
        <f>CONCATENATE("     ","Discounts and Markdowns                           ")</f>
        <v xml:space="preserve">     Discounts and Markdowns                           </v>
      </c>
      <c r="C68" s="14"/>
      <c r="D68" s="1">
        <f>SUM(OSRRefD22_3x_0)</f>
        <v>905.36</v>
      </c>
      <c r="E68" s="1"/>
      <c r="F68" s="5">
        <f t="shared" si="28"/>
        <v>1.1306709481033577E-2</v>
      </c>
      <c r="G68" s="1"/>
      <c r="H68" s="1">
        <f>SUM(OSRRefH22_3x_0)</f>
        <v>2146.83</v>
      </c>
      <c r="I68" s="1"/>
      <c r="J68" s="5">
        <f t="shared" si="29"/>
        <v>2.7349703263433403E-2</v>
      </c>
      <c r="K68" s="1"/>
      <c r="L68" s="1">
        <f t="shared" si="30"/>
        <v>-1241.4699999999998</v>
      </c>
      <c r="M68" s="1"/>
      <c r="N68" s="5">
        <f t="shared" si="31"/>
        <v>-0.57828053455560047</v>
      </c>
      <c r="O68" s="14"/>
      <c r="P68" s="1">
        <f>SUM(OSRRefP22_3x_0)</f>
        <v>3060.47</v>
      </c>
      <c r="Q68" s="1"/>
      <c r="R68" s="5">
        <f t="shared" si="32"/>
        <v>3.1742467481672844E-2</v>
      </c>
      <c r="S68" s="1"/>
      <c r="T68" s="1">
        <f>SUM(OSRRefT22_3x_0)</f>
        <v>3971.23</v>
      </c>
      <c r="U68" s="1"/>
      <c r="V68" s="5">
        <f t="shared" si="33"/>
        <v>4.1967454755236451E-2</v>
      </c>
      <c r="W68" s="1"/>
      <c r="X68" s="1">
        <f t="shared" si="34"/>
        <v>-910.76000000000022</v>
      </c>
      <c r="Y68" s="1"/>
      <c r="Z68" s="5">
        <f t="shared" si="35"/>
        <v>-0.22933952453018339</v>
      </c>
    </row>
    <row r="69" spans="1:26" s="24" customFormat="1" hidden="1" outlineLevel="2" x14ac:dyDescent="0.25">
      <c r="A69" s="29"/>
      <c r="B69" s="11" t="str">
        <f>CONCATENATE("          ", "6382", " - ", "DISCOUNTS/MARK DOWNS")</f>
        <v xml:space="preserve">          6382 - DISCOUNTS/MARK DOWNS</v>
      </c>
      <c r="C69" s="11"/>
      <c r="D69" s="7">
        <v>960.16</v>
      </c>
      <c r="E69" s="2"/>
      <c r="F69" s="6">
        <f t="shared" si="28"/>
        <v>1.1991086612296985E-2</v>
      </c>
      <c r="G69" s="2"/>
      <c r="H69" s="7">
        <v>2146.83</v>
      </c>
      <c r="I69" s="2"/>
      <c r="J69" s="6">
        <f t="shared" si="29"/>
        <v>2.7349703263433403E-2</v>
      </c>
      <c r="K69" s="2"/>
      <c r="L69" s="7">
        <f t="shared" si="30"/>
        <v>-1186.67</v>
      </c>
      <c r="M69" s="2"/>
      <c r="N69" s="6">
        <f t="shared" si="31"/>
        <v>-0.55275452644131118</v>
      </c>
      <c r="O69" s="11"/>
      <c r="P69" s="7">
        <v>3115.27</v>
      </c>
      <c r="Q69" s="2"/>
      <c r="R69" s="6">
        <f t="shared" si="32"/>
        <v>3.2310840057779025E-2</v>
      </c>
      <c r="S69" s="2"/>
      <c r="T69" s="7">
        <v>3971.23</v>
      </c>
      <c r="U69" s="2"/>
      <c r="V69" s="6">
        <f t="shared" si="33"/>
        <v>4.1967454755236451E-2</v>
      </c>
      <c r="W69" s="2"/>
      <c r="X69" s="7">
        <f t="shared" si="34"/>
        <v>-855.96</v>
      </c>
      <c r="Y69" s="2"/>
      <c r="Z69" s="6">
        <f t="shared" si="35"/>
        <v>-0.21554027341654852</v>
      </c>
    </row>
    <row r="70" spans="1:26" s="24" customFormat="1" hidden="1" outlineLevel="2" x14ac:dyDescent="0.25">
      <c r="A70" s="29"/>
      <c r="B70" s="11" t="str">
        <f>CONCATENATE("          ", "9175", " - ", "EARNED DISCOUNTS")</f>
        <v xml:space="preserve">          9175 - EARNED DISCOUNTS</v>
      </c>
      <c r="C70" s="11"/>
      <c r="D70" s="7">
        <v>-54.8</v>
      </c>
      <c r="E70" s="2"/>
      <c r="F70" s="6">
        <f t="shared" si="28"/>
        <v>-6.8437713126340901E-4</v>
      </c>
      <c r="G70" s="2"/>
      <c r="H70" s="7"/>
      <c r="I70" s="2"/>
      <c r="J70" s="6">
        <f t="shared" si="29"/>
        <v>0</v>
      </c>
      <c r="K70" s="2"/>
      <c r="L70" s="7">
        <f t="shared" si="30"/>
        <v>-54.8</v>
      </c>
      <c r="M70" s="2"/>
      <c r="N70" s="6">
        <f t="shared" si="31"/>
        <v>0</v>
      </c>
      <c r="O70" s="11"/>
      <c r="P70" s="7">
        <v>-54.8</v>
      </c>
      <c r="Q70" s="2"/>
      <c r="R70" s="6">
        <f t="shared" si="32"/>
        <v>-5.6837257610617713E-4</v>
      </c>
      <c r="S70" s="2"/>
      <c r="T70" s="7"/>
      <c r="U70" s="2"/>
      <c r="V70" s="6">
        <f t="shared" si="33"/>
        <v>0</v>
      </c>
      <c r="W70" s="2"/>
      <c r="X70" s="7">
        <f t="shared" si="34"/>
        <v>-54.8</v>
      </c>
      <c r="Y70" s="2"/>
      <c r="Z70" s="6">
        <f t="shared" si="35"/>
        <v>0</v>
      </c>
    </row>
    <row r="71" spans="1:26" s="27" customFormat="1" outlineLevel="1" collapsed="1" x14ac:dyDescent="0.25">
      <c r="A71" s="28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SUM(OSRRefD22_4x_0)</f>
        <v>120</v>
      </c>
      <c r="E71" s="1"/>
      <c r="F71" s="5">
        <f t="shared" ref="F71:F75" si="36">IF(D$12=0,0,D71/D$12)</f>
        <v>1.4986360538614795E-3</v>
      </c>
      <c r="G71" s="1"/>
      <c r="H71" s="1">
        <f>SUM(OSRRefH22_4x_0)</f>
        <v>0</v>
      </c>
      <c r="I71" s="1"/>
      <c r="J71" s="5">
        <f t="shared" ref="J71:J75" si="37">IF(H$12=0,0,H71/H$12)</f>
        <v>0</v>
      </c>
      <c r="K71" s="1"/>
      <c r="L71" s="1">
        <f t="shared" ref="L71:L75" si="38">+D71-H71</f>
        <v>120</v>
      </c>
      <c r="M71" s="1"/>
      <c r="N71" s="5">
        <f t="shared" ref="N71:N75" si="39">IF(H71=0,0,L71/H71)</f>
        <v>0</v>
      </c>
      <c r="O71" s="14"/>
      <c r="P71" s="1">
        <f>SUM(OSRRefP22_4x_0)</f>
        <v>120</v>
      </c>
      <c r="Q71" s="1"/>
      <c r="R71" s="5">
        <f t="shared" ref="R71:R75" si="40">IF(P$12=0,0,P71/P$12)</f>
        <v>1.2446114805244755E-3</v>
      </c>
      <c r="S71" s="1"/>
      <c r="T71" s="1">
        <f>SUM(OSRRefT22_4x_0)</f>
        <v>0</v>
      </c>
      <c r="U71" s="1"/>
      <c r="V71" s="5">
        <f t="shared" ref="V71:V75" si="41">IF(T$12=0,0,T71/T$12)</f>
        <v>0</v>
      </c>
      <c r="W71" s="1"/>
      <c r="X71" s="1">
        <f t="shared" ref="X71:X75" si="42">+P71-T71</f>
        <v>120</v>
      </c>
      <c r="Y71" s="1"/>
      <c r="Z71" s="5">
        <f t="shared" ref="Z71:Z75" si="43">IF(T71=0,0,X71/T71)</f>
        <v>0</v>
      </c>
    </row>
    <row r="72" spans="1:26" s="24" customFormat="1" hidden="1" outlineLevel="2" x14ac:dyDescent="0.25">
      <c r="A72" s="29"/>
      <c r="B72" s="11" t="str">
        <f>CONCATENATE("          ", "6258", " - ", "MEMBERSHIP DUES")</f>
        <v xml:space="preserve">          6258 - MEMBERSHIP DUES</v>
      </c>
      <c r="C72" s="11"/>
      <c r="D72" s="7">
        <v>120</v>
      </c>
      <c r="E72" s="2"/>
      <c r="F72" s="6">
        <f t="shared" si="36"/>
        <v>1.4986360538614795E-3</v>
      </c>
      <c r="G72" s="2"/>
      <c r="H72" s="7"/>
      <c r="I72" s="2"/>
      <c r="J72" s="6">
        <f t="shared" si="37"/>
        <v>0</v>
      </c>
      <c r="K72" s="2"/>
      <c r="L72" s="7">
        <f t="shared" si="38"/>
        <v>120</v>
      </c>
      <c r="M72" s="2"/>
      <c r="N72" s="6">
        <f t="shared" si="39"/>
        <v>0</v>
      </c>
      <c r="O72" s="11"/>
      <c r="P72" s="7">
        <v>120</v>
      </c>
      <c r="Q72" s="2"/>
      <c r="R72" s="6">
        <f t="shared" si="40"/>
        <v>1.2446114805244755E-3</v>
      </c>
      <c r="S72" s="2"/>
      <c r="T72" s="7"/>
      <c r="U72" s="2"/>
      <c r="V72" s="6">
        <f t="shared" si="41"/>
        <v>0</v>
      </c>
      <c r="W72" s="2"/>
      <c r="X72" s="7">
        <f t="shared" si="42"/>
        <v>120</v>
      </c>
      <c r="Y72" s="2"/>
      <c r="Z72" s="6">
        <f t="shared" si="43"/>
        <v>0</v>
      </c>
    </row>
    <row r="73" spans="1:26" s="27" customFormat="1" outlineLevel="1" collapsed="1" x14ac:dyDescent="0.25">
      <c r="A73" s="28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SUM(OSRRefD22_5x_0)</f>
        <v>41.87</v>
      </c>
      <c r="E73" s="1"/>
      <c r="F73" s="5">
        <f t="shared" si="36"/>
        <v>5.2289909645983454E-4</v>
      </c>
      <c r="G73" s="1"/>
      <c r="H73" s="1">
        <f>SUM(OSRRefH22_5x_0)</f>
        <v>131.65</v>
      </c>
      <c r="I73" s="1"/>
      <c r="J73" s="5">
        <f t="shared" si="37"/>
        <v>1.6771651386607266E-3</v>
      </c>
      <c r="K73" s="1"/>
      <c r="L73" s="1">
        <f t="shared" si="38"/>
        <v>-89.78</v>
      </c>
      <c r="M73" s="1"/>
      <c r="N73" s="5">
        <f t="shared" si="39"/>
        <v>-0.68195974173946072</v>
      </c>
      <c r="O73" s="14"/>
      <c r="P73" s="1">
        <f>SUM(OSRRefP22_5x_0)</f>
        <v>198.33</v>
      </c>
      <c r="Q73" s="1"/>
      <c r="R73" s="5">
        <f t="shared" si="40"/>
        <v>2.0570316244368269E-3</v>
      </c>
      <c r="S73" s="1"/>
      <c r="T73" s="1">
        <f>SUM(OSRRefT22_5x_0)</f>
        <v>131.65</v>
      </c>
      <c r="U73" s="1"/>
      <c r="V73" s="5">
        <f t="shared" si="41"/>
        <v>1.3912604957473827E-3</v>
      </c>
      <c r="W73" s="1"/>
      <c r="X73" s="1">
        <f t="shared" si="42"/>
        <v>66.680000000000007</v>
      </c>
      <c r="Y73" s="1"/>
      <c r="Z73" s="5">
        <f t="shared" si="43"/>
        <v>0.50649449297379423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7">
        <v>41.87</v>
      </c>
      <c r="E74" s="2"/>
      <c r="F74" s="6">
        <f t="shared" si="36"/>
        <v>5.2289909645983454E-4</v>
      </c>
      <c r="G74" s="2"/>
      <c r="H74" s="7">
        <v>128.12</v>
      </c>
      <c r="I74" s="2"/>
      <c r="J74" s="6">
        <f t="shared" si="37"/>
        <v>1.6321944364999035E-3</v>
      </c>
      <c r="K74" s="2"/>
      <c r="L74" s="7">
        <f t="shared" si="38"/>
        <v>-86.25</v>
      </c>
      <c r="M74" s="2"/>
      <c r="N74" s="6">
        <f t="shared" si="39"/>
        <v>-0.67319700280986572</v>
      </c>
      <c r="O74" s="11"/>
      <c r="P74" s="7">
        <v>198.33</v>
      </c>
      <c r="Q74" s="2"/>
      <c r="R74" s="6">
        <f t="shared" si="40"/>
        <v>2.0570316244368269E-3</v>
      </c>
      <c r="S74" s="2"/>
      <c r="T74" s="7">
        <v>128.12</v>
      </c>
      <c r="U74" s="2"/>
      <c r="V74" s="6">
        <f t="shared" si="41"/>
        <v>1.3539559036472059E-3</v>
      </c>
      <c r="W74" s="2"/>
      <c r="X74" s="7">
        <f t="shared" si="42"/>
        <v>70.210000000000008</v>
      </c>
      <c r="Y74" s="2"/>
      <c r="Z74" s="6">
        <f t="shared" si="43"/>
        <v>0.54800187324383398</v>
      </c>
    </row>
    <row r="75" spans="1:26" s="24" customFormat="1" hidden="1" outlineLevel="2" x14ac:dyDescent="0.25">
      <c r="A75" s="29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36"/>
        <v>0</v>
      </c>
      <c r="G75" s="2"/>
      <c r="H75" s="7">
        <v>3.53</v>
      </c>
      <c r="I75" s="2"/>
      <c r="J75" s="6">
        <f t="shared" si="37"/>
        <v>4.4970702160823129E-5</v>
      </c>
      <c r="K75" s="2"/>
      <c r="L75" s="7">
        <f t="shared" si="38"/>
        <v>-3.53</v>
      </c>
      <c r="M75" s="2"/>
      <c r="N75" s="6">
        <f t="shared" si="39"/>
        <v>-1</v>
      </c>
      <c r="O75" s="11"/>
      <c r="P75" s="7"/>
      <c r="Q75" s="2"/>
      <c r="R75" s="6">
        <f t="shared" si="40"/>
        <v>0</v>
      </c>
      <c r="S75" s="2"/>
      <c r="T75" s="7">
        <v>3.53</v>
      </c>
      <c r="U75" s="2"/>
      <c r="V75" s="6">
        <f t="shared" si="41"/>
        <v>3.7304592100176683E-5</v>
      </c>
      <c r="W75" s="2"/>
      <c r="X75" s="7">
        <f t="shared" si="42"/>
        <v>-3.53</v>
      </c>
      <c r="Y75" s="2"/>
      <c r="Z75" s="6">
        <f t="shared" si="43"/>
        <v>-1</v>
      </c>
    </row>
    <row r="76" spans="1:26" s="27" customFormat="1" outlineLevel="1" collapsed="1" x14ac:dyDescent="0.25">
      <c r="A76" s="28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SUM(OSRRefD22_6x_0)</f>
        <v>0</v>
      </c>
      <c r="E76" s="1"/>
      <c r="F76" s="5">
        <f t="shared" ref="F76:F77" si="44">IF(D$12=0,0,D76/D$12)</f>
        <v>0</v>
      </c>
      <c r="G76" s="1"/>
      <c r="H76" s="1">
        <f>SUM(OSRRefH22_6x_0)</f>
        <v>40</v>
      </c>
      <c r="I76" s="1"/>
      <c r="J76" s="5">
        <f t="shared" ref="J76:J77" si="45">IF(H$12=0,0,H76/H$12)</f>
        <v>5.0958302731810912E-4</v>
      </c>
      <c r="K76" s="1"/>
      <c r="L76" s="1">
        <f t="shared" ref="L76:L77" si="46">+D76-H76</f>
        <v>-40</v>
      </c>
      <c r="M76" s="1"/>
      <c r="N76" s="5">
        <f t="shared" ref="N76:N77" si="47">IF(H76=0,0,L76/H76)</f>
        <v>-1</v>
      </c>
      <c r="O76" s="14"/>
      <c r="P76" s="1">
        <f>SUM(OSRRefP22_6x_0)</f>
        <v>0</v>
      </c>
      <c r="Q76" s="1"/>
      <c r="R76" s="5">
        <f t="shared" ref="R76:R77" si="48">IF(P$12=0,0,P76/P$12)</f>
        <v>0</v>
      </c>
      <c r="S76" s="1"/>
      <c r="T76" s="1">
        <f>SUM(OSRRefT22_6x_0)</f>
        <v>120</v>
      </c>
      <c r="U76" s="1"/>
      <c r="V76" s="5">
        <f t="shared" ref="V76:V77" si="49">IF(T$12=0,0,T76/T$12)</f>
        <v>1.2681447739436834E-3</v>
      </c>
      <c r="W76" s="1"/>
      <c r="X76" s="1">
        <f t="shared" ref="X76:X77" si="50">+P76-T76</f>
        <v>-120</v>
      </c>
      <c r="Y76" s="1"/>
      <c r="Z76" s="5">
        <f t="shared" ref="Z76:Z77" si="51">IF(T76=0,0,X76/T76)</f>
        <v>-1</v>
      </c>
    </row>
    <row r="77" spans="1:26" s="24" customFormat="1" hidden="1" outlineLevel="2" x14ac:dyDescent="0.25">
      <c r="A77" s="29"/>
      <c r="B77" s="11" t="str">
        <f>CONCATENATE("          ", "6309", " - ", "TELEPHONE")</f>
        <v xml:space="preserve">          6309 - TELEPHONE</v>
      </c>
      <c r="C77" s="11"/>
      <c r="D77" s="7"/>
      <c r="E77" s="2"/>
      <c r="F77" s="6">
        <f t="shared" si="44"/>
        <v>0</v>
      </c>
      <c r="G77" s="2"/>
      <c r="H77" s="7">
        <v>40</v>
      </c>
      <c r="I77" s="2"/>
      <c r="J77" s="6">
        <f t="shared" si="45"/>
        <v>5.0958302731810912E-4</v>
      </c>
      <c r="K77" s="2"/>
      <c r="L77" s="7">
        <f t="shared" si="46"/>
        <v>-40</v>
      </c>
      <c r="M77" s="2"/>
      <c r="N77" s="6">
        <f t="shared" si="47"/>
        <v>-1</v>
      </c>
      <c r="O77" s="11"/>
      <c r="P77" s="7"/>
      <c r="Q77" s="2"/>
      <c r="R77" s="6">
        <f t="shared" si="48"/>
        <v>0</v>
      </c>
      <c r="S77" s="2"/>
      <c r="T77" s="7">
        <v>120</v>
      </c>
      <c r="U77" s="2"/>
      <c r="V77" s="6">
        <f t="shared" si="49"/>
        <v>1.2681447739436834E-3</v>
      </c>
      <c r="W77" s="2"/>
      <c r="X77" s="7">
        <f t="shared" si="50"/>
        <v>-120</v>
      </c>
      <c r="Y77" s="2"/>
      <c r="Z77" s="6">
        <f t="shared" si="51"/>
        <v>-1</v>
      </c>
    </row>
    <row r="78" spans="1:26" s="62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5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6" t="s">
        <v>3</v>
      </c>
      <c r="C81" s="26"/>
      <c r="D81" s="20">
        <f>+D51-D53+D79</f>
        <v>35300.179999999986</v>
      </c>
      <c r="E81" s="13"/>
      <c r="F81" s="19">
        <f>IF(D$12=0,0,D81/D$12)</f>
        <v>0.44085102046499919</v>
      </c>
      <c r="G81" s="13"/>
      <c r="H81" s="20">
        <f>+H51-H53+H79</f>
        <v>29374.22</v>
      </c>
      <c r="I81" s="13"/>
      <c r="J81" s="19">
        <f>IF(H$12=0,0,H81/H$12)</f>
        <v>0.37421509881770371</v>
      </c>
      <c r="K81" s="15"/>
      <c r="L81" s="20">
        <f>+D81-H81</f>
        <v>5925.9599999999846</v>
      </c>
      <c r="M81" s="15"/>
      <c r="N81" s="19">
        <f>IF(H81=0,0,L81/H81)</f>
        <v>0.20174016535587955</v>
      </c>
      <c r="O81" s="25"/>
      <c r="P81" s="20">
        <f>+P51-P53+P79</f>
        <v>31318.65999999996</v>
      </c>
      <c r="Q81" s="13"/>
      <c r="R81" s="19">
        <f>IF(P$12=0,0,P81/P$12)</f>
        <v>0.32482969825535513</v>
      </c>
      <c r="S81" s="13"/>
      <c r="T81" s="20">
        <f>+T51-T53+T79</f>
        <v>28071.189999999962</v>
      </c>
      <c r="U81" s="13"/>
      <c r="V81" s="19">
        <f>IF(T$12=0,0,T81/T$12)</f>
        <v>0.29665277414066782</v>
      </c>
      <c r="W81" s="15"/>
      <c r="X81" s="20">
        <f>+P81-T81</f>
        <v>3247.4699999999975</v>
      </c>
      <c r="Y81" s="15"/>
      <c r="Z81" s="19">
        <f>IF(T81=0,0,X81/T81)</f>
        <v>0.11568693739025677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1"/>
      <c r="B83" s="10" t="s">
        <v>13</v>
      </c>
      <c r="C83" s="10"/>
      <c r="D83" s="4">
        <v>8623.1200000000008</v>
      </c>
      <c r="E83" s="4"/>
      <c r="F83" s="12">
        <f>IF(D$12=0,0,D83/D$12)</f>
        <v>0.10769098773978336</v>
      </c>
      <c r="G83" s="4"/>
      <c r="H83" s="4">
        <v>6349.23</v>
      </c>
      <c r="I83" s="4"/>
      <c r="J83" s="12">
        <f>IF(H$12=0,0,H83/H$12)</f>
        <v>8.0886496113473941E-2</v>
      </c>
      <c r="K83" s="4"/>
      <c r="L83" s="4">
        <f>+D83-H83</f>
        <v>2273.8900000000012</v>
      </c>
      <c r="M83" s="4"/>
      <c r="N83" s="12">
        <f>IF(H83=0,0,L83/H83)</f>
        <v>0.3581363409421302</v>
      </c>
      <c r="O83" s="10"/>
      <c r="P83" s="4">
        <v>12021.27</v>
      </c>
      <c r="Q83" s="4"/>
      <c r="R83" s="12">
        <f>IF(P$12=0,0,P83/P$12)</f>
        <v>0.12468175543737051</v>
      </c>
      <c r="S83" s="4"/>
      <c r="T83" s="4">
        <v>9660.91</v>
      </c>
      <c r="U83" s="4"/>
      <c r="V83" s="12">
        <f>IF(T$12=0,0,T83/T$12)</f>
        <v>0.10209527106700225</v>
      </c>
      <c r="W83" s="4"/>
      <c r="X83" s="4">
        <f>+P83-T83</f>
        <v>2360.3600000000006</v>
      </c>
      <c r="Y83" s="4"/>
      <c r="Z83" s="12">
        <f>IF(T83=0,0,X83/T83)</f>
        <v>0.24432066958495635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4</v>
      </c>
      <c r="C85" s="26"/>
      <c r="D85" s="31">
        <f>+D81-D83</f>
        <v>26677.059999999983</v>
      </c>
      <c r="E85" s="13"/>
      <c r="F85" s="36">
        <f>IF(D$12=0,0,D85/D$12)</f>
        <v>0.33316003272521583</v>
      </c>
      <c r="G85" s="13"/>
      <c r="H85" s="31">
        <f>+H81-H83</f>
        <v>23024.99</v>
      </c>
      <c r="I85" s="13"/>
      <c r="J85" s="36">
        <f>IF(H$12=0,0,H85/H$12)</f>
        <v>0.29332860270422972</v>
      </c>
      <c r="K85" s="15"/>
      <c r="L85" s="31">
        <f>D85-H85</f>
        <v>3652.0699999999815</v>
      </c>
      <c r="M85" s="15"/>
      <c r="N85" s="36">
        <f>IF(H85=0,0,L85/H85)</f>
        <v>0.1586133153586595</v>
      </c>
      <c r="O85" s="25"/>
      <c r="P85" s="31">
        <f>+P81-P83</f>
        <v>19297.389999999959</v>
      </c>
      <c r="Q85" s="13"/>
      <c r="R85" s="36">
        <f>IF(P$12=0,0,P85/P$12)</f>
        <v>0.20014794281798465</v>
      </c>
      <c r="S85" s="13"/>
      <c r="T85" s="31">
        <f>+T81-T83</f>
        <v>18410.279999999962</v>
      </c>
      <c r="U85" s="13"/>
      <c r="V85" s="36">
        <f>IF(T$12=0,0,T85/T$12)</f>
        <v>0.19455750307366557</v>
      </c>
      <c r="W85" s="15"/>
      <c r="X85" s="31">
        <f>P85-T85</f>
        <v>887.10999999999694</v>
      </c>
      <c r="Y85" s="15"/>
      <c r="Z85" s="36">
        <f>IF(T85=0,0,X85/T85)</f>
        <v>4.8185578926556186E-2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5</v>
      </c>
      <c r="C88" s="26"/>
      <c r="D88" s="32">
        <f>SUM(D85:D87)</f>
        <v>26677.059999999983</v>
      </c>
      <c r="E88" s="13"/>
      <c r="F88" s="30">
        <f>IF(D$12=0,0,D88/D$12)</f>
        <v>0.33316003272521583</v>
      </c>
      <c r="G88" s="13"/>
      <c r="H88" s="32">
        <f>SUM(H85:H87)</f>
        <v>23024.99</v>
      </c>
      <c r="I88" s="13"/>
      <c r="J88" s="30">
        <f>IF(H$12=0,0,H88/H$12)</f>
        <v>0.29332860270422972</v>
      </c>
      <c r="K88" s="15"/>
      <c r="L88" s="32">
        <f>+D88-H88</f>
        <v>3652.0699999999815</v>
      </c>
      <c r="M88" s="15"/>
      <c r="N88" s="30">
        <f>IF(H88=0,0,L88/H88)</f>
        <v>0.1586133153586595</v>
      </c>
      <c r="O88" s="25"/>
      <c r="P88" s="32">
        <f>SUM(P85:P87)</f>
        <v>19297.389999999959</v>
      </c>
      <c r="Q88" s="13"/>
      <c r="R88" s="30">
        <f>IF(P$12=0,0,P88/P$12)</f>
        <v>0.20014794281798465</v>
      </c>
      <c r="S88" s="13"/>
      <c r="T88" s="32">
        <f>SUM(T85:T87)</f>
        <v>18410.279999999962</v>
      </c>
      <c r="U88" s="13"/>
      <c r="V88" s="30">
        <f>IF(T$12=0,0,T88/T$12)</f>
        <v>0.19455750307366557</v>
      </c>
      <c r="W88" s="15"/>
      <c r="X88" s="32">
        <f>+P88-T88</f>
        <v>887.10999999999694</v>
      </c>
      <c r="Y88" s="15"/>
      <c r="Z88" s="30">
        <f>IF(T88=0,0,X88/T88)</f>
        <v>4.8185578926556186E-2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7">
        <v>43732.709730289353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0" t="s">
        <v>313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6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2149682.370000001</v>
      </c>
      <c r="E12" s="4"/>
      <c r="F12" s="12"/>
      <c r="G12" s="4"/>
      <c r="H12" s="4">
        <f>SUM(OSRRefH13x_0)</f>
        <v>2527572.89</v>
      </c>
      <c r="I12" s="4"/>
      <c r="J12" s="12"/>
      <c r="K12" s="4"/>
      <c r="L12" s="4">
        <f t="shared" ref="L12:L36" si="0">+D12-H12</f>
        <v>-377890.51999999909</v>
      </c>
      <c r="M12" s="4"/>
      <c r="N12" s="12">
        <f t="shared" ref="N12:N36" si="1">IF(H12=0,0,L12/H12)</f>
        <v>-0.1495072690069876</v>
      </c>
      <c r="O12" s="10"/>
      <c r="P12" s="4">
        <f>SUM(OSRRefP13x_0)</f>
        <v>2241815.5700000003</v>
      </c>
      <c r="Q12" s="4"/>
      <c r="R12" s="12"/>
      <c r="S12" s="4"/>
      <c r="T12" s="4">
        <f>SUM(OSRRefT13x_0)</f>
        <v>2665949.1300000004</v>
      </c>
      <c r="U12" s="4"/>
      <c r="V12" s="12"/>
      <c r="W12" s="4"/>
      <c r="X12" s="4">
        <f t="shared" ref="X12:X36" si="2">+P12-T12</f>
        <v>-424133.56000000006</v>
      </c>
      <c r="Y12" s="4"/>
      <c r="Z12" s="12">
        <f t="shared" ref="Z12:Z36" si="3">IF(T12=0,0,X12/T12)</f>
        <v>-0.15909289311908215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--1090909.72</f>
        <v>1090909.72</v>
      </c>
      <c r="E13" s="2"/>
      <c r="F13" s="21"/>
      <c r="G13" s="2"/>
      <c r="H13" s="2">
        <f>--1329973.05</f>
        <v>1329973.05</v>
      </c>
      <c r="I13" s="2"/>
      <c r="J13" s="21"/>
      <c r="K13" s="2"/>
      <c r="L13" s="2">
        <f t="shared" si="0"/>
        <v>-239063.33000000007</v>
      </c>
      <c r="M13" s="2"/>
      <c r="N13" s="21">
        <f t="shared" si="1"/>
        <v>-0.17975050697455866</v>
      </c>
      <c r="O13" s="11"/>
      <c r="P13" s="2">
        <f>--1127221.97</f>
        <v>1127221.97</v>
      </c>
      <c r="Q13" s="2"/>
      <c r="R13" s="21"/>
      <c r="S13" s="2"/>
      <c r="T13" s="2">
        <f>--1403237.68</f>
        <v>1403237.68</v>
      </c>
      <c r="U13" s="2"/>
      <c r="V13" s="21"/>
      <c r="W13" s="2"/>
      <c r="X13" s="2">
        <f t="shared" si="2"/>
        <v>-276015.70999999996</v>
      </c>
      <c r="Y13" s="2"/>
      <c r="Z13" s="21">
        <f t="shared" si="3"/>
        <v>-0.1966991864129532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--533666.11</f>
        <v>533666.11</v>
      </c>
      <c r="E14" s="2"/>
      <c r="F14" s="21"/>
      <c r="G14" s="2"/>
      <c r="H14" s="2">
        <f>--590742.61</f>
        <v>590742.61</v>
      </c>
      <c r="I14" s="2"/>
      <c r="J14" s="21"/>
      <c r="K14" s="2"/>
      <c r="L14" s="2">
        <f t="shared" si="0"/>
        <v>-57076.5</v>
      </c>
      <c r="M14" s="2"/>
      <c r="N14" s="21">
        <f t="shared" si="1"/>
        <v>-9.661822092027525E-2</v>
      </c>
      <c r="O14" s="11"/>
      <c r="P14" s="2">
        <f>--555460.92</f>
        <v>555460.92000000004</v>
      </c>
      <c r="Q14" s="2"/>
      <c r="R14" s="21"/>
      <c r="S14" s="2"/>
      <c r="T14" s="2">
        <f>--617324.19</f>
        <v>617324.18999999994</v>
      </c>
      <c r="U14" s="2"/>
      <c r="V14" s="21"/>
      <c r="W14" s="2"/>
      <c r="X14" s="2">
        <f t="shared" si="2"/>
        <v>-61863.269999999902</v>
      </c>
      <c r="Y14" s="2"/>
      <c r="Z14" s="21">
        <f t="shared" si="3"/>
        <v>-0.10021196480248069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--12302.07</f>
        <v>12302.07</v>
      </c>
      <c r="E15" s="2"/>
      <c r="F15" s="21"/>
      <c r="G15" s="2"/>
      <c r="H15" s="2">
        <f>--5041.8</f>
        <v>5041.8</v>
      </c>
      <c r="I15" s="2"/>
      <c r="J15" s="21"/>
      <c r="K15" s="2"/>
      <c r="L15" s="2">
        <f t="shared" si="0"/>
        <v>7260.2699999999995</v>
      </c>
      <c r="M15" s="2"/>
      <c r="N15" s="21">
        <f t="shared" si="1"/>
        <v>1.4400154706652384</v>
      </c>
      <c r="O15" s="11"/>
      <c r="P15" s="2">
        <f>--12736.05</f>
        <v>12736.05</v>
      </c>
      <c r="Q15" s="2"/>
      <c r="R15" s="21"/>
      <c r="S15" s="2"/>
      <c r="T15" s="2">
        <f>--5525.8</f>
        <v>5525.8</v>
      </c>
      <c r="U15" s="2"/>
      <c r="V15" s="21"/>
      <c r="W15" s="2"/>
      <c r="X15" s="2">
        <f t="shared" si="2"/>
        <v>7210.2499999999991</v>
      </c>
      <c r="Y15" s="2"/>
      <c r="Z15" s="21">
        <f t="shared" si="3"/>
        <v>1.3048336892395669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--22276.72</f>
        <v>22276.720000000001</v>
      </c>
      <c r="E16" s="2"/>
      <c r="F16" s="21"/>
      <c r="G16" s="2"/>
      <c r="H16" s="2">
        <f>--37220.14</f>
        <v>37220.14</v>
      </c>
      <c r="I16" s="2"/>
      <c r="J16" s="21"/>
      <c r="K16" s="2"/>
      <c r="L16" s="2">
        <f t="shared" si="0"/>
        <v>-14943.419999999998</v>
      </c>
      <c r="M16" s="2"/>
      <c r="N16" s="21">
        <f t="shared" si="1"/>
        <v>-0.40148747425452991</v>
      </c>
      <c r="O16" s="11"/>
      <c r="P16" s="2">
        <f>--22410.07</f>
        <v>22410.07</v>
      </c>
      <c r="Q16" s="2"/>
      <c r="R16" s="21"/>
      <c r="S16" s="2"/>
      <c r="T16" s="2">
        <f>--37363.14</f>
        <v>37363.14</v>
      </c>
      <c r="U16" s="2"/>
      <c r="V16" s="21"/>
      <c r="W16" s="2"/>
      <c r="X16" s="2">
        <f t="shared" si="2"/>
        <v>-14953.07</v>
      </c>
      <c r="Y16" s="2"/>
      <c r="Z16" s="21">
        <f t="shared" si="3"/>
        <v>-0.40020913659826235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--70.86</f>
        <v>70.86</v>
      </c>
      <c r="E17" s="2"/>
      <c r="F17" s="21"/>
      <c r="G17" s="2"/>
      <c r="H17" s="2">
        <f>--1031.71</f>
        <v>1031.71</v>
      </c>
      <c r="I17" s="2"/>
      <c r="J17" s="21"/>
      <c r="K17" s="2"/>
      <c r="L17" s="2">
        <f t="shared" si="0"/>
        <v>-960.85</v>
      </c>
      <c r="M17" s="2"/>
      <c r="N17" s="21">
        <f t="shared" si="1"/>
        <v>-0.93131790910236401</v>
      </c>
      <c r="O17" s="11"/>
      <c r="P17" s="2">
        <f>--110.81</f>
        <v>110.81</v>
      </c>
      <c r="Q17" s="2"/>
      <c r="R17" s="21"/>
      <c r="S17" s="2"/>
      <c r="T17" s="2">
        <f>--1085.67</f>
        <v>1085.67</v>
      </c>
      <c r="U17" s="2"/>
      <c r="V17" s="21"/>
      <c r="W17" s="2"/>
      <c r="X17" s="2">
        <f t="shared" si="2"/>
        <v>-974.86000000000013</v>
      </c>
      <c r="Y17" s="2"/>
      <c r="Z17" s="21">
        <f t="shared" si="3"/>
        <v>-0.89793399467609869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--175</f>
        <v>175</v>
      </c>
      <c r="E18" s="2"/>
      <c r="F18" s="21"/>
      <c r="G18" s="2"/>
      <c r="H18" s="2">
        <f>--147.02</f>
        <v>147.02000000000001</v>
      </c>
      <c r="I18" s="2"/>
      <c r="J18" s="21"/>
      <c r="K18" s="2"/>
      <c r="L18" s="2">
        <f t="shared" si="0"/>
        <v>27.97999999999999</v>
      </c>
      <c r="M18" s="2"/>
      <c r="N18" s="21">
        <f t="shared" si="1"/>
        <v>0.19031424296014141</v>
      </c>
      <c r="O18" s="11"/>
      <c r="P18" s="2">
        <f>--425.65</f>
        <v>425.65</v>
      </c>
      <c r="Q18" s="2"/>
      <c r="R18" s="21"/>
      <c r="S18" s="2"/>
      <c r="T18" s="2">
        <f>--347.51</f>
        <v>347.51</v>
      </c>
      <c r="U18" s="2"/>
      <c r="V18" s="21"/>
      <c r="W18" s="2"/>
      <c r="X18" s="2">
        <f t="shared" si="2"/>
        <v>78.139999999999986</v>
      </c>
      <c r="Y18" s="2"/>
      <c r="Z18" s="21">
        <f t="shared" si="3"/>
        <v>0.22485683865212508</v>
      </c>
    </row>
    <row r="19" spans="1:26" s="24" customFormat="1" hidden="1" outlineLevel="1" x14ac:dyDescent="0.25">
      <c r="A19" s="50"/>
      <c r="B19" s="11" t="str">
        <f>CONCATENATE("          ", "4018", " - ", "TAXABLE SALES-STUDY GUIDES")</f>
        <v xml:space="preserve">          4018 - TAXABLE SALES-STUDY GUIDES</v>
      </c>
      <c r="C19" s="11"/>
      <c r="D19" s="2">
        <f>--1184.84</f>
        <v>1184.8399999999999</v>
      </c>
      <c r="E19" s="2"/>
      <c r="F19" s="21"/>
      <c r="G19" s="2"/>
      <c r="H19" s="2">
        <f>--1550.73</f>
        <v>1550.73</v>
      </c>
      <c r="I19" s="2"/>
      <c r="J19" s="21"/>
      <c r="K19" s="2"/>
      <c r="L19" s="2">
        <f t="shared" si="0"/>
        <v>-365.8900000000001</v>
      </c>
      <c r="M19" s="2"/>
      <c r="N19" s="21">
        <f t="shared" si="1"/>
        <v>-0.23594694111805414</v>
      </c>
      <c r="O19" s="11"/>
      <c r="P19" s="2">
        <f>--1364.13</f>
        <v>1364.13</v>
      </c>
      <c r="Q19" s="2"/>
      <c r="R19" s="21"/>
      <c r="S19" s="2"/>
      <c r="T19" s="2">
        <f>--2030.07</f>
        <v>2030.07</v>
      </c>
      <c r="U19" s="2"/>
      <c r="V19" s="21"/>
      <c r="W19" s="2"/>
      <c r="X19" s="2">
        <f t="shared" si="2"/>
        <v>-665.93999999999983</v>
      </c>
      <c r="Y19" s="2"/>
      <c r="Z19" s="21">
        <f t="shared" si="3"/>
        <v>-0.32803794943031511</v>
      </c>
    </row>
    <row r="20" spans="1:26" s="24" customFormat="1" hidden="1" outlineLevel="1" x14ac:dyDescent="0.25">
      <c r="A20" s="50"/>
      <c r="B20" s="11" t="str">
        <f>CONCATENATE("          ", "4100", " - ", "NON-TAXABLE SALES")</f>
        <v xml:space="preserve">          4100 - NON-TAXABLE SALES</v>
      </c>
      <c r="C20" s="11"/>
      <c r="D20" s="2">
        <f>--261252.23</f>
        <v>261252.23</v>
      </c>
      <c r="E20" s="2"/>
      <c r="F20" s="21"/>
      <c r="G20" s="2"/>
      <c r="H20" s="2">
        <f>--300198.31</f>
        <v>300198.31</v>
      </c>
      <c r="I20" s="2"/>
      <c r="J20" s="21"/>
      <c r="K20" s="2"/>
      <c r="L20" s="2">
        <f t="shared" si="0"/>
        <v>-38946.079999999987</v>
      </c>
      <c r="M20" s="2"/>
      <c r="N20" s="21">
        <f t="shared" si="1"/>
        <v>-0.12973450783250576</v>
      </c>
      <c r="O20" s="11"/>
      <c r="P20" s="2">
        <f>--265514.43</f>
        <v>265514.43</v>
      </c>
      <c r="Q20" s="2"/>
      <c r="R20" s="21"/>
      <c r="S20" s="2"/>
      <c r="T20" s="2">
        <f>--311059.16</f>
        <v>311059.15999999997</v>
      </c>
      <c r="U20" s="2"/>
      <c r="V20" s="21"/>
      <c r="W20" s="2"/>
      <c r="X20" s="2">
        <f t="shared" si="2"/>
        <v>-45544.729999999981</v>
      </c>
      <c r="Y20" s="2"/>
      <c r="Z20" s="21">
        <f t="shared" si="3"/>
        <v>-0.14641822475184457</v>
      </c>
    </row>
    <row r="21" spans="1:26" s="24" customFormat="1" hidden="1" outlineLevel="1" x14ac:dyDescent="0.25">
      <c r="A21" s="50"/>
      <c r="B21" s="11" t="str">
        <f>CONCATENATE("          ", "4101", " - ", "NON-TAXABLE SALES-NEW TEXT")</f>
        <v xml:space="preserve">          4101 - NON-TAXABLE SALES-NEW TEXT</v>
      </c>
      <c r="C21" s="11"/>
      <c r="D21" s="2">
        <f>--48156.44</f>
        <v>48156.44</v>
      </c>
      <c r="E21" s="2"/>
      <c r="F21" s="21"/>
      <c r="G21" s="2"/>
      <c r="H21" s="2">
        <f>--72613.98</f>
        <v>72613.98</v>
      </c>
      <c r="I21" s="2"/>
      <c r="J21" s="21"/>
      <c r="K21" s="2"/>
      <c r="L21" s="2">
        <f t="shared" si="0"/>
        <v>-24457.539999999994</v>
      </c>
      <c r="M21" s="2"/>
      <c r="N21" s="21">
        <f t="shared" si="1"/>
        <v>-0.33681585832370015</v>
      </c>
      <c r="O21" s="11"/>
      <c r="P21" s="2">
        <f>--55893.02</f>
        <v>55893.02</v>
      </c>
      <c r="Q21" s="2"/>
      <c r="R21" s="21"/>
      <c r="S21" s="2"/>
      <c r="T21" s="2">
        <f>--89447.21</f>
        <v>89447.21</v>
      </c>
      <c r="U21" s="2"/>
      <c r="V21" s="21"/>
      <c r="W21" s="2"/>
      <c r="X21" s="2">
        <f t="shared" si="2"/>
        <v>-33554.19000000001</v>
      </c>
      <c r="Y21" s="2"/>
      <c r="Z21" s="21">
        <f t="shared" si="3"/>
        <v>-0.3751284137314066</v>
      </c>
    </row>
    <row r="22" spans="1:26" s="24" customFormat="1" hidden="1" outlineLevel="1" x14ac:dyDescent="0.25">
      <c r="A22" s="50"/>
      <c r="B22" s="11" t="str">
        <f>CONCATENATE("          ", "4102", " - ", "NON-TAXABLE SALES-USED TEXT")</f>
        <v xml:space="preserve">          4102 - NON-TAXABLE SALES-USED TEXT</v>
      </c>
      <c r="C22" s="11"/>
      <c r="D22" s="2">
        <f>--27115.09</f>
        <v>27115.09</v>
      </c>
      <c r="E22" s="2"/>
      <c r="F22" s="21"/>
      <c r="G22" s="2"/>
      <c r="H22" s="2">
        <f>--38685.49</f>
        <v>38685.49</v>
      </c>
      <c r="I22" s="2"/>
      <c r="J22" s="21"/>
      <c r="K22" s="2"/>
      <c r="L22" s="2">
        <f t="shared" si="0"/>
        <v>-11570.399999999998</v>
      </c>
      <c r="M22" s="2"/>
      <c r="N22" s="21">
        <f t="shared" si="1"/>
        <v>-0.29908888319625776</v>
      </c>
      <c r="O22" s="11"/>
      <c r="P22" s="2">
        <f>--32474.33</f>
        <v>32474.33</v>
      </c>
      <c r="Q22" s="2"/>
      <c r="R22" s="21"/>
      <c r="S22" s="2"/>
      <c r="T22" s="2">
        <f>--41302.43</f>
        <v>41302.43</v>
      </c>
      <c r="U22" s="2"/>
      <c r="V22" s="21"/>
      <c r="W22" s="2"/>
      <c r="X22" s="2">
        <f t="shared" si="2"/>
        <v>-8828.0999999999985</v>
      </c>
      <c r="Y22" s="2"/>
      <c r="Z22" s="21">
        <f t="shared" si="3"/>
        <v>-0.21374287178744686</v>
      </c>
    </row>
    <row r="23" spans="1:26" s="24" customFormat="1" hidden="1" outlineLevel="1" x14ac:dyDescent="0.25">
      <c r="A23" s="50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--474.97</f>
        <v>474.97</v>
      </c>
      <c r="E23" s="2"/>
      <c r="F23" s="21"/>
      <c r="G23" s="2"/>
      <c r="H23" s="2">
        <f>--169.95</f>
        <v>169.95</v>
      </c>
      <c r="I23" s="2"/>
      <c r="J23" s="21"/>
      <c r="K23" s="2"/>
      <c r="L23" s="2">
        <f t="shared" si="0"/>
        <v>305.02000000000004</v>
      </c>
      <c r="M23" s="2"/>
      <c r="N23" s="21">
        <f t="shared" si="1"/>
        <v>1.7947631656369525</v>
      </c>
      <c r="O23" s="11"/>
      <c r="P23" s="2">
        <f>--474.97</f>
        <v>474.97</v>
      </c>
      <c r="Q23" s="2"/>
      <c r="R23" s="21"/>
      <c r="S23" s="2"/>
      <c r="T23" s="2">
        <f>--169.95</f>
        <v>169.95</v>
      </c>
      <c r="U23" s="2"/>
      <c r="V23" s="21"/>
      <c r="W23" s="2"/>
      <c r="X23" s="2">
        <f t="shared" si="2"/>
        <v>305.02000000000004</v>
      </c>
      <c r="Y23" s="2"/>
      <c r="Z23" s="21">
        <f t="shared" si="3"/>
        <v>1.7947631656369525</v>
      </c>
    </row>
    <row r="24" spans="1:26" s="24" customFormat="1" hidden="1" outlineLevel="1" x14ac:dyDescent="0.25">
      <c r="A24" s="50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--246443.9</f>
        <v>246443.9</v>
      </c>
      <c r="E24" s="2"/>
      <c r="F24" s="21"/>
      <c r="G24" s="2"/>
      <c r="H24" s="2">
        <f>--257792.9</f>
        <v>257792.9</v>
      </c>
      <c r="I24" s="2"/>
      <c r="J24" s="21"/>
      <c r="K24" s="2"/>
      <c r="L24" s="2">
        <f t="shared" si="0"/>
        <v>-11349</v>
      </c>
      <c r="M24" s="2"/>
      <c r="N24" s="21">
        <f t="shared" si="1"/>
        <v>-4.4023710505603532E-2</v>
      </c>
      <c r="O24" s="11"/>
      <c r="P24" s="2">
        <f>--259868.07</f>
        <v>259868.07</v>
      </c>
      <c r="Q24" s="2"/>
      <c r="R24" s="21"/>
      <c r="S24" s="2"/>
      <c r="T24" s="2">
        <f>--265140.56</f>
        <v>265140.56</v>
      </c>
      <c r="U24" s="2"/>
      <c r="V24" s="21"/>
      <c r="W24" s="2"/>
      <c r="X24" s="2">
        <f t="shared" si="2"/>
        <v>-5272.4899999999907</v>
      </c>
      <c r="Y24" s="2"/>
      <c r="Z24" s="21">
        <f t="shared" si="3"/>
        <v>-1.9885641035079622E-2</v>
      </c>
    </row>
    <row r="25" spans="1:26" s="24" customFormat="1" hidden="1" outlineLevel="1" x14ac:dyDescent="0.25">
      <c r="A25" s="50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--3067.16</f>
        <v>3067.16</v>
      </c>
      <c r="E25" s="2"/>
      <c r="F25" s="21"/>
      <c r="G25" s="2"/>
      <c r="H25" s="2">
        <f>--3839.39</f>
        <v>3839.39</v>
      </c>
      <c r="I25" s="2"/>
      <c r="J25" s="21"/>
      <c r="K25" s="2"/>
      <c r="L25" s="2">
        <f t="shared" si="0"/>
        <v>-772.23</v>
      </c>
      <c r="M25" s="2"/>
      <c r="N25" s="21">
        <f t="shared" si="1"/>
        <v>-0.20113351339665939</v>
      </c>
      <c r="O25" s="11"/>
      <c r="P25" s="2">
        <f>--5748.11</f>
        <v>5748.11</v>
      </c>
      <c r="Q25" s="2"/>
      <c r="R25" s="21"/>
      <c r="S25" s="2"/>
      <c r="T25" s="2">
        <f>--6667.97</f>
        <v>6667.97</v>
      </c>
      <c r="U25" s="2"/>
      <c r="V25" s="21"/>
      <c r="W25" s="2"/>
      <c r="X25" s="2">
        <f t="shared" si="2"/>
        <v>-919.86000000000058</v>
      </c>
      <c r="Y25" s="2"/>
      <c r="Z25" s="21">
        <f t="shared" si="3"/>
        <v>-0.13795203037806117</v>
      </c>
    </row>
    <row r="26" spans="1:26" s="24" customFormat="1" hidden="1" outlineLevel="1" x14ac:dyDescent="0.25">
      <c r="A26" s="50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--12.72</f>
        <v>12.72</v>
      </c>
      <c r="E26" s="2"/>
      <c r="F26" s="21"/>
      <c r="G26" s="2"/>
      <c r="H26" s="2">
        <f>--31.17</f>
        <v>31.17</v>
      </c>
      <c r="I26" s="2"/>
      <c r="J26" s="21"/>
      <c r="K26" s="2"/>
      <c r="L26" s="2">
        <f t="shared" si="0"/>
        <v>-18.450000000000003</v>
      </c>
      <c r="M26" s="2"/>
      <c r="N26" s="21">
        <f t="shared" si="1"/>
        <v>-0.59191530317613095</v>
      </c>
      <c r="O26" s="11"/>
      <c r="P26" s="2">
        <f>--1146.72</f>
        <v>1146.72</v>
      </c>
      <c r="Q26" s="2"/>
      <c r="R26" s="21"/>
      <c r="S26" s="2"/>
      <c r="T26" s="2">
        <f>--38.23</f>
        <v>38.229999999999997</v>
      </c>
      <c r="U26" s="2"/>
      <c r="V26" s="21"/>
      <c r="W26" s="2"/>
      <c r="X26" s="2">
        <f t="shared" si="2"/>
        <v>1108.49</v>
      </c>
      <c r="Y26" s="2"/>
      <c r="Z26" s="21">
        <f t="shared" si="3"/>
        <v>28.995291655767723</v>
      </c>
    </row>
    <row r="27" spans="1:26" s="24" customFormat="1" hidden="1" outlineLevel="1" x14ac:dyDescent="0.25">
      <c r="A27" s="50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--7.02</f>
        <v>7.02</v>
      </c>
      <c r="E27" s="2"/>
      <c r="F27" s="21"/>
      <c r="G27" s="2"/>
      <c r="H27" s="2">
        <f>--75.48</f>
        <v>75.48</v>
      </c>
      <c r="I27" s="2"/>
      <c r="J27" s="21"/>
      <c r="K27" s="2"/>
      <c r="L27" s="2">
        <f t="shared" si="0"/>
        <v>-68.460000000000008</v>
      </c>
      <c r="M27" s="2"/>
      <c r="N27" s="21">
        <f t="shared" si="1"/>
        <v>-0.90699523052464237</v>
      </c>
      <c r="O27" s="11"/>
      <c r="P27" s="2">
        <f>--13.97</f>
        <v>13.97</v>
      </c>
      <c r="Q27" s="2"/>
      <c r="R27" s="21"/>
      <c r="S27" s="2"/>
      <c r="T27" s="2">
        <f>--111.41</f>
        <v>111.41</v>
      </c>
      <c r="U27" s="2"/>
      <c r="V27" s="21"/>
      <c r="W27" s="2"/>
      <c r="X27" s="2">
        <f t="shared" si="2"/>
        <v>-97.44</v>
      </c>
      <c r="Y27" s="2"/>
      <c r="Z27" s="21">
        <f t="shared" si="3"/>
        <v>-0.87460730634592943</v>
      </c>
    </row>
    <row r="28" spans="1:26" s="24" customFormat="1" hidden="1" outlineLevel="1" x14ac:dyDescent="0.25">
      <c r="A28" s="50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-58563.26</f>
        <v>-58563.26</v>
      </c>
      <c r="E28" s="2"/>
      <c r="F28" s="21"/>
      <c r="G28" s="2"/>
      <c r="H28" s="2">
        <f>-73018.44</f>
        <v>-73018.44</v>
      </c>
      <c r="I28" s="2"/>
      <c r="J28" s="21"/>
      <c r="K28" s="2"/>
      <c r="L28" s="2">
        <f t="shared" si="0"/>
        <v>14455.18</v>
      </c>
      <c r="M28" s="2"/>
      <c r="N28" s="21">
        <f t="shared" si="1"/>
        <v>-0.19796615758978142</v>
      </c>
      <c r="O28" s="11"/>
      <c r="P28" s="2">
        <f>-59170.41</f>
        <v>-59170.41</v>
      </c>
      <c r="Q28" s="2"/>
      <c r="R28" s="21"/>
      <c r="S28" s="2"/>
      <c r="T28" s="2">
        <f>-74525.94</f>
        <v>-74525.94</v>
      </c>
      <c r="U28" s="2"/>
      <c r="V28" s="21"/>
      <c r="W28" s="2"/>
      <c r="X28" s="2">
        <f t="shared" si="2"/>
        <v>15355.529999999999</v>
      </c>
      <c r="Y28" s="2"/>
      <c r="Z28" s="21">
        <f t="shared" si="3"/>
        <v>-0.20604275504609534</v>
      </c>
    </row>
    <row r="29" spans="1:26" s="24" customFormat="1" hidden="1" outlineLevel="1" x14ac:dyDescent="0.25">
      <c r="A29" s="50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-20533</f>
        <v>-20533</v>
      </c>
      <c r="E29" s="2"/>
      <c r="F29" s="21"/>
      <c r="G29" s="2"/>
      <c r="H29" s="2">
        <f>-22848</f>
        <v>-22848</v>
      </c>
      <c r="I29" s="2"/>
      <c r="J29" s="21"/>
      <c r="K29" s="2"/>
      <c r="L29" s="2">
        <f t="shared" si="0"/>
        <v>2315</v>
      </c>
      <c r="M29" s="2"/>
      <c r="N29" s="21">
        <f t="shared" si="1"/>
        <v>-0.10132177871148459</v>
      </c>
      <c r="O29" s="11"/>
      <c r="P29" s="2">
        <f>-21254.45</f>
        <v>-21254.45</v>
      </c>
      <c r="Q29" s="2"/>
      <c r="R29" s="21"/>
      <c r="S29" s="2"/>
      <c r="T29" s="2">
        <f>-23427.25</f>
        <v>-23427.25</v>
      </c>
      <c r="U29" s="2"/>
      <c r="V29" s="21"/>
      <c r="W29" s="2"/>
      <c r="X29" s="2">
        <f t="shared" si="2"/>
        <v>2172.7999999999993</v>
      </c>
      <c r="Y29" s="2"/>
      <c r="Z29" s="21">
        <f t="shared" si="3"/>
        <v>-9.2746694554418432E-2</v>
      </c>
    </row>
    <row r="30" spans="1:26" s="24" customFormat="1" hidden="1" outlineLevel="1" x14ac:dyDescent="0.25">
      <c r="A30" s="50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>-6848.37</f>
        <v>-6848.37</v>
      </c>
      <c r="E30" s="2"/>
      <c r="F30" s="21"/>
      <c r="G30" s="2"/>
      <c r="H30" s="2">
        <f>-12818.73</f>
        <v>-12818.73</v>
      </c>
      <c r="I30" s="2"/>
      <c r="J30" s="21"/>
      <c r="K30" s="2"/>
      <c r="L30" s="2">
        <f t="shared" si="0"/>
        <v>5970.36</v>
      </c>
      <c r="M30" s="2"/>
      <c r="N30" s="21">
        <f t="shared" si="1"/>
        <v>-0.46575284759098601</v>
      </c>
      <c r="O30" s="11"/>
      <c r="P30" s="2">
        <f>-6848.37</f>
        <v>-6848.37</v>
      </c>
      <c r="Q30" s="2"/>
      <c r="R30" s="21"/>
      <c r="S30" s="2"/>
      <c r="T30" s="2">
        <f>-12903.73</f>
        <v>-12903.73</v>
      </c>
      <c r="U30" s="2"/>
      <c r="V30" s="21"/>
      <c r="W30" s="2"/>
      <c r="X30" s="2">
        <f t="shared" si="2"/>
        <v>6055.36</v>
      </c>
      <c r="Y30" s="2"/>
      <c r="Z30" s="21">
        <f t="shared" si="3"/>
        <v>-0.46927206319413067</v>
      </c>
    </row>
    <row r="31" spans="1:26" s="24" customFormat="1" hidden="1" outlineLevel="1" x14ac:dyDescent="0.25">
      <c r="A31" s="50"/>
      <c r="B31" s="11" t="str">
        <f>CONCATENATE("          ", "4213", " - ", "NON-TAXABLE SALES-TRADE BOOKS")</f>
        <v xml:space="preserve">          4213 - NON-TAXABLE SALES-TRADE BOOKS</v>
      </c>
      <c r="C31" s="11"/>
      <c r="D31" s="2">
        <f>0</f>
        <v>0</v>
      </c>
      <c r="E31" s="2"/>
      <c r="F31" s="21"/>
      <c r="G31" s="2"/>
      <c r="H31" s="2">
        <f>-15</f>
        <v>-15</v>
      </c>
      <c r="I31" s="2"/>
      <c r="J31" s="21"/>
      <c r="K31" s="2"/>
      <c r="L31" s="2">
        <f t="shared" si="0"/>
        <v>15</v>
      </c>
      <c r="M31" s="2"/>
      <c r="N31" s="21">
        <f t="shared" si="1"/>
        <v>-1</v>
      </c>
      <c r="O31" s="11"/>
      <c r="P31" s="2">
        <f>0</f>
        <v>0</v>
      </c>
      <c r="Q31" s="2"/>
      <c r="R31" s="21"/>
      <c r="S31" s="2"/>
      <c r="T31" s="2">
        <f>-15</f>
        <v>-15</v>
      </c>
      <c r="U31" s="2"/>
      <c r="V31" s="21"/>
      <c r="W31" s="2"/>
      <c r="X31" s="2">
        <f t="shared" si="2"/>
        <v>15</v>
      </c>
      <c r="Y31" s="2"/>
      <c r="Z31" s="21">
        <f t="shared" si="3"/>
        <v>-1</v>
      </c>
    </row>
    <row r="32" spans="1:26" s="24" customFormat="1" hidden="1" outlineLevel="1" x14ac:dyDescent="0.25">
      <c r="A32" s="50"/>
      <c r="B32" s="11" t="str">
        <f>CONCATENATE("          ", "4218", " - ", "SALES RETURN TAXABLE-STUDY GUI")</f>
        <v xml:space="preserve">          4218 - SALES RETURN TAXABLE-STUDY GUI</v>
      </c>
      <c r="C32" s="11"/>
      <c r="D32" s="2">
        <f>-26.8</f>
        <v>-26.8</v>
      </c>
      <c r="E32" s="2"/>
      <c r="F32" s="21"/>
      <c r="G32" s="2"/>
      <c r="H32" s="2">
        <f>0</f>
        <v>0</v>
      </c>
      <c r="I32" s="2"/>
      <c r="J32" s="21"/>
      <c r="K32" s="2"/>
      <c r="L32" s="2">
        <f t="shared" si="0"/>
        <v>-26.8</v>
      </c>
      <c r="M32" s="2"/>
      <c r="N32" s="21">
        <f t="shared" si="1"/>
        <v>0</v>
      </c>
      <c r="O32" s="11"/>
      <c r="P32" s="2">
        <f>-26.8</f>
        <v>-26.8</v>
      </c>
      <c r="Q32" s="2"/>
      <c r="R32" s="21"/>
      <c r="S32" s="2"/>
      <c r="T32" s="2">
        <f>-15.95</f>
        <v>-15.95</v>
      </c>
      <c r="U32" s="2"/>
      <c r="V32" s="21"/>
      <c r="W32" s="2"/>
      <c r="X32" s="2">
        <f t="shared" si="2"/>
        <v>-10.850000000000001</v>
      </c>
      <c r="Y32" s="2"/>
      <c r="Z32" s="21">
        <f t="shared" si="3"/>
        <v>0.68025078369905967</v>
      </c>
    </row>
    <row r="33" spans="1:26" s="24" customFormat="1" hidden="1" outlineLevel="1" x14ac:dyDescent="0.25">
      <c r="A33" s="50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>-2665.19</f>
        <v>-2665.19</v>
      </c>
      <c r="E33" s="2"/>
      <c r="F33" s="21"/>
      <c r="G33" s="2"/>
      <c r="H33" s="2">
        <f>-1852.97</f>
        <v>-1852.97</v>
      </c>
      <c r="I33" s="2"/>
      <c r="J33" s="21"/>
      <c r="K33" s="2"/>
      <c r="L33" s="2">
        <f t="shared" si="0"/>
        <v>-812.22</v>
      </c>
      <c r="M33" s="2"/>
      <c r="N33" s="21">
        <f t="shared" si="1"/>
        <v>0.43833413384998138</v>
      </c>
      <c r="O33" s="11"/>
      <c r="P33" s="2">
        <f>-2919.78</f>
        <v>-2919.78</v>
      </c>
      <c r="Q33" s="2"/>
      <c r="R33" s="21"/>
      <c r="S33" s="2"/>
      <c r="T33" s="2">
        <f>-2849.1</f>
        <v>-2849.1</v>
      </c>
      <c r="U33" s="2"/>
      <c r="V33" s="21"/>
      <c r="W33" s="2"/>
      <c r="X33" s="2">
        <f t="shared" si="2"/>
        <v>-70.680000000000291</v>
      </c>
      <c r="Y33" s="2"/>
      <c r="Z33" s="21">
        <f t="shared" si="3"/>
        <v>2.4807834052858902E-2</v>
      </c>
    </row>
    <row r="34" spans="1:26" s="24" customFormat="1" hidden="1" outlineLevel="1" x14ac:dyDescent="0.25">
      <c r="A34" s="50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>-250.25</f>
        <v>-250.25</v>
      </c>
      <c r="E34" s="2"/>
      <c r="F34" s="21"/>
      <c r="G34" s="2"/>
      <c r="H34" s="2">
        <f>-554.73</f>
        <v>-554.73</v>
      </c>
      <c r="I34" s="2"/>
      <c r="J34" s="21"/>
      <c r="K34" s="2"/>
      <c r="L34" s="2">
        <f t="shared" si="0"/>
        <v>304.48</v>
      </c>
      <c r="M34" s="2"/>
      <c r="N34" s="21">
        <f t="shared" si="1"/>
        <v>-0.54887963513781479</v>
      </c>
      <c r="O34" s="11"/>
      <c r="P34" s="2">
        <f>-250.25</f>
        <v>-250.25</v>
      </c>
      <c r="Q34" s="2"/>
      <c r="R34" s="21"/>
      <c r="S34" s="2"/>
      <c r="T34" s="2">
        <f>-667.53</f>
        <v>-667.53</v>
      </c>
      <c r="U34" s="2"/>
      <c r="V34" s="21"/>
      <c r="W34" s="2"/>
      <c r="X34" s="2">
        <f t="shared" si="2"/>
        <v>417.28</v>
      </c>
      <c r="Y34" s="2"/>
      <c r="Z34" s="21">
        <f t="shared" si="3"/>
        <v>-0.6251104819259059</v>
      </c>
    </row>
    <row r="35" spans="1:26" s="24" customFormat="1" hidden="1" outlineLevel="1" x14ac:dyDescent="0.25">
      <c r="A35" s="50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>-8466.55</f>
        <v>-8466.5499999999993</v>
      </c>
      <c r="E35" s="2"/>
      <c r="F35" s="21"/>
      <c r="G35" s="2"/>
      <c r="H35" s="2">
        <f>-264.47</f>
        <v>-264.47000000000003</v>
      </c>
      <c r="I35" s="2"/>
      <c r="J35" s="21"/>
      <c r="K35" s="2"/>
      <c r="L35" s="2">
        <f t="shared" si="0"/>
        <v>-8202.08</v>
      </c>
      <c r="M35" s="2"/>
      <c r="N35" s="21">
        <f t="shared" si="1"/>
        <v>31.013271826672209</v>
      </c>
      <c r="O35" s="11"/>
      <c r="P35" s="2">
        <f>-8466.55</f>
        <v>-8466.5499999999993</v>
      </c>
      <c r="Q35" s="2"/>
      <c r="R35" s="21"/>
      <c r="S35" s="2"/>
      <c r="T35" s="2">
        <f>-284.47</f>
        <v>-284.47000000000003</v>
      </c>
      <c r="U35" s="2"/>
      <c r="V35" s="21"/>
      <c r="W35" s="2"/>
      <c r="X35" s="2">
        <f t="shared" si="2"/>
        <v>-8182.079999999999</v>
      </c>
      <c r="Y35" s="2"/>
      <c r="Z35" s="21">
        <f t="shared" si="3"/>
        <v>28.762540865469113</v>
      </c>
    </row>
    <row r="36" spans="1:26" s="24" customFormat="1" hidden="1" outlineLevel="1" x14ac:dyDescent="0.25">
      <c r="A36" s="50"/>
      <c r="B36" s="11" t="str">
        <f>CONCATENATE("          ", "4311", " - ", "SALES RETURN NON TAXABLE-NO VA")</f>
        <v xml:space="preserve">          4311 - SALES RETURN NON TAXABLE-NO VA</v>
      </c>
      <c r="C36" s="11"/>
      <c r="D36" s="2">
        <f>-79.06</f>
        <v>-79.06</v>
      </c>
      <c r="E36" s="2"/>
      <c r="F36" s="21"/>
      <c r="G36" s="2"/>
      <c r="H36" s="2">
        <f>-168.5</f>
        <v>-168.5</v>
      </c>
      <c r="I36" s="2"/>
      <c r="J36" s="21"/>
      <c r="K36" s="2"/>
      <c r="L36" s="2">
        <f t="shared" si="0"/>
        <v>89.44</v>
      </c>
      <c r="M36" s="2"/>
      <c r="N36" s="21">
        <f t="shared" si="1"/>
        <v>-0.53080118694362022</v>
      </c>
      <c r="O36" s="11"/>
      <c r="P36" s="2">
        <f>-111.04</f>
        <v>-111.04</v>
      </c>
      <c r="Q36" s="2"/>
      <c r="R36" s="21"/>
      <c r="S36" s="2"/>
      <c r="T36" s="2">
        <f>-212.88</f>
        <v>-212.88</v>
      </c>
      <c r="U36" s="2"/>
      <c r="V36" s="21"/>
      <c r="W36" s="2"/>
      <c r="X36" s="2">
        <f t="shared" si="2"/>
        <v>101.83999999999999</v>
      </c>
      <c r="Y36" s="2"/>
      <c r="Z36" s="21">
        <f t="shared" si="3"/>
        <v>-0.47839158211198796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5" t="s">
        <v>8</v>
      </c>
      <c r="C38" s="10"/>
      <c r="D38" s="4">
        <f>SUM(OSRRefD16x_0)</f>
        <v>1561651.33</v>
      </c>
      <c r="E38" s="4"/>
      <c r="F38" s="12">
        <f t="shared" ref="F38:F53" si="4">IF(D$12=0,0,D38/D$12)</f>
        <v>0.72645677882170068</v>
      </c>
      <c r="G38" s="4"/>
      <c r="H38" s="4">
        <f>SUM(OSRRefH16x_0)</f>
        <v>1839832.5899999999</v>
      </c>
      <c r="I38" s="4"/>
      <c r="J38" s="12">
        <f t="shared" ref="J38:J53" si="5">IF(H$12=0,0,H38/H$12)</f>
        <v>0.72790485974867369</v>
      </c>
      <c r="K38" s="4"/>
      <c r="L38" s="4">
        <f t="shared" ref="L38:L53" si="6">+D38-H38</f>
        <v>-278181.25999999978</v>
      </c>
      <c r="M38" s="4"/>
      <c r="N38" s="12">
        <f t="shared" ref="N38:N53" si="7">IF(H38=0,0,L38/H38)</f>
        <v>-0.15119922405548855</v>
      </c>
      <c r="O38" s="10"/>
      <c r="P38" s="4">
        <f>SUM(OSRRefP16x_0)</f>
        <v>1637642.3900000004</v>
      </c>
      <c r="Q38" s="4"/>
      <c r="R38" s="12">
        <f t="shared" ref="R38:R53" si="8">IF(P$12=0,0,P38/P$12)</f>
        <v>0.730498267526976</v>
      </c>
      <c r="S38" s="4"/>
      <c r="T38" s="4">
        <f>SUM(OSRRefT16x_0)</f>
        <v>1942010.0700000003</v>
      </c>
      <c r="U38" s="4"/>
      <c r="V38" s="12">
        <f t="shared" ref="V38:V53" si="9">IF(T$12=0,0,T38/T$12)</f>
        <v>0.72844978478640365</v>
      </c>
      <c r="W38" s="4"/>
      <c r="X38" s="4">
        <f t="shared" ref="X38:X53" si="10">+P38-T38</f>
        <v>-304367.67999999993</v>
      </c>
      <c r="Y38" s="4"/>
      <c r="Z38" s="12">
        <f t="shared" ref="Z38:Z53" si="11">IF(T38=0,0,X38/T38)</f>
        <v>-0.15672816773807968</v>
      </c>
    </row>
    <row r="39" spans="1:26" s="24" customFormat="1" hidden="1" outlineLevel="1" x14ac:dyDescent="0.25">
      <c r="A39" s="50"/>
      <c r="B39" s="11" t="str">
        <f>CONCATENATE("          ", "5001", " - ", "PURCHASES @ COST-NEW TEXT")</f>
        <v xml:space="preserve">          5001 - PURCHASES @ COST-NEW TEXT</v>
      </c>
      <c r="C39" s="11"/>
      <c r="D39" s="2">
        <v>1483764.14</v>
      </c>
      <c r="E39" s="2"/>
      <c r="F39" s="21">
        <f t="shared" si="4"/>
        <v>0.6902248260983781</v>
      </c>
      <c r="G39" s="2"/>
      <c r="H39" s="2">
        <v>1253099.2100000002</v>
      </c>
      <c r="I39" s="2"/>
      <c r="J39" s="21">
        <f t="shared" si="5"/>
        <v>0.49577174013763065</v>
      </c>
      <c r="K39" s="2"/>
      <c r="L39" s="2">
        <f t="shared" si="6"/>
        <v>230664.9299999997</v>
      </c>
      <c r="M39" s="2"/>
      <c r="N39" s="21">
        <f t="shared" si="7"/>
        <v>0.18407555296439751</v>
      </c>
      <c r="O39" s="11"/>
      <c r="P39" s="2">
        <v>1827758.7</v>
      </c>
      <c r="Q39" s="2"/>
      <c r="R39" s="21">
        <f t="shared" si="8"/>
        <v>0.81530288417079722</v>
      </c>
      <c r="S39" s="2"/>
      <c r="T39" s="2">
        <v>1755170.96</v>
      </c>
      <c r="U39" s="2"/>
      <c r="V39" s="21">
        <f t="shared" si="9"/>
        <v>0.65836626072456217</v>
      </c>
      <c r="W39" s="2"/>
      <c r="X39" s="2">
        <f t="shared" si="10"/>
        <v>72587.739999999991</v>
      </c>
      <c r="Y39" s="2"/>
      <c r="Z39" s="21">
        <f t="shared" si="11"/>
        <v>4.1356506946764883E-2</v>
      </c>
    </row>
    <row r="40" spans="1:26" s="24" customFormat="1" hidden="1" outlineLevel="1" x14ac:dyDescent="0.25">
      <c r="A40" s="50"/>
      <c r="B40" s="11" t="str">
        <f>CONCATENATE("          ", "5002", " - ", "PURCHASES @ COST-USED TEXT")</f>
        <v xml:space="preserve">          5002 - PURCHASES @ COST-USED TEXT</v>
      </c>
      <c r="C40" s="11"/>
      <c r="D40" s="2">
        <v>224687.41999999998</v>
      </c>
      <c r="E40" s="2"/>
      <c r="F40" s="21">
        <f t="shared" si="4"/>
        <v>0.10452121817419932</v>
      </c>
      <c r="G40" s="2"/>
      <c r="H40" s="2">
        <v>234692.72</v>
      </c>
      <c r="I40" s="2"/>
      <c r="J40" s="21">
        <f t="shared" si="5"/>
        <v>9.2852997802172182E-2</v>
      </c>
      <c r="K40" s="2"/>
      <c r="L40" s="2">
        <f t="shared" si="6"/>
        <v>-10005.300000000017</v>
      </c>
      <c r="M40" s="2"/>
      <c r="N40" s="21">
        <f t="shared" si="7"/>
        <v>-4.2631488526785229E-2</v>
      </c>
      <c r="O40" s="11"/>
      <c r="P40" s="2">
        <v>334980.67</v>
      </c>
      <c r="Q40" s="2"/>
      <c r="R40" s="21">
        <f t="shared" si="8"/>
        <v>0.14942383061421949</v>
      </c>
      <c r="S40" s="2"/>
      <c r="T40" s="2">
        <v>170574.41999999998</v>
      </c>
      <c r="U40" s="2"/>
      <c r="V40" s="21">
        <f t="shared" si="9"/>
        <v>6.3982623704451541E-2</v>
      </c>
      <c r="W40" s="2"/>
      <c r="X40" s="2">
        <f t="shared" si="10"/>
        <v>164406.25</v>
      </c>
      <c r="Y40" s="2"/>
      <c r="Z40" s="21">
        <f t="shared" si="11"/>
        <v>0.96383883351325494</v>
      </c>
    </row>
    <row r="41" spans="1:26" s="24" customFormat="1" hidden="1" outlineLevel="1" x14ac:dyDescent="0.25">
      <c r="A41" s="50"/>
      <c r="B41" s="11" t="str">
        <f>CONCATENATE("          ", "5003", " - ", "PURCHASES @ COST-RENTAL TEXT")</f>
        <v xml:space="preserve">          5003 - PURCHASES @ COST-RENTAL TEXT</v>
      </c>
      <c r="C41" s="11"/>
      <c r="D41" s="2">
        <v>-38374.199999999997</v>
      </c>
      <c r="E41" s="2"/>
      <c r="F41" s="21">
        <f t="shared" si="4"/>
        <v>-1.7851102346808555E-2</v>
      </c>
      <c r="G41" s="2"/>
      <c r="H41" s="2">
        <v>4208</v>
      </c>
      <c r="I41" s="2"/>
      <c r="J41" s="21">
        <f t="shared" si="5"/>
        <v>1.6648382393435149E-3</v>
      </c>
      <c r="K41" s="2"/>
      <c r="L41" s="2">
        <f t="shared" si="6"/>
        <v>-42582.2</v>
      </c>
      <c r="M41" s="2"/>
      <c r="N41" s="21">
        <f t="shared" si="7"/>
        <v>-10.119344106463878</v>
      </c>
      <c r="O41" s="11"/>
      <c r="P41" s="2">
        <v>-78.400000000000006</v>
      </c>
      <c r="Q41" s="2"/>
      <c r="R41" s="21">
        <f t="shared" si="8"/>
        <v>-3.4971654693253821E-5</v>
      </c>
      <c r="S41" s="2"/>
      <c r="T41" s="2">
        <v>2444.3000000000002</v>
      </c>
      <c r="U41" s="2"/>
      <c r="V41" s="21">
        <f t="shared" si="9"/>
        <v>9.1685920503666919E-4</v>
      </c>
      <c r="W41" s="2"/>
      <c r="X41" s="2">
        <f t="shared" si="10"/>
        <v>-2522.7000000000003</v>
      </c>
      <c r="Y41" s="2"/>
      <c r="Z41" s="21">
        <f t="shared" si="11"/>
        <v>-1.0320746225913349</v>
      </c>
    </row>
    <row r="42" spans="1:26" s="24" customFormat="1" hidden="1" outlineLevel="1" x14ac:dyDescent="0.25">
      <c r="A42" s="50"/>
      <c r="B42" s="11" t="str">
        <f>CONCATENATE("          ", "5004", " - ", "PURCHASES @ COST-DIGITAL TEXT")</f>
        <v xml:space="preserve">          5004 - PURCHASES @ COST-DIGITAL TEXT</v>
      </c>
      <c r="C42" s="11"/>
      <c r="D42" s="2">
        <v>169007.92</v>
      </c>
      <c r="E42" s="2"/>
      <c r="F42" s="21">
        <f t="shared" si="4"/>
        <v>7.8619949792861687E-2</v>
      </c>
      <c r="G42" s="2"/>
      <c r="H42" s="2">
        <v>56273.21</v>
      </c>
      <c r="I42" s="2"/>
      <c r="J42" s="21">
        <f t="shared" si="5"/>
        <v>2.2263733806703392E-2</v>
      </c>
      <c r="K42" s="2"/>
      <c r="L42" s="2">
        <f t="shared" si="6"/>
        <v>112734.71000000002</v>
      </c>
      <c r="M42" s="2"/>
      <c r="N42" s="21">
        <f t="shared" si="7"/>
        <v>2.0033459971450007</v>
      </c>
      <c r="O42" s="11"/>
      <c r="P42" s="2">
        <v>302966.49000000005</v>
      </c>
      <c r="Q42" s="2"/>
      <c r="R42" s="21">
        <f t="shared" si="8"/>
        <v>0.13514336061106044</v>
      </c>
      <c r="S42" s="2"/>
      <c r="T42" s="2">
        <v>202213.11</v>
      </c>
      <c r="U42" s="2"/>
      <c r="V42" s="21">
        <f t="shared" si="9"/>
        <v>7.5850325771219779E-2</v>
      </c>
      <c r="W42" s="2"/>
      <c r="X42" s="2">
        <f t="shared" si="10"/>
        <v>100753.38000000006</v>
      </c>
      <c r="Y42" s="2"/>
      <c r="Z42" s="21">
        <f t="shared" si="11"/>
        <v>0.49825345151953832</v>
      </c>
    </row>
    <row r="43" spans="1:26" s="24" customFormat="1" hidden="1" outlineLevel="1" x14ac:dyDescent="0.25">
      <c r="A43" s="50"/>
      <c r="B43" s="11" t="str">
        <f>CONCATENATE("          ", "5011", " - ", "PURCHASES @ COST-NO VALUE TEXT")</f>
        <v xml:space="preserve">          5011 - PURCHASES @ COST-NO VALUE TEXT</v>
      </c>
      <c r="C43" s="11"/>
      <c r="D43" s="2">
        <v>369</v>
      </c>
      <c r="E43" s="2"/>
      <c r="F43" s="21">
        <f t="shared" si="4"/>
        <v>1.7165326615205939E-4</v>
      </c>
      <c r="G43" s="2"/>
      <c r="H43" s="2">
        <v>516</v>
      </c>
      <c r="I43" s="2"/>
      <c r="J43" s="21">
        <f t="shared" si="5"/>
        <v>2.041484152807162E-4</v>
      </c>
      <c r="K43" s="2"/>
      <c r="L43" s="2">
        <f t="shared" si="6"/>
        <v>-147</v>
      </c>
      <c r="M43" s="2"/>
      <c r="N43" s="21">
        <f t="shared" si="7"/>
        <v>-0.28488372093023256</v>
      </c>
      <c r="O43" s="11"/>
      <c r="P43" s="2">
        <v>657</v>
      </c>
      <c r="Q43" s="2"/>
      <c r="R43" s="21">
        <f t="shared" si="8"/>
        <v>2.9306603486566019E-4</v>
      </c>
      <c r="S43" s="2"/>
      <c r="T43" s="2">
        <v>957</v>
      </c>
      <c r="U43" s="2"/>
      <c r="V43" s="21">
        <f t="shared" si="9"/>
        <v>3.5897159072948999E-4</v>
      </c>
      <c r="W43" s="2"/>
      <c r="X43" s="2">
        <f t="shared" si="10"/>
        <v>-300</v>
      </c>
      <c r="Y43" s="2"/>
      <c r="Z43" s="21">
        <f t="shared" si="11"/>
        <v>-0.31347962382445144</v>
      </c>
    </row>
    <row r="44" spans="1:26" s="24" customFormat="1" hidden="1" outlineLevel="1" x14ac:dyDescent="0.25">
      <c r="A44" s="50"/>
      <c r="B44" s="11" t="str">
        <f>CONCATENATE("          ", "5013", " - ", "PURCHASES @ COST-TRADE BOOKS")</f>
        <v xml:space="preserve">          5013 - PURCHASES @ COST-TRADE BOOKS</v>
      </c>
      <c r="C44" s="11"/>
      <c r="D44" s="2"/>
      <c r="E44" s="2"/>
      <c r="F44" s="21">
        <f t="shared" si="4"/>
        <v>0</v>
      </c>
      <c r="G44" s="2"/>
      <c r="H44" s="2">
        <v>1483.2</v>
      </c>
      <c r="I44" s="2"/>
      <c r="J44" s="21">
        <f t="shared" si="5"/>
        <v>5.8680800299294234E-4</v>
      </c>
      <c r="K44" s="2"/>
      <c r="L44" s="2">
        <f t="shared" si="6"/>
        <v>-1483.2</v>
      </c>
      <c r="M44" s="2"/>
      <c r="N44" s="21">
        <f t="shared" si="7"/>
        <v>-1</v>
      </c>
      <c r="O44" s="11"/>
      <c r="P44" s="2">
        <v>204.9</v>
      </c>
      <c r="Q44" s="2"/>
      <c r="R44" s="21">
        <f t="shared" si="8"/>
        <v>9.1399133248057496E-5</v>
      </c>
      <c r="S44" s="2"/>
      <c r="T44" s="2">
        <v>1602.99</v>
      </c>
      <c r="U44" s="2"/>
      <c r="V44" s="21">
        <f t="shared" si="9"/>
        <v>6.0128304098585694E-4</v>
      </c>
      <c r="W44" s="2"/>
      <c r="X44" s="2">
        <f t="shared" si="10"/>
        <v>-1398.09</v>
      </c>
      <c r="Y44" s="2"/>
      <c r="Z44" s="21">
        <f t="shared" si="11"/>
        <v>-0.87217637040780038</v>
      </c>
    </row>
    <row r="45" spans="1:26" s="24" customFormat="1" hidden="1" outlineLevel="1" x14ac:dyDescent="0.25">
      <c r="A45" s="50"/>
      <c r="B45" s="11" t="str">
        <f>CONCATENATE("          ", "5014", " - ", "PURCHASES @ COST-REMAINDERS")</f>
        <v xml:space="preserve">          5014 - PURCHASES @ COST-REMAINDERS</v>
      </c>
      <c r="C45" s="11"/>
      <c r="D45" s="2">
        <v>133.84</v>
      </c>
      <c r="E45" s="2"/>
      <c r="F45" s="21">
        <f t="shared" si="4"/>
        <v>6.2260360817863492E-5</v>
      </c>
      <c r="G45" s="2"/>
      <c r="H45" s="2">
        <v>-23.6</v>
      </c>
      <c r="I45" s="2"/>
      <c r="J45" s="21">
        <f t="shared" si="5"/>
        <v>-9.3370205438467096E-6</v>
      </c>
      <c r="K45" s="2"/>
      <c r="L45" s="2">
        <f t="shared" si="6"/>
        <v>157.44</v>
      </c>
      <c r="M45" s="2"/>
      <c r="N45" s="21">
        <f t="shared" si="7"/>
        <v>-6.6711864406779657</v>
      </c>
      <c r="O45" s="11"/>
      <c r="P45" s="2">
        <v>234.32</v>
      </c>
      <c r="Q45" s="2"/>
      <c r="R45" s="21">
        <f t="shared" si="8"/>
        <v>1.0452242509851065E-4</v>
      </c>
      <c r="S45" s="2"/>
      <c r="T45" s="2">
        <v>204</v>
      </c>
      <c r="U45" s="2"/>
      <c r="V45" s="21">
        <f t="shared" si="9"/>
        <v>7.6520589873370898E-5</v>
      </c>
      <c r="W45" s="2"/>
      <c r="X45" s="2">
        <f t="shared" si="10"/>
        <v>30.319999999999993</v>
      </c>
      <c r="Y45" s="2"/>
      <c r="Z45" s="21">
        <f t="shared" si="11"/>
        <v>0.14862745098039212</v>
      </c>
    </row>
    <row r="46" spans="1:26" s="24" customFormat="1" hidden="1" outlineLevel="1" x14ac:dyDescent="0.25">
      <c r="A46" s="50"/>
      <c r="B46" s="11" t="str">
        <f>CONCATENATE("          ", "5018", " - ", "PURCHASES @ COST-STUDY GUIDES")</f>
        <v xml:space="preserve">          5018 - PURCHASES @ COST-STUDY GUIDES</v>
      </c>
      <c r="C46" s="11"/>
      <c r="D46" s="2"/>
      <c r="E46" s="2"/>
      <c r="F46" s="21">
        <f t="shared" si="4"/>
        <v>0</v>
      </c>
      <c r="G46" s="2"/>
      <c r="H46" s="2">
        <v>449</v>
      </c>
      <c r="I46" s="2"/>
      <c r="J46" s="21">
        <f t="shared" si="5"/>
        <v>1.7764077221132086E-4</v>
      </c>
      <c r="K46" s="2"/>
      <c r="L46" s="2">
        <f t="shared" si="6"/>
        <v>-449</v>
      </c>
      <c r="M46" s="2"/>
      <c r="N46" s="21">
        <f t="shared" si="7"/>
        <v>-1</v>
      </c>
      <c r="O46" s="11"/>
      <c r="P46" s="2">
        <v>503.93</v>
      </c>
      <c r="Q46" s="2"/>
      <c r="R46" s="21">
        <f t="shared" si="8"/>
        <v>2.2478655547922703E-4</v>
      </c>
      <c r="S46" s="2"/>
      <c r="T46" s="2">
        <v>818.63</v>
      </c>
      <c r="U46" s="2"/>
      <c r="V46" s="21">
        <f t="shared" si="9"/>
        <v>3.0706887494136092E-4</v>
      </c>
      <c r="W46" s="2"/>
      <c r="X46" s="2">
        <f t="shared" si="10"/>
        <v>-314.7</v>
      </c>
      <c r="Y46" s="2"/>
      <c r="Z46" s="21">
        <f t="shared" si="11"/>
        <v>-0.38442275509082247</v>
      </c>
    </row>
    <row r="47" spans="1:26" s="24" customFormat="1" hidden="1" outlineLevel="1" x14ac:dyDescent="0.25">
      <c r="A47" s="50"/>
      <c r="B47" s="11" t="str">
        <f>CONCATENATE("          ", "5200", " - ", "PURCHASES OFFSET")</f>
        <v xml:space="preserve">          5200 - PURCHASES OFFSET</v>
      </c>
      <c r="C47" s="11"/>
      <c r="D47" s="2">
        <v>-1332572</v>
      </c>
      <c r="E47" s="2"/>
      <c r="F47" s="21">
        <f t="shared" si="4"/>
        <v>-0.61989250998043932</v>
      </c>
      <c r="G47" s="2"/>
      <c r="H47" s="2">
        <v>-960128</v>
      </c>
      <c r="I47" s="2"/>
      <c r="J47" s="21">
        <f t="shared" si="5"/>
        <v>-0.37986164664078192</v>
      </c>
      <c r="K47" s="2"/>
      <c r="L47" s="2">
        <f t="shared" si="6"/>
        <v>-372444</v>
      </c>
      <c r="M47" s="2"/>
      <c r="N47" s="21">
        <f t="shared" si="7"/>
        <v>0.38791077856285827</v>
      </c>
      <c r="O47" s="11"/>
      <c r="P47" s="2">
        <v>-1949502</v>
      </c>
      <c r="Q47" s="2"/>
      <c r="R47" s="21">
        <f t="shared" si="8"/>
        <v>-0.86960855571183304</v>
      </c>
      <c r="S47" s="2"/>
      <c r="T47" s="2">
        <v>-1525937</v>
      </c>
      <c r="U47" s="2"/>
      <c r="V47" s="21">
        <f t="shared" si="9"/>
        <v>-0.57238038896863719</v>
      </c>
      <c r="W47" s="2"/>
      <c r="X47" s="2">
        <f t="shared" si="10"/>
        <v>-423565</v>
      </c>
      <c r="Y47" s="2"/>
      <c r="Z47" s="21">
        <f t="shared" si="11"/>
        <v>0.27757699039999684</v>
      </c>
    </row>
    <row r="48" spans="1:26" s="24" customFormat="1" hidden="1" outlineLevel="1" x14ac:dyDescent="0.25">
      <c r="A48" s="50"/>
      <c r="B48" s="11" t="str">
        <f>CONCATENATE("          ", "5300", " - ", "COG$ OFFSET")</f>
        <v xml:space="preserve">          5300 - COG$ OFFSET</v>
      </c>
      <c r="C48" s="11"/>
      <c r="D48" s="2">
        <v>1039635.0000000001</v>
      </c>
      <c r="E48" s="2"/>
      <c r="F48" s="21">
        <f t="shared" si="4"/>
        <v>0.48362261072085716</v>
      </c>
      <c r="G48" s="2"/>
      <c r="H48" s="2">
        <v>1240698</v>
      </c>
      <c r="I48" s="2"/>
      <c r="J48" s="21">
        <f t="shared" si="5"/>
        <v>0.49086536926735275</v>
      </c>
      <c r="K48" s="2"/>
      <c r="L48" s="2">
        <f t="shared" si="6"/>
        <v>-201062.99999999988</v>
      </c>
      <c r="M48" s="2"/>
      <c r="N48" s="21">
        <f t="shared" si="7"/>
        <v>-0.16205635859814385</v>
      </c>
      <c r="O48" s="11"/>
      <c r="P48" s="2">
        <v>1102923</v>
      </c>
      <c r="Q48" s="2"/>
      <c r="R48" s="21">
        <f t="shared" si="8"/>
        <v>0.49197758047509671</v>
      </c>
      <c r="S48" s="2"/>
      <c r="T48" s="2">
        <v>1322944</v>
      </c>
      <c r="U48" s="2"/>
      <c r="V48" s="21">
        <f t="shared" si="9"/>
        <v>0.49623752573253332</v>
      </c>
      <c r="W48" s="2"/>
      <c r="X48" s="2">
        <f t="shared" si="10"/>
        <v>-220021</v>
      </c>
      <c r="Y48" s="2"/>
      <c r="Z48" s="21">
        <f t="shared" si="11"/>
        <v>-0.16631165037975909</v>
      </c>
    </row>
    <row r="49" spans="1:26" s="24" customFormat="1" hidden="1" outlineLevel="1" x14ac:dyDescent="0.25">
      <c r="A49" s="50"/>
      <c r="B49" s="11" t="str">
        <f>CONCATENATE("          ", "5500", " - ", "FREIGHT-IN")</f>
        <v xml:space="preserve">          5500 - FREIGHT-IN</v>
      </c>
      <c r="C49" s="11"/>
      <c r="D49" s="2"/>
      <c r="E49" s="2"/>
      <c r="F49" s="21">
        <f t="shared" si="4"/>
        <v>0</v>
      </c>
      <c r="G49" s="2"/>
      <c r="H49" s="2">
        <v>213.97</v>
      </c>
      <c r="I49" s="2"/>
      <c r="J49" s="21">
        <f t="shared" si="5"/>
        <v>8.4654334142664418E-5</v>
      </c>
      <c r="K49" s="2"/>
      <c r="L49" s="2">
        <f t="shared" si="6"/>
        <v>-213.97</v>
      </c>
      <c r="M49" s="2"/>
      <c r="N49" s="21">
        <f t="shared" si="7"/>
        <v>-1</v>
      </c>
      <c r="O49" s="11"/>
      <c r="P49" s="2"/>
      <c r="Q49" s="2"/>
      <c r="R49" s="21">
        <f t="shared" si="8"/>
        <v>0</v>
      </c>
      <c r="S49" s="2"/>
      <c r="T49" s="2">
        <v>213.97</v>
      </c>
      <c r="U49" s="2"/>
      <c r="V49" s="21">
        <f t="shared" si="9"/>
        <v>8.0260346152966527E-5</v>
      </c>
      <c r="W49" s="2"/>
      <c r="X49" s="2">
        <f t="shared" si="10"/>
        <v>-213.97</v>
      </c>
      <c r="Y49" s="2"/>
      <c r="Z49" s="21">
        <f t="shared" si="11"/>
        <v>-1</v>
      </c>
    </row>
    <row r="50" spans="1:26" s="24" customFormat="1" hidden="1" outlineLevel="1" x14ac:dyDescent="0.25">
      <c r="A50" s="50"/>
      <c r="B50" s="11" t="str">
        <f>CONCATENATE("          ", "5501", " - ", "FREIGHT-IN-NEW TEXT")</f>
        <v xml:space="preserve">          5501 - FREIGHT-IN-NEW TEXT</v>
      </c>
      <c r="C50" s="11"/>
      <c r="D50" s="2">
        <v>11008.16</v>
      </c>
      <c r="E50" s="2"/>
      <c r="F50" s="21">
        <f t="shared" si="4"/>
        <v>5.1208309439687103E-3</v>
      </c>
      <c r="G50" s="2"/>
      <c r="H50" s="2">
        <v>6840.15</v>
      </c>
      <c r="I50" s="2"/>
      <c r="J50" s="21">
        <f t="shared" si="5"/>
        <v>2.7062127573302145E-3</v>
      </c>
      <c r="K50" s="2"/>
      <c r="L50" s="2">
        <f t="shared" si="6"/>
        <v>4168.01</v>
      </c>
      <c r="M50" s="2"/>
      <c r="N50" s="21">
        <f t="shared" si="7"/>
        <v>0.60934482430940851</v>
      </c>
      <c r="O50" s="11"/>
      <c r="P50" s="2">
        <v>12724.24</v>
      </c>
      <c r="Q50" s="2"/>
      <c r="R50" s="21">
        <f t="shared" si="8"/>
        <v>5.675863871353163E-3</v>
      </c>
      <c r="S50" s="2"/>
      <c r="T50" s="2">
        <v>8999.08</v>
      </c>
      <c r="U50" s="2"/>
      <c r="V50" s="21">
        <f t="shared" si="9"/>
        <v>3.3755632839100719E-3</v>
      </c>
      <c r="W50" s="2"/>
      <c r="X50" s="2">
        <f t="shared" si="10"/>
        <v>3725.16</v>
      </c>
      <c r="Y50" s="2"/>
      <c r="Z50" s="21">
        <f t="shared" si="11"/>
        <v>0.41394898145143727</v>
      </c>
    </row>
    <row r="51" spans="1:26" s="24" customFormat="1" hidden="1" outlineLevel="1" x14ac:dyDescent="0.25">
      <c r="A51" s="50"/>
      <c r="B51" s="11" t="str">
        <f>CONCATENATE("          ", "5502", " - ", "FREIGHT-IN-USED TEXT")</f>
        <v xml:space="preserve">          5502 - FREIGHT-IN-USED TEXT</v>
      </c>
      <c r="C51" s="11"/>
      <c r="D51" s="2">
        <v>3985.02</v>
      </c>
      <c r="E51" s="2"/>
      <c r="F51" s="21">
        <f t="shared" si="4"/>
        <v>1.8537715411416796E-3</v>
      </c>
      <c r="G51" s="2"/>
      <c r="H51" s="2">
        <v>1508.23</v>
      </c>
      <c r="I51" s="2"/>
      <c r="J51" s="21">
        <f t="shared" si="5"/>
        <v>5.9671078367991195E-4</v>
      </c>
      <c r="K51" s="2"/>
      <c r="L51" s="2">
        <f t="shared" si="6"/>
        <v>2476.79</v>
      </c>
      <c r="M51" s="2"/>
      <c r="N51" s="21">
        <f t="shared" si="7"/>
        <v>1.6421832213919627</v>
      </c>
      <c r="O51" s="11"/>
      <c r="P51" s="2">
        <v>4262.51</v>
      </c>
      <c r="Q51" s="2"/>
      <c r="R51" s="21">
        <f t="shared" si="8"/>
        <v>1.9013651511038438E-3</v>
      </c>
      <c r="S51" s="2"/>
      <c r="T51" s="2">
        <v>1794.84</v>
      </c>
      <c r="U51" s="2"/>
      <c r="V51" s="21">
        <f t="shared" si="9"/>
        <v>6.7324615455059331E-4</v>
      </c>
      <c r="W51" s="2"/>
      <c r="X51" s="2">
        <f t="shared" si="10"/>
        <v>2467.67</v>
      </c>
      <c r="Y51" s="2"/>
      <c r="Z51" s="21">
        <f t="shared" si="11"/>
        <v>1.3748690691092242</v>
      </c>
    </row>
    <row r="52" spans="1:26" s="24" customFormat="1" hidden="1" outlineLevel="1" x14ac:dyDescent="0.25">
      <c r="A52" s="50"/>
      <c r="B52" s="11" t="str">
        <f>CONCATENATE("          ", "5504", " - ", "FREIGHT-IN-DIGITAL TEXT")</f>
        <v xml:space="preserve">          5504 - FREIGHT-IN-DIGITAL TEXT</v>
      </c>
      <c r="C52" s="11"/>
      <c r="D52" s="2">
        <v>7.03</v>
      </c>
      <c r="E52" s="2"/>
      <c r="F52" s="21">
        <f t="shared" si="4"/>
        <v>3.2702505719484488E-6</v>
      </c>
      <c r="G52" s="2"/>
      <c r="H52" s="2">
        <v>2.5</v>
      </c>
      <c r="I52" s="2"/>
      <c r="J52" s="21">
        <f t="shared" si="5"/>
        <v>9.890911593057954E-7</v>
      </c>
      <c r="K52" s="2"/>
      <c r="L52" s="2">
        <f t="shared" si="6"/>
        <v>4.53</v>
      </c>
      <c r="M52" s="2"/>
      <c r="N52" s="21">
        <f t="shared" si="7"/>
        <v>1.8120000000000001</v>
      </c>
      <c r="O52" s="11"/>
      <c r="P52" s="2">
        <v>7.03</v>
      </c>
      <c r="Q52" s="2"/>
      <c r="R52" s="21">
        <f t="shared" si="8"/>
        <v>3.1358511797649791E-6</v>
      </c>
      <c r="S52" s="2"/>
      <c r="T52" s="2">
        <v>2.5</v>
      </c>
      <c r="U52" s="2"/>
      <c r="V52" s="21">
        <f t="shared" si="9"/>
        <v>9.3775232687954536E-7</v>
      </c>
      <c r="W52" s="2"/>
      <c r="X52" s="2">
        <f t="shared" si="10"/>
        <v>4.53</v>
      </c>
      <c r="Y52" s="2"/>
      <c r="Z52" s="21">
        <f t="shared" si="11"/>
        <v>1.8120000000000001</v>
      </c>
    </row>
    <row r="53" spans="1:26" s="24" customFormat="1" hidden="1" outlineLevel="1" x14ac:dyDescent="0.25">
      <c r="A53" s="50"/>
      <c r="B53" s="11" t="str">
        <f>CONCATENATE("          ", "5513", " - ", "FREIGHT-IN-TRADE BOOKS")</f>
        <v xml:space="preserve">          5513 - FREIGHT-IN-TRADE BOOKS</v>
      </c>
      <c r="C53" s="11"/>
      <c r="D53" s="2"/>
      <c r="E53" s="2"/>
      <c r="F53" s="21">
        <f t="shared" si="4"/>
        <v>0</v>
      </c>
      <c r="G53" s="2"/>
      <c r="H53" s="2"/>
      <c r="I53" s="2"/>
      <c r="J53" s="21">
        <f t="shared" si="5"/>
        <v>0</v>
      </c>
      <c r="K53" s="2"/>
      <c r="L53" s="2">
        <f t="shared" si="6"/>
        <v>0</v>
      </c>
      <c r="M53" s="2"/>
      <c r="N53" s="21">
        <f t="shared" si="7"/>
        <v>0</v>
      </c>
      <c r="O53" s="11"/>
      <c r="P53" s="2"/>
      <c r="Q53" s="2"/>
      <c r="R53" s="21">
        <f t="shared" si="8"/>
        <v>0</v>
      </c>
      <c r="S53" s="2"/>
      <c r="T53" s="2">
        <v>7.27</v>
      </c>
      <c r="U53" s="2"/>
      <c r="V53" s="21">
        <f t="shared" si="9"/>
        <v>2.7269837665657177E-6</v>
      </c>
      <c r="W53" s="2"/>
      <c r="X53" s="2">
        <f t="shared" si="10"/>
        <v>-7.27</v>
      </c>
      <c r="Y53" s="2"/>
      <c r="Z53" s="21">
        <f t="shared" si="11"/>
        <v>-1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6" t="s">
        <v>6</v>
      </c>
      <c r="C55" s="26"/>
      <c r="D55" s="20">
        <f>D12-D38</f>
        <v>588031.04000000097</v>
      </c>
      <c r="E55" s="13"/>
      <c r="F55" s="19">
        <f>IF(D$12=0,0,D55/D$12)</f>
        <v>0.27354322117829932</v>
      </c>
      <c r="G55" s="13"/>
      <c r="H55" s="20">
        <f>H12-H38</f>
        <v>687740.30000000028</v>
      </c>
      <c r="I55" s="13"/>
      <c r="J55" s="19">
        <f>IF(H$12=0,0,H55/H$12)</f>
        <v>0.27209514025132636</v>
      </c>
      <c r="K55" s="15"/>
      <c r="L55" s="20">
        <f>+D55-H55</f>
        <v>-99709.259999999311</v>
      </c>
      <c r="M55" s="15"/>
      <c r="N55" s="19">
        <f>IF(H55=0,0,L55/H55)</f>
        <v>-0.14498097610391492</v>
      </c>
      <c r="O55" s="25"/>
      <c r="P55" s="20">
        <f>P12-P38</f>
        <v>604173.17999999993</v>
      </c>
      <c r="Q55" s="13"/>
      <c r="R55" s="19">
        <f>IF(P$12=0,0,P55/P$12)</f>
        <v>0.269501732473024</v>
      </c>
      <c r="S55" s="13"/>
      <c r="T55" s="20">
        <f>T12-T38</f>
        <v>723939.06</v>
      </c>
      <c r="U55" s="13"/>
      <c r="V55" s="19">
        <f>IF(T$12=0,0,T55/T$12)</f>
        <v>0.27155021521359635</v>
      </c>
      <c r="W55" s="15"/>
      <c r="X55" s="20">
        <f>+P55-T55</f>
        <v>-119765.88000000012</v>
      </c>
      <c r="Y55" s="15"/>
      <c r="Z55" s="19">
        <f>IF(T55=0,0,X55/T55)</f>
        <v>-0.1654364111807976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5" t="s">
        <v>9</v>
      </c>
      <c r="C57" s="10"/>
      <c r="D57" s="22">
        <f>SUM(OSRRefD22x_0)</f>
        <v>50645.710000000006</v>
      </c>
      <c r="E57" s="22"/>
      <c r="F57" s="33">
        <f t="shared" ref="F57:F67" si="12">IF(D$12=0,0,D57/D$12)</f>
        <v>2.3559624764471591E-2</v>
      </c>
      <c r="G57" s="22"/>
      <c r="H57" s="22">
        <f>SUM(OSRRefH22x_0)</f>
        <v>72127.73000000001</v>
      </c>
      <c r="I57" s="22"/>
      <c r="J57" s="33">
        <f t="shared" ref="J57:J67" si="13">IF(H$12=0,0,H57/H$12)</f>
        <v>2.8536360033518164E-2</v>
      </c>
      <c r="K57" s="4"/>
      <c r="L57" s="22">
        <f t="shared" ref="L57:L67" si="14">+D57-H57</f>
        <v>-21482.020000000004</v>
      </c>
      <c r="M57" s="4"/>
      <c r="N57" s="33">
        <f t="shared" ref="N57:N67" si="15">IF(H57=0,0,L57/H57)</f>
        <v>-0.29783302482970142</v>
      </c>
      <c r="O57" s="10"/>
      <c r="P57" s="22">
        <f>SUM(OSRRefP22x_0)</f>
        <v>93637.060000000027</v>
      </c>
      <c r="Q57" s="22"/>
      <c r="R57" s="33">
        <f t="shared" ref="R57:R67" si="16">IF(P$12=0,0,P57/P$12)</f>
        <v>4.1768404704228199E-2</v>
      </c>
      <c r="S57" s="22"/>
      <c r="T57" s="22">
        <f>SUM(OSRRefT22x_0)</f>
        <v>120876.18000000004</v>
      </c>
      <c r="U57" s="22"/>
      <c r="V57" s="33">
        <f t="shared" ref="V57:V67" si="17">IF(T$12=0,0,T57/T$12)</f>
        <v>4.5340767623724319E-2</v>
      </c>
      <c r="W57" s="4"/>
      <c r="X57" s="22">
        <f t="shared" ref="X57:X67" si="18">+P57-T57</f>
        <v>-27239.12000000001</v>
      </c>
      <c r="Y57" s="4"/>
      <c r="Z57" s="33">
        <f t="shared" ref="Z57:Z67" si="19">IF(T57=0,0,X57/T57)</f>
        <v>-0.22534729340387827</v>
      </c>
    </row>
    <row r="58" spans="1:26" s="27" customFormat="1" outlineLevel="1" collapsed="1" x14ac:dyDescent="0.25">
      <c r="A58" s="28"/>
      <c r="B58" s="14" t="str">
        <f>CONCATENATE("     ","*Benefits                                         ")</f>
        <v xml:space="preserve">     *Benefits                                         </v>
      </c>
      <c r="C58" s="14"/>
      <c r="D58" s="1">
        <f>SUM(OSRRefD22_0x_0)</f>
        <v>9693.15</v>
      </c>
      <c r="E58" s="1"/>
      <c r="F58" s="5">
        <f t="shared" si="12"/>
        <v>4.5091080130131014E-3</v>
      </c>
      <c r="G58" s="1"/>
      <c r="H58" s="1">
        <f>SUM(OSRRefH22_0x_0)</f>
        <v>12206.58</v>
      </c>
      <c r="I58" s="1"/>
      <c r="J58" s="5">
        <f t="shared" si="13"/>
        <v>4.8293681453435745E-3</v>
      </c>
      <c r="K58" s="1"/>
      <c r="L58" s="1">
        <f t="shared" si="14"/>
        <v>-2513.4300000000003</v>
      </c>
      <c r="M58" s="1"/>
      <c r="N58" s="5">
        <f t="shared" si="15"/>
        <v>-0.20590779726999703</v>
      </c>
      <c r="O58" s="14"/>
      <c r="P58" s="1">
        <f>SUM(OSRRefP22_0x_0)</f>
        <v>20919.760000000002</v>
      </c>
      <c r="Q58" s="1"/>
      <c r="R58" s="5">
        <f t="shared" si="16"/>
        <v>9.3316150891038733E-3</v>
      </c>
      <c r="S58" s="1"/>
      <c r="T58" s="1">
        <f>SUM(OSRRefT22_0x_0)</f>
        <v>23265.75</v>
      </c>
      <c r="U58" s="1"/>
      <c r="V58" s="5">
        <f t="shared" si="17"/>
        <v>8.7270044796391132E-3</v>
      </c>
      <c r="W58" s="1"/>
      <c r="X58" s="1">
        <f t="shared" si="18"/>
        <v>-2345.989999999998</v>
      </c>
      <c r="Y58" s="1"/>
      <c r="Z58" s="5">
        <f t="shared" si="19"/>
        <v>-0.10083448846480332</v>
      </c>
    </row>
    <row r="59" spans="1:26" s="24" customFormat="1" hidden="1" outlineLevel="2" x14ac:dyDescent="0.25">
      <c r="A59" s="29"/>
      <c r="B59" s="11" t="str">
        <f>CONCATENATE("          ", "6111", " - ", "F.I.C.A.")</f>
        <v xml:space="preserve">          6111 - F.I.C.A.</v>
      </c>
      <c r="C59" s="11"/>
      <c r="D59" s="7">
        <v>1765.5</v>
      </c>
      <c r="E59" s="2"/>
      <c r="F59" s="6">
        <f t="shared" si="12"/>
        <v>8.2128412301208905E-4</v>
      </c>
      <c r="G59" s="2"/>
      <c r="H59" s="7">
        <v>2086.4</v>
      </c>
      <c r="I59" s="2"/>
      <c r="J59" s="6">
        <f t="shared" si="13"/>
        <v>8.2545591791024467E-4</v>
      </c>
      <c r="K59" s="2"/>
      <c r="L59" s="7">
        <f t="shared" si="14"/>
        <v>-320.90000000000009</v>
      </c>
      <c r="M59" s="2"/>
      <c r="N59" s="6">
        <f t="shared" si="15"/>
        <v>-0.15380559815950923</v>
      </c>
      <c r="O59" s="11"/>
      <c r="P59" s="7">
        <v>3386.25</v>
      </c>
      <c r="Q59" s="2"/>
      <c r="R59" s="6">
        <f t="shared" si="16"/>
        <v>1.5104944605233515E-3</v>
      </c>
      <c r="S59" s="2"/>
      <c r="T59" s="7">
        <v>3901.16</v>
      </c>
      <c r="U59" s="2"/>
      <c r="V59" s="6">
        <f t="shared" si="17"/>
        <v>1.4633287470117628E-3</v>
      </c>
      <c r="W59" s="2"/>
      <c r="X59" s="7">
        <f t="shared" si="18"/>
        <v>-514.90999999999985</v>
      </c>
      <c r="Y59" s="2"/>
      <c r="Z59" s="6">
        <f t="shared" si="19"/>
        <v>-0.131988946877339</v>
      </c>
    </row>
    <row r="60" spans="1:26" s="24" customFormat="1" hidden="1" outlineLevel="2" x14ac:dyDescent="0.25">
      <c r="A60" s="29"/>
      <c r="B60" s="11" t="str">
        <f>CONCATENATE("          ", "6112", " - ", "COMPENSATION INSURANCE")</f>
        <v xml:space="preserve">          6112 - COMPENSATION INSURANCE</v>
      </c>
      <c r="C60" s="11"/>
      <c r="D60" s="7">
        <v>96.33</v>
      </c>
      <c r="E60" s="2"/>
      <c r="F60" s="6">
        <f t="shared" si="12"/>
        <v>4.4811271350753067E-5</v>
      </c>
      <c r="G60" s="2"/>
      <c r="H60" s="7">
        <v>94.91</v>
      </c>
      <c r="I60" s="2"/>
      <c r="J60" s="6">
        <f t="shared" si="13"/>
        <v>3.7549856771885218E-5</v>
      </c>
      <c r="K60" s="2"/>
      <c r="L60" s="7">
        <f t="shared" si="14"/>
        <v>1.4200000000000017</v>
      </c>
      <c r="M60" s="2"/>
      <c r="N60" s="6">
        <f t="shared" si="15"/>
        <v>1.4961542513960613E-2</v>
      </c>
      <c r="O60" s="11"/>
      <c r="P60" s="7">
        <v>181.44</v>
      </c>
      <c r="Q60" s="2"/>
      <c r="R60" s="6">
        <f t="shared" si="16"/>
        <v>8.0934400861530271E-5</v>
      </c>
      <c r="S60" s="2"/>
      <c r="T60" s="7">
        <v>209.75</v>
      </c>
      <c r="U60" s="2"/>
      <c r="V60" s="6">
        <f t="shared" si="17"/>
        <v>7.8677420225193854E-5</v>
      </c>
      <c r="W60" s="2"/>
      <c r="X60" s="7">
        <f t="shared" si="18"/>
        <v>-28.310000000000002</v>
      </c>
      <c r="Y60" s="2"/>
      <c r="Z60" s="6">
        <f t="shared" si="19"/>
        <v>-0.13497020262216927</v>
      </c>
    </row>
    <row r="61" spans="1:26" s="24" customFormat="1" hidden="1" outlineLevel="2" x14ac:dyDescent="0.25">
      <c r="A61" s="29"/>
      <c r="B61" s="11" t="str">
        <f>CONCATENATE("          ", "6113", " - ", "GROUP INSURANCE")</f>
        <v xml:space="preserve">          6113 - GROUP INSURANCE</v>
      </c>
      <c r="C61" s="11"/>
      <c r="D61" s="7">
        <v>4168.57</v>
      </c>
      <c r="E61" s="2"/>
      <c r="F61" s="6">
        <f t="shared" si="12"/>
        <v>1.939156248464743E-3</v>
      </c>
      <c r="G61" s="2"/>
      <c r="H61" s="7">
        <v>5625.32</v>
      </c>
      <c r="I61" s="2"/>
      <c r="J61" s="6">
        <f t="shared" si="13"/>
        <v>2.225581712106431E-3</v>
      </c>
      <c r="K61" s="2"/>
      <c r="L61" s="7">
        <f t="shared" si="14"/>
        <v>-1456.75</v>
      </c>
      <c r="M61" s="2"/>
      <c r="N61" s="6">
        <f t="shared" si="15"/>
        <v>-0.25896304565784706</v>
      </c>
      <c r="O61" s="11"/>
      <c r="P61" s="7">
        <v>8337.14</v>
      </c>
      <c r="Q61" s="2"/>
      <c r="R61" s="6">
        <f t="shared" si="16"/>
        <v>3.7189232297106397E-3</v>
      </c>
      <c r="S61" s="2"/>
      <c r="T61" s="7">
        <v>7734.33</v>
      </c>
      <c r="U61" s="2"/>
      <c r="V61" s="6">
        <f t="shared" si="17"/>
        <v>2.9011543817417098E-3</v>
      </c>
      <c r="W61" s="2"/>
      <c r="X61" s="7">
        <f t="shared" si="18"/>
        <v>602.80999999999949</v>
      </c>
      <c r="Y61" s="2"/>
      <c r="Z61" s="6">
        <f t="shared" si="19"/>
        <v>7.7939524173393102E-2</v>
      </c>
    </row>
    <row r="62" spans="1:26" s="24" customFormat="1" hidden="1" outlineLevel="2" x14ac:dyDescent="0.25">
      <c r="A62" s="29"/>
      <c r="B62" s="11" t="str">
        <f>CONCATENATE("          ", "6114", " - ", "STATE UNEMPLOYMENT INSURANCE")</f>
        <v xml:space="preserve">          6114 - STATE UNEMPLOYMENT INSURANCE</v>
      </c>
      <c r="C62" s="11"/>
      <c r="D62" s="7">
        <v>58.34</v>
      </c>
      <c r="E62" s="2"/>
      <c r="F62" s="6">
        <f t="shared" si="12"/>
        <v>2.7138893082144025E-5</v>
      </c>
      <c r="G62" s="2"/>
      <c r="H62" s="7">
        <v>79.599999999999994</v>
      </c>
      <c r="I62" s="2"/>
      <c r="J62" s="6">
        <f t="shared" si="13"/>
        <v>3.1492662512296525E-5</v>
      </c>
      <c r="K62" s="2"/>
      <c r="L62" s="7">
        <f t="shared" si="14"/>
        <v>-21.259999999999991</v>
      </c>
      <c r="M62" s="2"/>
      <c r="N62" s="6">
        <f t="shared" si="15"/>
        <v>-0.26708542713567829</v>
      </c>
      <c r="O62" s="11"/>
      <c r="P62" s="7">
        <v>113.43</v>
      </c>
      <c r="Q62" s="2"/>
      <c r="R62" s="6">
        <f t="shared" si="16"/>
        <v>5.0597382549180881E-5</v>
      </c>
      <c r="S62" s="2"/>
      <c r="T62" s="7">
        <v>175.91</v>
      </c>
      <c r="U62" s="2"/>
      <c r="V62" s="6">
        <f t="shared" si="17"/>
        <v>6.5984004728552331E-5</v>
      </c>
      <c r="W62" s="2"/>
      <c r="X62" s="7">
        <f t="shared" si="18"/>
        <v>-62.47999999999999</v>
      </c>
      <c r="Y62" s="2"/>
      <c r="Z62" s="6">
        <f t="shared" si="19"/>
        <v>-0.35518162696833605</v>
      </c>
    </row>
    <row r="63" spans="1:26" s="24" customFormat="1" hidden="1" outlineLevel="2" x14ac:dyDescent="0.25">
      <c r="A63" s="29"/>
      <c r="B63" s="11" t="str">
        <f>CONCATENATE("          ", "6115", " - ", "P.E.R.S.")</f>
        <v xml:space="preserve">          6115 - P.E.R.S.</v>
      </c>
      <c r="C63" s="11"/>
      <c r="D63" s="7">
        <v>1325.86</v>
      </c>
      <c r="E63" s="2"/>
      <c r="F63" s="6">
        <f t="shared" si="12"/>
        <v>6.1677018823948356E-4</v>
      </c>
      <c r="G63" s="2"/>
      <c r="H63" s="7">
        <v>1183.45</v>
      </c>
      <c r="I63" s="2"/>
      <c r="J63" s="6">
        <f t="shared" si="13"/>
        <v>4.6821597299217746E-4</v>
      </c>
      <c r="K63" s="2"/>
      <c r="L63" s="7">
        <f t="shared" si="14"/>
        <v>142.40999999999985</v>
      </c>
      <c r="M63" s="2"/>
      <c r="N63" s="6">
        <f t="shared" si="15"/>
        <v>0.12033461489712269</v>
      </c>
      <c r="O63" s="11"/>
      <c r="P63" s="7">
        <v>2651.72</v>
      </c>
      <c r="Q63" s="2"/>
      <c r="R63" s="6">
        <f t="shared" si="16"/>
        <v>1.1828448492754466E-3</v>
      </c>
      <c r="S63" s="2"/>
      <c r="T63" s="7">
        <v>2941.4</v>
      </c>
      <c r="U63" s="2"/>
      <c r="V63" s="6">
        <f t="shared" si="17"/>
        <v>1.103321877713398E-3</v>
      </c>
      <c r="W63" s="2"/>
      <c r="X63" s="7">
        <f t="shared" si="18"/>
        <v>-289.68000000000029</v>
      </c>
      <c r="Y63" s="2"/>
      <c r="Z63" s="6">
        <f t="shared" si="19"/>
        <v>-9.8483715237642031E-2</v>
      </c>
    </row>
    <row r="64" spans="1:26" s="24" customFormat="1" hidden="1" outlineLevel="2" x14ac:dyDescent="0.25">
      <c r="A64" s="29"/>
      <c r="B64" s="11" t="str">
        <f>CONCATENATE("          ", "6117", " - ", "RETIREMENT STAFF HOURLY")</f>
        <v xml:space="preserve">          6117 - RETIREMENT STAFF HOURLY</v>
      </c>
      <c r="C64" s="11"/>
      <c r="D64" s="7">
        <v>94.68</v>
      </c>
      <c r="E64" s="2"/>
      <c r="F64" s="6">
        <f t="shared" si="12"/>
        <v>4.4043716095601583E-5</v>
      </c>
      <c r="G64" s="2"/>
      <c r="H64" s="7">
        <v>236.56</v>
      </c>
      <c r="I64" s="2"/>
      <c r="J64" s="6">
        <f t="shared" si="13"/>
        <v>9.359176185815159E-5</v>
      </c>
      <c r="K64" s="2"/>
      <c r="L64" s="7">
        <f t="shared" si="14"/>
        <v>-141.88</v>
      </c>
      <c r="M64" s="2"/>
      <c r="N64" s="6">
        <f t="shared" si="15"/>
        <v>-0.599763273588096</v>
      </c>
      <c r="O64" s="11"/>
      <c r="P64" s="7">
        <v>315.37</v>
      </c>
      <c r="Q64" s="2"/>
      <c r="R64" s="6">
        <f t="shared" si="16"/>
        <v>1.4067615740575838E-4</v>
      </c>
      <c r="S64" s="2"/>
      <c r="T64" s="7">
        <v>469.08</v>
      </c>
      <c r="U64" s="2"/>
      <c r="V64" s="6">
        <f t="shared" si="17"/>
        <v>1.7595234459706285E-4</v>
      </c>
      <c r="W64" s="2"/>
      <c r="X64" s="7">
        <f t="shared" si="18"/>
        <v>-153.70999999999998</v>
      </c>
      <c r="Y64" s="2"/>
      <c r="Z64" s="6">
        <f t="shared" si="19"/>
        <v>-0.32768397714675535</v>
      </c>
    </row>
    <row r="65" spans="1:26" s="24" customFormat="1" hidden="1" outlineLevel="2" x14ac:dyDescent="0.25">
      <c r="A65" s="29"/>
      <c r="B65" s="11" t="str">
        <f>CONCATENATE("          ", "6118", " - ", "VACATION")</f>
        <v xml:space="preserve">          6118 - VACATION</v>
      </c>
      <c r="C65" s="11"/>
      <c r="D65" s="7">
        <v>794.54</v>
      </c>
      <c r="E65" s="2"/>
      <c r="F65" s="6">
        <f t="shared" si="12"/>
        <v>3.6960809238064301E-4</v>
      </c>
      <c r="G65" s="2"/>
      <c r="H65" s="7">
        <v>1287.7</v>
      </c>
      <c r="I65" s="2"/>
      <c r="J65" s="6">
        <f t="shared" si="13"/>
        <v>5.0946107433522917E-4</v>
      </c>
      <c r="K65" s="2"/>
      <c r="L65" s="7">
        <f t="shared" si="14"/>
        <v>-493.16000000000008</v>
      </c>
      <c r="M65" s="2"/>
      <c r="N65" s="6">
        <f t="shared" si="15"/>
        <v>-0.38297740156868842</v>
      </c>
      <c r="O65" s="11"/>
      <c r="P65" s="7">
        <v>2274.46</v>
      </c>
      <c r="Q65" s="2"/>
      <c r="R65" s="6">
        <f t="shared" si="16"/>
        <v>1.0145616037451287E-3</v>
      </c>
      <c r="S65" s="2"/>
      <c r="T65" s="7">
        <v>3391.79</v>
      </c>
      <c r="U65" s="2"/>
      <c r="V65" s="6">
        <f t="shared" si="17"/>
        <v>1.2722635859147094E-3</v>
      </c>
      <c r="W65" s="2"/>
      <c r="X65" s="7">
        <f t="shared" si="18"/>
        <v>-1117.33</v>
      </c>
      <c r="Y65" s="2"/>
      <c r="Z65" s="6">
        <f t="shared" si="19"/>
        <v>-0.32942192765471917</v>
      </c>
    </row>
    <row r="66" spans="1:26" s="24" customFormat="1" hidden="1" outlineLevel="2" x14ac:dyDescent="0.25">
      <c r="A66" s="29"/>
      <c r="B66" s="11" t="str">
        <f>CONCATENATE("          ", "6119", " - ", "SICK LEAVE")</f>
        <v xml:space="preserve">          6119 - SICK LEAVE</v>
      </c>
      <c r="C66" s="11"/>
      <c r="D66" s="7">
        <v>801.74</v>
      </c>
      <c r="E66" s="2"/>
      <c r="F66" s="6">
        <f t="shared" si="12"/>
        <v>3.7295742440312222E-4</v>
      </c>
      <c r="G66" s="2"/>
      <c r="H66" s="7">
        <v>900.92</v>
      </c>
      <c r="I66" s="2"/>
      <c r="J66" s="6">
        <f t="shared" si="13"/>
        <v>3.5643680289671088E-4</v>
      </c>
      <c r="K66" s="2"/>
      <c r="L66" s="7">
        <f t="shared" si="14"/>
        <v>-99.17999999999995</v>
      </c>
      <c r="M66" s="2"/>
      <c r="N66" s="6">
        <f t="shared" si="15"/>
        <v>-0.11008746614571766</v>
      </c>
      <c r="O66" s="11"/>
      <c r="P66" s="7">
        <v>2512.2800000000002</v>
      </c>
      <c r="Q66" s="2"/>
      <c r="R66" s="6">
        <f t="shared" si="16"/>
        <v>1.1206452634281597E-3</v>
      </c>
      <c r="S66" s="2"/>
      <c r="T66" s="7">
        <v>3019.5</v>
      </c>
      <c r="U66" s="2"/>
      <c r="V66" s="6">
        <f t="shared" si="17"/>
        <v>1.1326172604051148E-3</v>
      </c>
      <c r="W66" s="2"/>
      <c r="X66" s="7">
        <f t="shared" si="18"/>
        <v>-507.2199999999998</v>
      </c>
      <c r="Y66" s="2"/>
      <c r="Z66" s="6">
        <f t="shared" si="19"/>
        <v>-0.16798145388309316</v>
      </c>
    </row>
    <row r="67" spans="1:26" s="24" customFormat="1" hidden="1" outlineLevel="2" x14ac:dyDescent="0.25">
      <c r="A67" s="29"/>
      <c r="B67" s="11" t="str">
        <f>CONCATENATE("          ", "6156", " - ", "EMPLOYEE MEALS")</f>
        <v xml:space="preserve">          6156 - EMPLOYEE MEALS</v>
      </c>
      <c r="C67" s="11"/>
      <c r="D67" s="7">
        <v>587.59</v>
      </c>
      <c r="E67" s="2"/>
      <c r="F67" s="6">
        <f t="shared" si="12"/>
        <v>2.733380559845219E-4</v>
      </c>
      <c r="G67" s="2"/>
      <c r="H67" s="7">
        <v>711.72</v>
      </c>
      <c r="I67" s="2"/>
      <c r="J67" s="6">
        <f t="shared" si="13"/>
        <v>2.8158238396044829E-4</v>
      </c>
      <c r="K67" s="2"/>
      <c r="L67" s="7">
        <f t="shared" si="14"/>
        <v>-124.13</v>
      </c>
      <c r="M67" s="2"/>
      <c r="N67" s="6">
        <f t="shared" si="15"/>
        <v>-0.1744084752430731</v>
      </c>
      <c r="O67" s="11"/>
      <c r="P67" s="7">
        <v>1147.67</v>
      </c>
      <c r="Q67" s="2"/>
      <c r="R67" s="6">
        <f t="shared" si="16"/>
        <v>5.1193774160467618E-4</v>
      </c>
      <c r="S67" s="2"/>
      <c r="T67" s="7">
        <v>1422.83</v>
      </c>
      <c r="U67" s="2"/>
      <c r="V67" s="6">
        <f t="shared" si="17"/>
        <v>5.3370485730160945E-4</v>
      </c>
      <c r="W67" s="2"/>
      <c r="X67" s="7">
        <f t="shared" si="18"/>
        <v>-275.15999999999985</v>
      </c>
      <c r="Y67" s="2"/>
      <c r="Z67" s="6">
        <f t="shared" si="19"/>
        <v>-0.1933892313206777</v>
      </c>
    </row>
    <row r="68" spans="1:26" s="27" customFormat="1" outlineLevel="1" collapsed="1" x14ac:dyDescent="0.25">
      <c r="A68" s="28"/>
      <c r="B68" s="14" t="str">
        <f>CONCATENATE("     ","*Payroll                                          ")</f>
        <v xml:space="preserve">     *Payroll                                          </v>
      </c>
      <c r="C68" s="14"/>
      <c r="D68" s="1">
        <f>SUM(OSRRefD22_1x_0)</f>
        <v>24469.840000000004</v>
      </c>
      <c r="E68" s="1"/>
      <c r="F68" s="5">
        <f t="shared" ref="F68:F73" si="20">IF(D$12=0,0,D68/D$12)</f>
        <v>1.1383002596797587E-2</v>
      </c>
      <c r="G68" s="1"/>
      <c r="H68" s="1">
        <f>SUM(OSRRefH22_1x_0)</f>
        <v>32686.239999999998</v>
      </c>
      <c r="I68" s="1"/>
      <c r="J68" s="5">
        <f t="shared" ref="J68:J73" si="21">IF(H$12=0,0,H68/H$12)</f>
        <v>1.2931868405978986E-2</v>
      </c>
      <c r="K68" s="1"/>
      <c r="L68" s="1">
        <f t="shared" ref="L68:L73" si="22">+D68-H68</f>
        <v>-8216.3999999999942</v>
      </c>
      <c r="M68" s="1"/>
      <c r="N68" s="5">
        <f t="shared" ref="N68:N73" si="23">IF(H68=0,0,L68/H68)</f>
        <v>-0.25137183108243699</v>
      </c>
      <c r="O68" s="14"/>
      <c r="P68" s="1">
        <f>SUM(OSRRefP22_1x_0)</f>
        <v>50543.15</v>
      </c>
      <c r="Q68" s="1"/>
      <c r="R68" s="5">
        <f t="shared" ref="R68:R73" si="24">IF(P$12=0,0,P68/P$12)</f>
        <v>2.2545632511598621E-2</v>
      </c>
      <c r="S68" s="1"/>
      <c r="T68" s="1">
        <f>SUM(OSRRefT22_1x_0)</f>
        <v>60670.84</v>
      </c>
      <c r="U68" s="1"/>
      <c r="V68" s="5">
        <f t="shared" ref="V68:V73" si="25">IF(T$12=0,0,T68/T$12)</f>
        <v>2.2757688553494637E-2</v>
      </c>
      <c r="W68" s="1"/>
      <c r="X68" s="1">
        <f t="shared" ref="X68:X73" si="26">+P68-T68</f>
        <v>-10127.689999999995</v>
      </c>
      <c r="Y68" s="1"/>
      <c r="Z68" s="5">
        <f t="shared" ref="Z68:Z73" si="27">IF(T68=0,0,X68/T68)</f>
        <v>-0.16692846184427307</v>
      </c>
    </row>
    <row r="69" spans="1:26" s="24" customFormat="1" hidden="1" outlineLevel="2" x14ac:dyDescent="0.25">
      <c r="A69" s="29"/>
      <c r="B69" s="11" t="str">
        <f>CONCATENATE("          ", "6002", " - ", "STAFF SALARIES")</f>
        <v xml:space="preserve">          6002 - STAFF SALARIES</v>
      </c>
      <c r="C69" s="11"/>
      <c r="D69" s="7">
        <v>14272.87</v>
      </c>
      <c r="E69" s="2"/>
      <c r="F69" s="6">
        <f t="shared" si="20"/>
        <v>6.6395250755115019E-3</v>
      </c>
      <c r="G69" s="2"/>
      <c r="H69" s="7">
        <v>12126.1</v>
      </c>
      <c r="I69" s="2"/>
      <c r="J69" s="6">
        <f t="shared" si="21"/>
        <v>4.797527322743203E-3</v>
      </c>
      <c r="K69" s="2"/>
      <c r="L69" s="7">
        <f t="shared" si="22"/>
        <v>2146.7700000000004</v>
      </c>
      <c r="M69" s="2"/>
      <c r="N69" s="6">
        <f t="shared" si="23"/>
        <v>0.17703713477540184</v>
      </c>
      <c r="O69" s="11"/>
      <c r="P69" s="7">
        <v>31902.230000000003</v>
      </c>
      <c r="Q69" s="2"/>
      <c r="R69" s="6">
        <f t="shared" si="24"/>
        <v>1.4230532799805649E-2</v>
      </c>
      <c r="S69" s="2"/>
      <c r="T69" s="7">
        <v>27521.7</v>
      </c>
      <c r="U69" s="2"/>
      <c r="V69" s="6">
        <f t="shared" si="25"/>
        <v>1.0323415285872314E-2</v>
      </c>
      <c r="W69" s="2"/>
      <c r="X69" s="7">
        <f t="shared" si="26"/>
        <v>4380.5300000000025</v>
      </c>
      <c r="Y69" s="2"/>
      <c r="Z69" s="6">
        <f t="shared" si="27"/>
        <v>0.15916640323817213</v>
      </c>
    </row>
    <row r="70" spans="1:26" s="24" customFormat="1" hidden="1" outlineLevel="2" x14ac:dyDescent="0.25">
      <c r="A70" s="29"/>
      <c r="B70" s="11" t="str">
        <f>CONCATENATE("          ", "6004", " - ", "STAFF HOURLY")</f>
        <v xml:space="preserve">          6004 - STAFF HOURLY</v>
      </c>
      <c r="C70" s="11"/>
      <c r="D70" s="7">
        <v>2830.32</v>
      </c>
      <c r="E70" s="2"/>
      <c r="F70" s="6">
        <f t="shared" si="20"/>
        <v>1.3166224180365766E-3</v>
      </c>
      <c r="G70" s="2"/>
      <c r="H70" s="7">
        <v>6032.47</v>
      </c>
      <c r="I70" s="2"/>
      <c r="J70" s="6">
        <f t="shared" si="21"/>
        <v>2.3866650983109731E-3</v>
      </c>
      <c r="K70" s="2"/>
      <c r="L70" s="7">
        <f t="shared" si="22"/>
        <v>-3202.15</v>
      </c>
      <c r="M70" s="2"/>
      <c r="N70" s="6">
        <f t="shared" si="23"/>
        <v>-0.53081905090286396</v>
      </c>
      <c r="O70" s="11"/>
      <c r="P70" s="7">
        <v>4836.25</v>
      </c>
      <c r="Q70" s="2"/>
      <c r="R70" s="6">
        <f t="shared" si="24"/>
        <v>2.1572916455388875E-3</v>
      </c>
      <c r="S70" s="2"/>
      <c r="T70" s="7">
        <v>11401.51</v>
      </c>
      <c r="U70" s="2"/>
      <c r="V70" s="6">
        <f t="shared" si="25"/>
        <v>4.276717012976162E-3</v>
      </c>
      <c r="W70" s="2"/>
      <c r="X70" s="7">
        <f t="shared" si="26"/>
        <v>-6565.26</v>
      </c>
      <c r="Y70" s="2"/>
      <c r="Z70" s="6">
        <f t="shared" si="27"/>
        <v>-0.57582372861138564</v>
      </c>
    </row>
    <row r="71" spans="1:26" s="24" customFormat="1" hidden="1" outlineLevel="2" x14ac:dyDescent="0.25">
      <c r="A71" s="29"/>
      <c r="B71" s="11" t="str">
        <f>CONCATENATE("          ", "6005", " - ", "TEMPORARY WAGES-HOURLY")</f>
        <v xml:space="preserve">          6005 - TEMPORARY WAGES-HOURLY</v>
      </c>
      <c r="C71" s="11"/>
      <c r="D71" s="7">
        <v>1476.95</v>
      </c>
      <c r="E71" s="2"/>
      <c r="F71" s="6">
        <f t="shared" si="20"/>
        <v>6.8705499036120362E-4</v>
      </c>
      <c r="G71" s="2"/>
      <c r="H71" s="7">
        <v>3425.52</v>
      </c>
      <c r="I71" s="2"/>
      <c r="J71" s="6">
        <f t="shared" si="21"/>
        <v>1.3552606192100754E-3</v>
      </c>
      <c r="K71" s="2"/>
      <c r="L71" s="7">
        <f t="shared" si="22"/>
        <v>-1948.57</v>
      </c>
      <c r="M71" s="2"/>
      <c r="N71" s="6">
        <f t="shared" si="23"/>
        <v>-0.56883918354001728</v>
      </c>
      <c r="O71" s="11"/>
      <c r="P71" s="7">
        <v>2669.35</v>
      </c>
      <c r="Q71" s="2"/>
      <c r="R71" s="6">
        <f t="shared" si="24"/>
        <v>1.1907090109111872E-3</v>
      </c>
      <c r="S71" s="2"/>
      <c r="T71" s="7">
        <v>5837.68</v>
      </c>
      <c r="U71" s="2"/>
      <c r="V71" s="6">
        <f t="shared" si="25"/>
        <v>2.1897192014312741E-3</v>
      </c>
      <c r="W71" s="2"/>
      <c r="X71" s="7">
        <f t="shared" si="26"/>
        <v>-3168.3300000000004</v>
      </c>
      <c r="Y71" s="2"/>
      <c r="Z71" s="6">
        <f t="shared" si="27"/>
        <v>-0.54273786846829564</v>
      </c>
    </row>
    <row r="72" spans="1:26" s="24" customFormat="1" hidden="1" outlineLevel="2" x14ac:dyDescent="0.25">
      <c r="A72" s="29"/>
      <c r="B72" s="11" t="str">
        <f>CONCATENATE("          ", "6006", " - ", "TEMPORARY PART TIME")</f>
        <v xml:space="preserve">          6006 - TEMPORARY PART TIME</v>
      </c>
      <c r="C72" s="11"/>
      <c r="D72" s="7"/>
      <c r="E72" s="2"/>
      <c r="F72" s="6">
        <f t="shared" si="20"/>
        <v>0</v>
      </c>
      <c r="G72" s="2"/>
      <c r="H72" s="7">
        <v>1260.19</v>
      </c>
      <c r="I72" s="2"/>
      <c r="J72" s="6">
        <f t="shared" si="21"/>
        <v>4.9857711521822824E-4</v>
      </c>
      <c r="K72" s="2"/>
      <c r="L72" s="7">
        <f t="shared" si="22"/>
        <v>-1260.19</v>
      </c>
      <c r="M72" s="2"/>
      <c r="N72" s="6">
        <f t="shared" si="23"/>
        <v>-1</v>
      </c>
      <c r="O72" s="11"/>
      <c r="P72" s="7"/>
      <c r="Q72" s="2"/>
      <c r="R72" s="6">
        <f t="shared" si="24"/>
        <v>0</v>
      </c>
      <c r="S72" s="2"/>
      <c r="T72" s="7">
        <v>2244.25</v>
      </c>
      <c r="U72" s="2"/>
      <c r="V72" s="6">
        <f t="shared" si="25"/>
        <v>8.4182026383976792E-4</v>
      </c>
      <c r="W72" s="2"/>
      <c r="X72" s="7">
        <f t="shared" si="26"/>
        <v>-2244.25</v>
      </c>
      <c r="Y72" s="2"/>
      <c r="Z72" s="6">
        <f t="shared" si="27"/>
        <v>-1</v>
      </c>
    </row>
    <row r="73" spans="1:26" s="24" customFormat="1" hidden="1" outlineLevel="2" x14ac:dyDescent="0.25">
      <c r="A73" s="29"/>
      <c r="B73" s="11" t="str">
        <f>CONCATENATE("          ", "6007", " - ", "STUDENT HOURLY")</f>
        <v xml:space="preserve">          6007 - STUDENT HOURLY</v>
      </c>
      <c r="C73" s="11"/>
      <c r="D73" s="7">
        <v>5889.7</v>
      </c>
      <c r="E73" s="2"/>
      <c r="F73" s="6">
        <f t="shared" si="20"/>
        <v>2.7398001128883039E-3</v>
      </c>
      <c r="G73" s="2"/>
      <c r="H73" s="7">
        <v>9841.9599999999991</v>
      </c>
      <c r="I73" s="2"/>
      <c r="J73" s="6">
        <f t="shared" si="21"/>
        <v>3.8938382504965065E-3</v>
      </c>
      <c r="K73" s="2"/>
      <c r="L73" s="7">
        <f t="shared" si="22"/>
        <v>-3952.2599999999993</v>
      </c>
      <c r="M73" s="2"/>
      <c r="N73" s="6">
        <f t="shared" si="23"/>
        <v>-0.40157245101585454</v>
      </c>
      <c r="O73" s="11"/>
      <c r="P73" s="7">
        <v>11135.32</v>
      </c>
      <c r="Q73" s="2"/>
      <c r="R73" s="6">
        <f t="shared" si="24"/>
        <v>4.9670990553428969E-3</v>
      </c>
      <c r="S73" s="2"/>
      <c r="T73" s="7">
        <v>13665.7</v>
      </c>
      <c r="U73" s="2"/>
      <c r="V73" s="6">
        <f t="shared" si="25"/>
        <v>5.1260167893751214E-3</v>
      </c>
      <c r="W73" s="2"/>
      <c r="X73" s="7">
        <f t="shared" si="26"/>
        <v>-2530.380000000001</v>
      </c>
      <c r="Y73" s="2"/>
      <c r="Z73" s="6">
        <f t="shared" si="27"/>
        <v>-0.18516285298228419</v>
      </c>
    </row>
    <row r="74" spans="1:26" s="27" customFormat="1" outlineLevel="1" collapsed="1" x14ac:dyDescent="0.25">
      <c r="A74" s="28"/>
      <c r="B74" s="14" t="str">
        <f>CONCATENATE("     ","Advertising/Promo                                 ")</f>
        <v xml:space="preserve">     Advertising/Promo                                 </v>
      </c>
      <c r="C74" s="14"/>
      <c r="D74" s="1">
        <f>SUM(OSRRefD22_2x_0)</f>
        <v>2905.19</v>
      </c>
      <c r="E74" s="1"/>
      <c r="F74" s="5">
        <f t="shared" ref="F74:F78" si="28">IF(D$12=0,0,D74/D$12)</f>
        <v>1.3514508192203291E-3</v>
      </c>
      <c r="G74" s="1"/>
      <c r="H74" s="1">
        <f>SUM(OSRRefH22_2x_0)</f>
        <v>1173.1600000000001</v>
      </c>
      <c r="I74" s="1"/>
      <c r="J74" s="5">
        <f t="shared" ref="J74:J78" si="29">IF(H$12=0,0,H74/H$12)</f>
        <v>4.6414487378047483E-4</v>
      </c>
      <c r="K74" s="1"/>
      <c r="L74" s="1">
        <f t="shared" ref="L74:L78" si="30">+D74-H74</f>
        <v>1732.03</v>
      </c>
      <c r="M74" s="1"/>
      <c r="N74" s="5">
        <f t="shared" ref="N74:N78" si="31">IF(H74=0,0,L74/H74)</f>
        <v>1.4763800334140269</v>
      </c>
      <c r="O74" s="14"/>
      <c r="P74" s="1">
        <f>SUM(OSRRefP22_2x_0)</f>
        <v>2996.19</v>
      </c>
      <c r="Q74" s="1"/>
      <c r="R74" s="5">
        <f t="shared" ref="R74:R78" si="32">IF(P$12=0,0,P74/P$12)</f>
        <v>1.3365015570839308E-3</v>
      </c>
      <c r="S74" s="1"/>
      <c r="T74" s="1">
        <f>SUM(OSRRefT22_2x_0)</f>
        <v>1654.3</v>
      </c>
      <c r="U74" s="1"/>
      <c r="V74" s="5">
        <f t="shared" ref="V74:V78" si="33">IF(T$12=0,0,T74/T$12)</f>
        <v>6.2052946974273276E-4</v>
      </c>
      <c r="W74" s="1"/>
      <c r="X74" s="1">
        <f t="shared" ref="X74:X78" si="34">+P74-T74</f>
        <v>1341.89</v>
      </c>
      <c r="Y74" s="1"/>
      <c r="Z74" s="5">
        <f t="shared" ref="Z74:Z78" si="35">IF(T74=0,0,X74/T74)</f>
        <v>0.81115275343045401</v>
      </c>
    </row>
    <row r="75" spans="1:26" s="24" customFormat="1" hidden="1" outlineLevel="2" x14ac:dyDescent="0.25">
      <c r="A75" s="29"/>
      <c r="B75" s="11" t="str">
        <f>CONCATENATE("          ", "6362", " - ", "ADVERTISING EXPENSE")</f>
        <v xml:space="preserve">          6362 - ADVERTISING EXPENSE</v>
      </c>
      <c r="C75" s="11"/>
      <c r="D75" s="7">
        <v>2905.19</v>
      </c>
      <c r="E75" s="2"/>
      <c r="F75" s="6">
        <f t="shared" si="28"/>
        <v>1.3514508192203291E-3</v>
      </c>
      <c r="G75" s="2"/>
      <c r="H75" s="7">
        <v>1173.1600000000001</v>
      </c>
      <c r="I75" s="2"/>
      <c r="J75" s="6">
        <f t="shared" si="29"/>
        <v>4.6414487378047483E-4</v>
      </c>
      <c r="K75" s="2"/>
      <c r="L75" s="7">
        <f t="shared" si="30"/>
        <v>1732.03</v>
      </c>
      <c r="M75" s="2"/>
      <c r="N75" s="6">
        <f t="shared" si="31"/>
        <v>1.4763800334140269</v>
      </c>
      <c r="O75" s="11"/>
      <c r="P75" s="7">
        <v>2996.19</v>
      </c>
      <c r="Q75" s="2"/>
      <c r="R75" s="6">
        <f t="shared" si="32"/>
        <v>1.3365015570839308E-3</v>
      </c>
      <c r="S75" s="2"/>
      <c r="T75" s="7">
        <v>1654.3</v>
      </c>
      <c r="U75" s="2"/>
      <c r="V75" s="6">
        <f t="shared" si="33"/>
        <v>6.2052946974273276E-4</v>
      </c>
      <c r="W75" s="2"/>
      <c r="X75" s="7">
        <f t="shared" si="34"/>
        <v>1341.89</v>
      </c>
      <c r="Y75" s="2"/>
      <c r="Z75" s="6">
        <f t="shared" si="35"/>
        <v>0.81115275343045401</v>
      </c>
    </row>
    <row r="76" spans="1:26" s="27" customFormat="1" outlineLevel="1" collapsed="1" x14ac:dyDescent="0.25">
      <c r="A76" s="28"/>
      <c r="B76" s="14" t="str">
        <f>CONCATENATE("     ","Discounts and Markdowns                           ")</f>
        <v xml:space="preserve">     Discounts and Markdowns                           </v>
      </c>
      <c r="C76" s="14"/>
      <c r="D76" s="1">
        <f>SUM(OSRRefD22_3x_0)</f>
        <v>4124.57</v>
      </c>
      <c r="E76" s="1"/>
      <c r="F76" s="5">
        <f t="shared" si="28"/>
        <v>1.9186881083273701E-3</v>
      </c>
      <c r="G76" s="1"/>
      <c r="H76" s="1">
        <f>SUM(OSRRefH22_3x_0)</f>
        <v>13758.1</v>
      </c>
      <c r="I76" s="1"/>
      <c r="J76" s="5">
        <f t="shared" si="29"/>
        <v>5.4432060315380264E-3</v>
      </c>
      <c r="K76" s="1"/>
      <c r="L76" s="1">
        <f t="shared" si="30"/>
        <v>-9633.5300000000007</v>
      </c>
      <c r="M76" s="1"/>
      <c r="N76" s="5">
        <f t="shared" si="31"/>
        <v>-0.70020787754123026</v>
      </c>
      <c r="O76" s="14"/>
      <c r="P76" s="1">
        <f>SUM(OSRRefP22_3x_0)</f>
        <v>6633.48</v>
      </c>
      <c r="Q76" s="1"/>
      <c r="R76" s="5">
        <f t="shared" si="32"/>
        <v>2.9589766833495578E-3</v>
      </c>
      <c r="S76" s="1"/>
      <c r="T76" s="1">
        <f>SUM(OSRRefT22_3x_0)</f>
        <v>15670.339999999998</v>
      </c>
      <c r="U76" s="1"/>
      <c r="V76" s="5">
        <f t="shared" si="33"/>
        <v>5.8779591191974456E-3</v>
      </c>
      <c r="W76" s="1"/>
      <c r="X76" s="1">
        <f t="shared" si="34"/>
        <v>-9036.8599999999988</v>
      </c>
      <c r="Y76" s="1"/>
      <c r="Z76" s="5">
        <f t="shared" si="35"/>
        <v>-0.57668563668688744</v>
      </c>
    </row>
    <row r="77" spans="1:26" s="24" customFormat="1" hidden="1" outlineLevel="2" x14ac:dyDescent="0.25">
      <c r="A77" s="29"/>
      <c r="B77" s="11" t="str">
        <f>CONCATENATE("          ", "6382", " - ", "DISCOUNTS/MARK DOWNS")</f>
        <v xml:space="preserve">          6382 - DISCOUNTS/MARK DOWNS</v>
      </c>
      <c r="C77" s="11"/>
      <c r="D77" s="7">
        <v>4547.3</v>
      </c>
      <c r="E77" s="2"/>
      <c r="F77" s="6">
        <f t="shared" si="28"/>
        <v>2.1153357646971809E-3</v>
      </c>
      <c r="G77" s="2"/>
      <c r="H77" s="7">
        <v>13214.68</v>
      </c>
      <c r="I77" s="2"/>
      <c r="J77" s="6">
        <f t="shared" si="29"/>
        <v>5.2282092644220434E-3</v>
      </c>
      <c r="K77" s="2"/>
      <c r="L77" s="7">
        <f t="shared" si="30"/>
        <v>-8667.380000000001</v>
      </c>
      <c r="M77" s="2"/>
      <c r="N77" s="6">
        <f t="shared" si="31"/>
        <v>-0.65589026749039714</v>
      </c>
      <c r="O77" s="11"/>
      <c r="P77" s="7">
        <v>7056.21</v>
      </c>
      <c r="Q77" s="2"/>
      <c r="R77" s="6">
        <f t="shared" si="32"/>
        <v>3.1475425964679151E-3</v>
      </c>
      <c r="S77" s="2"/>
      <c r="T77" s="7">
        <v>15827.38</v>
      </c>
      <c r="U77" s="2"/>
      <c r="V77" s="6">
        <f t="shared" si="33"/>
        <v>5.9368649693627117E-3</v>
      </c>
      <c r="W77" s="2"/>
      <c r="X77" s="7">
        <f t="shared" si="34"/>
        <v>-8771.1699999999983</v>
      </c>
      <c r="Y77" s="2"/>
      <c r="Z77" s="6">
        <f t="shared" si="35"/>
        <v>-0.55417700213174881</v>
      </c>
    </row>
    <row r="78" spans="1:26" s="24" customFormat="1" hidden="1" outlineLevel="2" x14ac:dyDescent="0.25">
      <c r="A78" s="29"/>
      <c r="B78" s="11" t="str">
        <f>CONCATENATE("          ", "9175", " - ", "EARNED DISCOUNTS")</f>
        <v xml:space="preserve">          9175 - EARNED DISCOUNTS</v>
      </c>
      <c r="C78" s="11"/>
      <c r="D78" s="7">
        <v>-422.73</v>
      </c>
      <c r="E78" s="2"/>
      <c r="F78" s="6">
        <f t="shared" si="28"/>
        <v>-1.9664765636981049E-4</v>
      </c>
      <c r="G78" s="2"/>
      <c r="H78" s="7">
        <v>543.41999999999996</v>
      </c>
      <c r="I78" s="2"/>
      <c r="J78" s="6">
        <f t="shared" si="29"/>
        <v>2.1499676711598213E-4</v>
      </c>
      <c r="K78" s="2"/>
      <c r="L78" s="7">
        <f t="shared" si="30"/>
        <v>-966.15</v>
      </c>
      <c r="M78" s="2"/>
      <c r="N78" s="6">
        <f t="shared" si="31"/>
        <v>-1.7779065915866181</v>
      </c>
      <c r="O78" s="11"/>
      <c r="P78" s="7">
        <v>-422.73</v>
      </c>
      <c r="Q78" s="2"/>
      <c r="R78" s="6">
        <f t="shared" si="32"/>
        <v>-1.8856591311835699E-4</v>
      </c>
      <c r="S78" s="2"/>
      <c r="T78" s="7">
        <v>-157.04</v>
      </c>
      <c r="U78" s="2"/>
      <c r="V78" s="6">
        <f t="shared" si="33"/>
        <v>-5.8905850165265518E-5</v>
      </c>
      <c r="W78" s="2"/>
      <c r="X78" s="7">
        <f t="shared" si="34"/>
        <v>-265.69000000000005</v>
      </c>
      <c r="Y78" s="2"/>
      <c r="Z78" s="6">
        <f t="shared" si="35"/>
        <v>1.6918619460010194</v>
      </c>
    </row>
    <row r="79" spans="1:26" s="27" customFormat="1" outlineLevel="1" collapsed="1" x14ac:dyDescent="0.25">
      <c r="A79" s="28"/>
      <c r="B79" s="14" t="str">
        <f>CONCATENATE("     ","Employees' Appreciation                           ")</f>
        <v xml:space="preserve">     Employees' Appreciation                           </v>
      </c>
      <c r="C79" s="14"/>
      <c r="D79" s="1">
        <f>SUM(OSRRefD22_4x_0)</f>
        <v>0</v>
      </c>
      <c r="E79" s="1"/>
      <c r="F79" s="5">
        <f t="shared" ref="F79:F85" si="36">IF(D$12=0,0,D79/D$12)</f>
        <v>0</v>
      </c>
      <c r="G79" s="1"/>
      <c r="H79" s="1">
        <f>SUM(OSRRefH22_4x_0)</f>
        <v>20.57</v>
      </c>
      <c r="I79" s="1"/>
      <c r="J79" s="5">
        <f t="shared" ref="J79:J85" si="37">IF(H$12=0,0,H79/H$12)</f>
        <v>8.1382420587680854E-6</v>
      </c>
      <c r="K79" s="1"/>
      <c r="L79" s="1">
        <f t="shared" ref="L79:L85" si="38">+D79-H79</f>
        <v>-20.57</v>
      </c>
      <c r="M79" s="1"/>
      <c r="N79" s="5">
        <f t="shared" ref="N79:N85" si="39">IF(H79=0,0,L79/H79)</f>
        <v>-1</v>
      </c>
      <c r="O79" s="14"/>
      <c r="P79" s="1">
        <f>SUM(OSRRefP22_4x_0)</f>
        <v>0</v>
      </c>
      <c r="Q79" s="1"/>
      <c r="R79" s="5">
        <f t="shared" ref="R79:R85" si="40">IF(P$12=0,0,P79/P$12)</f>
        <v>0</v>
      </c>
      <c r="S79" s="1"/>
      <c r="T79" s="1">
        <f>SUM(OSRRefT22_4x_0)</f>
        <v>20.57</v>
      </c>
      <c r="U79" s="1"/>
      <c r="V79" s="5">
        <f t="shared" ref="V79:V85" si="41">IF(T$12=0,0,T79/T$12)</f>
        <v>7.7158261455649E-6</v>
      </c>
      <c r="W79" s="1"/>
      <c r="X79" s="1">
        <f t="shared" ref="X79:X85" si="42">+P79-T79</f>
        <v>-20.57</v>
      </c>
      <c r="Y79" s="1"/>
      <c r="Z79" s="5">
        <f t="shared" ref="Z79:Z85" si="43">IF(T79=0,0,X79/T79)</f>
        <v>-1</v>
      </c>
    </row>
    <row r="80" spans="1:26" s="24" customFormat="1" hidden="1" outlineLevel="2" x14ac:dyDescent="0.25">
      <c r="A80" s="29"/>
      <c r="B80" s="11" t="str">
        <f>CONCATENATE("          ", "6277", " - ", "EMPLOYEE APPRECIATION")</f>
        <v xml:space="preserve">          6277 - EMPLOYEE APPRECIATION</v>
      </c>
      <c r="C80" s="11"/>
      <c r="D80" s="7"/>
      <c r="E80" s="2"/>
      <c r="F80" s="6">
        <f t="shared" si="36"/>
        <v>0</v>
      </c>
      <c r="G80" s="2"/>
      <c r="H80" s="7">
        <v>20.57</v>
      </c>
      <c r="I80" s="2"/>
      <c r="J80" s="6">
        <f t="shared" si="37"/>
        <v>8.1382420587680854E-6</v>
      </c>
      <c r="K80" s="2"/>
      <c r="L80" s="7">
        <f t="shared" si="38"/>
        <v>-20.57</v>
      </c>
      <c r="M80" s="2"/>
      <c r="N80" s="6">
        <f t="shared" si="39"/>
        <v>-1</v>
      </c>
      <c r="O80" s="11"/>
      <c r="P80" s="7"/>
      <c r="Q80" s="2"/>
      <c r="R80" s="6">
        <f t="shared" si="40"/>
        <v>0</v>
      </c>
      <c r="S80" s="2"/>
      <c r="T80" s="7">
        <v>20.57</v>
      </c>
      <c r="U80" s="2"/>
      <c r="V80" s="6">
        <f t="shared" si="41"/>
        <v>7.7158261455649E-6</v>
      </c>
      <c r="W80" s="2"/>
      <c r="X80" s="7">
        <f t="shared" si="42"/>
        <v>-20.57</v>
      </c>
      <c r="Y80" s="2"/>
      <c r="Z80" s="6">
        <f t="shared" si="43"/>
        <v>-1</v>
      </c>
    </row>
    <row r="81" spans="1:26" s="27" customFormat="1" outlineLevel="1" collapsed="1" x14ac:dyDescent="0.25">
      <c r="A81" s="28"/>
      <c r="B81" s="14" t="str">
        <f>CONCATENATE("     ","Equipment Rental                                  ")</f>
        <v xml:space="preserve">     Equipment Rental                                  </v>
      </c>
      <c r="C81" s="14"/>
      <c r="D81" s="1">
        <f>SUM(OSRRefD22_5x_0)</f>
        <v>91.26</v>
      </c>
      <c r="E81" s="1"/>
      <c r="F81" s="5">
        <f t="shared" si="36"/>
        <v>4.245278338492396E-5</v>
      </c>
      <c r="G81" s="1"/>
      <c r="H81" s="1">
        <f>SUM(OSRRefH22_5x_0)</f>
        <v>91.26</v>
      </c>
      <c r="I81" s="1"/>
      <c r="J81" s="5">
        <f t="shared" si="37"/>
        <v>3.6105783679298763E-5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SUM(OSRRefP22_5x_0)</f>
        <v>182.52</v>
      </c>
      <c r="Q81" s="1"/>
      <c r="R81" s="5">
        <f t="shared" si="40"/>
        <v>8.1416153247610817E-5</v>
      </c>
      <c r="S81" s="1"/>
      <c r="T81" s="1">
        <f>SUM(OSRRefT22_5x_0)</f>
        <v>182.52</v>
      </c>
      <c r="U81" s="1"/>
      <c r="V81" s="5">
        <f t="shared" si="41"/>
        <v>6.8463421880821861E-5</v>
      </c>
      <c r="W81" s="1"/>
      <c r="X81" s="1">
        <f t="shared" si="42"/>
        <v>0</v>
      </c>
      <c r="Y81" s="1"/>
      <c r="Z81" s="5">
        <f t="shared" si="43"/>
        <v>0</v>
      </c>
    </row>
    <row r="82" spans="1:26" s="24" customFormat="1" hidden="1" outlineLevel="2" x14ac:dyDescent="0.25">
      <c r="A82" s="29"/>
      <c r="B82" s="11" t="str">
        <f>CONCATENATE("          ", "6351", " - ", "EQUIPMENT RENTAL")</f>
        <v xml:space="preserve">          6351 - EQUIPMENT RENTAL</v>
      </c>
      <c r="C82" s="11"/>
      <c r="D82" s="7">
        <v>91.26</v>
      </c>
      <c r="E82" s="2"/>
      <c r="F82" s="6">
        <f t="shared" si="36"/>
        <v>4.245278338492396E-5</v>
      </c>
      <c r="G82" s="2"/>
      <c r="H82" s="7">
        <v>91.26</v>
      </c>
      <c r="I82" s="2"/>
      <c r="J82" s="6">
        <f t="shared" si="37"/>
        <v>3.6105783679298763E-5</v>
      </c>
      <c r="K82" s="2"/>
      <c r="L82" s="7">
        <f t="shared" si="38"/>
        <v>0</v>
      </c>
      <c r="M82" s="2"/>
      <c r="N82" s="6">
        <f t="shared" si="39"/>
        <v>0</v>
      </c>
      <c r="O82" s="11"/>
      <c r="P82" s="7">
        <v>182.52</v>
      </c>
      <c r="Q82" s="2"/>
      <c r="R82" s="6">
        <f t="shared" si="40"/>
        <v>8.1416153247610817E-5</v>
      </c>
      <c r="S82" s="2"/>
      <c r="T82" s="7">
        <v>182.52</v>
      </c>
      <c r="U82" s="2"/>
      <c r="V82" s="6">
        <f t="shared" si="41"/>
        <v>6.8463421880821861E-5</v>
      </c>
      <c r="W82" s="2"/>
      <c r="X82" s="7">
        <f t="shared" si="42"/>
        <v>0</v>
      </c>
      <c r="Y82" s="2"/>
      <c r="Z82" s="6">
        <f t="shared" si="43"/>
        <v>0</v>
      </c>
    </row>
    <row r="83" spans="1:26" s="27" customFormat="1" outlineLevel="1" collapsed="1" x14ac:dyDescent="0.25">
      <c r="A83" s="28"/>
      <c r="B83" s="14" t="str">
        <f>CONCATENATE("     ","Freight out/Postage                               ")</f>
        <v xml:space="preserve">     Freight out/Postage                               </v>
      </c>
      <c r="C83" s="14"/>
      <c r="D83" s="1">
        <f>SUM(OSRRefD22_6x_0)</f>
        <v>299.74</v>
      </c>
      <c r="E83" s="1"/>
      <c r="F83" s="5">
        <f t="shared" si="36"/>
        <v>1.394345528358219E-4</v>
      </c>
      <c r="G83" s="1"/>
      <c r="H83" s="1">
        <f>SUM(OSRRefH22_6x_0)</f>
        <v>843.5</v>
      </c>
      <c r="I83" s="1"/>
      <c r="J83" s="5">
        <f t="shared" si="37"/>
        <v>3.3371935714977542E-4</v>
      </c>
      <c r="K83" s="1"/>
      <c r="L83" s="1">
        <f t="shared" si="38"/>
        <v>-543.76</v>
      </c>
      <c r="M83" s="1"/>
      <c r="N83" s="5">
        <f t="shared" si="39"/>
        <v>-0.64464730290456429</v>
      </c>
      <c r="O83" s="14"/>
      <c r="P83" s="1">
        <f>SUM(OSRRefP22_6x_0)</f>
        <v>664.33</v>
      </c>
      <c r="Q83" s="1"/>
      <c r="R83" s="5">
        <f t="shared" si="40"/>
        <v>2.9633570615266981E-4</v>
      </c>
      <c r="S83" s="1"/>
      <c r="T83" s="1">
        <f>SUM(OSRRefT22_6x_0)</f>
        <v>1223.54</v>
      </c>
      <c r="U83" s="1"/>
      <c r="V83" s="5">
        <f t="shared" si="41"/>
        <v>4.5895099281207958E-4</v>
      </c>
      <c r="W83" s="1"/>
      <c r="X83" s="1">
        <f t="shared" si="42"/>
        <v>-559.20999999999992</v>
      </c>
      <c r="Y83" s="1"/>
      <c r="Z83" s="5">
        <f t="shared" si="43"/>
        <v>-0.45704267943835097</v>
      </c>
    </row>
    <row r="84" spans="1:26" s="24" customFormat="1" hidden="1" outlineLevel="2" x14ac:dyDescent="0.25">
      <c r="A84" s="29"/>
      <c r="B84" s="11" t="str">
        <f>CONCATENATE("          ", "6305", " - ", "FREIGHT OUT")</f>
        <v xml:space="preserve">          6305 - FREIGHT OUT</v>
      </c>
      <c r="C84" s="11"/>
      <c r="D84" s="7">
        <v>299.74</v>
      </c>
      <c r="E84" s="2"/>
      <c r="F84" s="6">
        <f t="shared" si="36"/>
        <v>1.394345528358219E-4</v>
      </c>
      <c r="G84" s="2"/>
      <c r="H84" s="7">
        <v>843.03</v>
      </c>
      <c r="I84" s="2"/>
      <c r="J84" s="6">
        <f t="shared" si="37"/>
        <v>3.3353340801182588E-4</v>
      </c>
      <c r="K84" s="2"/>
      <c r="L84" s="7">
        <f t="shared" si="38"/>
        <v>-543.29</v>
      </c>
      <c r="M84" s="2"/>
      <c r="N84" s="6">
        <f t="shared" si="39"/>
        <v>-0.64444918923407235</v>
      </c>
      <c r="O84" s="11"/>
      <c r="P84" s="7">
        <v>664.33</v>
      </c>
      <c r="Q84" s="2"/>
      <c r="R84" s="6">
        <f t="shared" si="40"/>
        <v>2.9633570615266981E-4</v>
      </c>
      <c r="S84" s="2"/>
      <c r="T84" s="7">
        <v>1223.07</v>
      </c>
      <c r="U84" s="2"/>
      <c r="V84" s="6">
        <f t="shared" si="41"/>
        <v>4.5877469537462622E-4</v>
      </c>
      <c r="W84" s="2"/>
      <c r="X84" s="7">
        <f t="shared" si="42"/>
        <v>-558.7399999999999</v>
      </c>
      <c r="Y84" s="2"/>
      <c r="Z84" s="6">
        <f t="shared" si="43"/>
        <v>-0.45683403239389397</v>
      </c>
    </row>
    <row r="85" spans="1:26" s="24" customFormat="1" hidden="1" outlineLevel="2" x14ac:dyDescent="0.25">
      <c r="A85" s="29"/>
      <c r="B85" s="11" t="str">
        <f>CONCATENATE("          ", "6307", " - ", "POSTAGE")</f>
        <v xml:space="preserve">          6307 - POSTAGE</v>
      </c>
      <c r="C85" s="11"/>
      <c r="D85" s="7"/>
      <c r="E85" s="2"/>
      <c r="F85" s="6">
        <f t="shared" si="36"/>
        <v>0</v>
      </c>
      <c r="G85" s="2"/>
      <c r="H85" s="7">
        <v>0.47</v>
      </c>
      <c r="I85" s="2"/>
      <c r="J85" s="6">
        <f t="shared" si="37"/>
        <v>1.8594913794948954E-7</v>
      </c>
      <c r="K85" s="2"/>
      <c r="L85" s="7">
        <f t="shared" si="38"/>
        <v>-0.47</v>
      </c>
      <c r="M85" s="2"/>
      <c r="N85" s="6">
        <f t="shared" si="39"/>
        <v>-1</v>
      </c>
      <c r="O85" s="11"/>
      <c r="P85" s="7"/>
      <c r="Q85" s="2"/>
      <c r="R85" s="6">
        <f t="shared" si="40"/>
        <v>0</v>
      </c>
      <c r="S85" s="2"/>
      <c r="T85" s="7">
        <v>0.47</v>
      </c>
      <c r="U85" s="2"/>
      <c r="V85" s="6">
        <f t="shared" si="41"/>
        <v>1.7629743745335454E-7</v>
      </c>
      <c r="W85" s="2"/>
      <c r="X85" s="7">
        <f t="shared" si="42"/>
        <v>-0.47</v>
      </c>
      <c r="Y85" s="2"/>
      <c r="Z85" s="6">
        <f t="shared" si="43"/>
        <v>-1</v>
      </c>
    </row>
    <row r="86" spans="1:26" s="27" customFormat="1" outlineLevel="1" collapsed="1" x14ac:dyDescent="0.25">
      <c r="A86" s="28"/>
      <c r="B86" s="14" t="str">
        <f>CONCATENATE("     ","General                                           ")</f>
        <v xml:space="preserve">     General                                           </v>
      </c>
      <c r="C86" s="14"/>
      <c r="D86" s="1">
        <f>SUM(OSRRefD22_7x_0)</f>
        <v>0</v>
      </c>
      <c r="E86" s="1"/>
      <c r="F86" s="5">
        <f t="shared" ref="F86:F92" si="44">IF(D$12=0,0,D86/D$12)</f>
        <v>0</v>
      </c>
      <c r="G86" s="1"/>
      <c r="H86" s="1">
        <f>SUM(OSRRefH22_7x_0)</f>
        <v>52</v>
      </c>
      <c r="I86" s="1"/>
      <c r="J86" s="5">
        <f t="shared" ref="J86:J92" si="45">IF(H$12=0,0,H86/H$12)</f>
        <v>2.0573096113560545E-5</v>
      </c>
      <c r="K86" s="1"/>
      <c r="L86" s="1">
        <f t="shared" ref="L86:L92" si="46">+D86-H86</f>
        <v>-52</v>
      </c>
      <c r="M86" s="1"/>
      <c r="N86" s="5">
        <f t="shared" ref="N86:N92" si="47">IF(H86=0,0,L86/H86)</f>
        <v>-1</v>
      </c>
      <c r="O86" s="14"/>
      <c r="P86" s="1">
        <f>SUM(OSRRefP22_7x_0)</f>
        <v>7.84</v>
      </c>
      <c r="Q86" s="1"/>
      <c r="R86" s="5">
        <f t="shared" ref="R86:R92" si="48">IF(P$12=0,0,P86/P$12)</f>
        <v>3.4971654693253819E-6</v>
      </c>
      <c r="S86" s="1"/>
      <c r="T86" s="1">
        <f>SUM(OSRRefT22_7x_0)</f>
        <v>-576.58000000000004</v>
      </c>
      <c r="U86" s="1"/>
      <c r="V86" s="5">
        <f t="shared" ref="V86:V92" si="49">IF(T$12=0,0,T86/T$12)</f>
        <v>-2.1627569465288332E-4</v>
      </c>
      <c r="W86" s="1"/>
      <c r="X86" s="1">
        <f t="shared" ref="X86:X92" si="50">+P86-T86</f>
        <v>584.42000000000007</v>
      </c>
      <c r="Y86" s="1"/>
      <c r="Z86" s="5">
        <f t="shared" ref="Z86:Z92" si="51">IF(T86=0,0,X86/T86)</f>
        <v>-1.0135974192653232</v>
      </c>
    </row>
    <row r="87" spans="1:26" s="24" customFormat="1" hidden="1" outlineLevel="2" x14ac:dyDescent="0.25">
      <c r="A87" s="29"/>
      <c r="B87" s="11" t="str">
        <f>CONCATENATE("          ", "6279", " - ", "GENERAL EXPENSE")</f>
        <v xml:space="preserve">          6279 - GENERAL EXPENSE</v>
      </c>
      <c r="C87" s="11"/>
      <c r="D87" s="7"/>
      <c r="E87" s="2"/>
      <c r="F87" s="6">
        <f t="shared" si="44"/>
        <v>0</v>
      </c>
      <c r="G87" s="2"/>
      <c r="H87" s="7">
        <v>52</v>
      </c>
      <c r="I87" s="2"/>
      <c r="J87" s="6">
        <f t="shared" si="45"/>
        <v>2.0573096113560545E-5</v>
      </c>
      <c r="K87" s="2"/>
      <c r="L87" s="7">
        <f t="shared" si="46"/>
        <v>-52</v>
      </c>
      <c r="M87" s="2"/>
      <c r="N87" s="6">
        <f t="shared" si="47"/>
        <v>-1</v>
      </c>
      <c r="O87" s="11"/>
      <c r="P87" s="7">
        <v>7.84</v>
      </c>
      <c r="Q87" s="2"/>
      <c r="R87" s="6">
        <f t="shared" si="48"/>
        <v>3.4971654693253819E-6</v>
      </c>
      <c r="S87" s="2"/>
      <c r="T87" s="7">
        <v>-576.58000000000004</v>
      </c>
      <c r="U87" s="2"/>
      <c r="V87" s="6">
        <f t="shared" si="49"/>
        <v>-2.1627569465288332E-4</v>
      </c>
      <c r="W87" s="2"/>
      <c r="X87" s="7">
        <f t="shared" si="50"/>
        <v>584.42000000000007</v>
      </c>
      <c r="Y87" s="2"/>
      <c r="Z87" s="6">
        <f t="shared" si="51"/>
        <v>-1.0135974192653232</v>
      </c>
    </row>
    <row r="88" spans="1:26" s="27" customFormat="1" outlineLevel="1" collapsed="1" x14ac:dyDescent="0.25">
      <c r="A88" s="28"/>
      <c r="B88" s="14" t="str">
        <f>CONCATENATE("     ","Inventory Adjustment                              ")</f>
        <v xml:space="preserve">     Inventory Adjustment                              </v>
      </c>
      <c r="C88" s="14"/>
      <c r="D88" s="1">
        <f>SUM(OSRRefD22_8x_0)</f>
        <v>1000</v>
      </c>
      <c r="E88" s="1"/>
      <c r="F88" s="5">
        <f t="shared" si="44"/>
        <v>4.6518500312211217E-4</v>
      </c>
      <c r="G88" s="1"/>
      <c r="H88" s="1">
        <f>SUM(OSRRefH22_8x_0)</f>
        <v>6950</v>
      </c>
      <c r="I88" s="1"/>
      <c r="J88" s="5">
        <f t="shared" si="45"/>
        <v>2.7496734228701115E-3</v>
      </c>
      <c r="K88" s="1"/>
      <c r="L88" s="1">
        <f t="shared" si="46"/>
        <v>-5950</v>
      </c>
      <c r="M88" s="1"/>
      <c r="N88" s="5">
        <f t="shared" si="47"/>
        <v>-0.85611510791366907</v>
      </c>
      <c r="O88" s="14"/>
      <c r="P88" s="1">
        <f>SUM(OSRRefP22_8x_0)</f>
        <v>2000</v>
      </c>
      <c r="Q88" s="1"/>
      <c r="R88" s="5">
        <f t="shared" si="48"/>
        <v>8.9213404829729134E-4</v>
      </c>
      <c r="S88" s="1"/>
      <c r="T88" s="1">
        <f>SUM(OSRRefT22_8x_0)</f>
        <v>13900</v>
      </c>
      <c r="U88" s="1"/>
      <c r="V88" s="5">
        <f t="shared" si="49"/>
        <v>5.2139029374502722E-3</v>
      </c>
      <c r="W88" s="1"/>
      <c r="X88" s="1">
        <f t="shared" si="50"/>
        <v>-11900</v>
      </c>
      <c r="Y88" s="1"/>
      <c r="Z88" s="5">
        <f t="shared" si="51"/>
        <v>-0.85611510791366907</v>
      </c>
    </row>
    <row r="89" spans="1:26" s="24" customFormat="1" hidden="1" outlineLevel="2" x14ac:dyDescent="0.25">
      <c r="A89" s="29"/>
      <c r="B89" s="11" t="str">
        <f>CONCATENATE("          ", "6408", " - ", "INVENTORY ADJUSTMENT")</f>
        <v xml:space="preserve">          6408 - INVENTORY ADJUSTMENT</v>
      </c>
      <c r="C89" s="11"/>
      <c r="D89" s="7">
        <v>1000</v>
      </c>
      <c r="E89" s="2"/>
      <c r="F89" s="6">
        <f t="shared" si="44"/>
        <v>4.6518500312211217E-4</v>
      </c>
      <c r="G89" s="2"/>
      <c r="H89" s="7">
        <v>6950</v>
      </c>
      <c r="I89" s="2"/>
      <c r="J89" s="6">
        <f t="shared" si="45"/>
        <v>2.7496734228701115E-3</v>
      </c>
      <c r="K89" s="2"/>
      <c r="L89" s="7">
        <f t="shared" si="46"/>
        <v>-5950</v>
      </c>
      <c r="M89" s="2"/>
      <c r="N89" s="6">
        <f t="shared" si="47"/>
        <v>-0.85611510791366907</v>
      </c>
      <c r="O89" s="11"/>
      <c r="P89" s="7">
        <v>2000</v>
      </c>
      <c r="Q89" s="2"/>
      <c r="R89" s="6">
        <f t="shared" si="48"/>
        <v>8.9213404829729134E-4</v>
      </c>
      <c r="S89" s="2"/>
      <c r="T89" s="7">
        <v>13900</v>
      </c>
      <c r="U89" s="2"/>
      <c r="V89" s="6">
        <f t="shared" si="49"/>
        <v>5.2139029374502722E-3</v>
      </c>
      <c r="W89" s="2"/>
      <c r="X89" s="7">
        <f t="shared" si="50"/>
        <v>-11900</v>
      </c>
      <c r="Y89" s="2"/>
      <c r="Z89" s="6">
        <f t="shared" si="51"/>
        <v>-0.85611510791366907</v>
      </c>
    </row>
    <row r="90" spans="1:26" s="27" customFormat="1" outlineLevel="1" collapsed="1" x14ac:dyDescent="0.25">
      <c r="A90" s="28"/>
      <c r="B90" s="14" t="str">
        <f>CONCATENATE("     ","Repair and Maintenance                            ")</f>
        <v xml:space="preserve">     Repair and Maintenance                            </v>
      </c>
      <c r="C90" s="14"/>
      <c r="D90" s="1">
        <f>SUM(OSRRefD22_9x_0)</f>
        <v>28.96</v>
      </c>
      <c r="E90" s="1"/>
      <c r="F90" s="5">
        <f t="shared" si="44"/>
        <v>1.347175769041637E-5</v>
      </c>
      <c r="G90" s="1"/>
      <c r="H90" s="1">
        <f>SUM(OSRRefH22_9x_0)</f>
        <v>107.38</v>
      </c>
      <c r="I90" s="1"/>
      <c r="J90" s="5">
        <f t="shared" si="45"/>
        <v>4.2483443474502522E-5</v>
      </c>
      <c r="K90" s="1"/>
      <c r="L90" s="1">
        <f t="shared" si="46"/>
        <v>-78.419999999999987</v>
      </c>
      <c r="M90" s="1"/>
      <c r="N90" s="5">
        <f t="shared" si="47"/>
        <v>-0.73030359471037432</v>
      </c>
      <c r="O90" s="14"/>
      <c r="P90" s="1">
        <f>SUM(OSRRefP22_9x_0)</f>
        <v>49.42</v>
      </c>
      <c r="Q90" s="1"/>
      <c r="R90" s="5">
        <f t="shared" si="48"/>
        <v>2.204463233342607E-5</v>
      </c>
      <c r="S90" s="1"/>
      <c r="T90" s="1">
        <f>SUM(OSRRefT22_9x_0)</f>
        <v>224.45999999999998</v>
      </c>
      <c r="U90" s="1"/>
      <c r="V90" s="5">
        <f t="shared" si="49"/>
        <v>8.4195154916553099E-5</v>
      </c>
      <c r="W90" s="1"/>
      <c r="X90" s="1">
        <f t="shared" si="50"/>
        <v>-175.03999999999996</v>
      </c>
      <c r="Y90" s="1"/>
      <c r="Z90" s="5">
        <f t="shared" si="51"/>
        <v>-0.77982714069321923</v>
      </c>
    </row>
    <row r="91" spans="1:26" s="24" customFormat="1" hidden="1" outlineLevel="2" x14ac:dyDescent="0.25">
      <c r="A91" s="29"/>
      <c r="B91" s="11" t="str">
        <f>CONCATENATE("          ", "6373", " - ", "MAINTENANCE CONTRACTS")</f>
        <v xml:space="preserve">          6373 - MAINTENANCE CONTRACTS</v>
      </c>
      <c r="C91" s="11"/>
      <c r="D91" s="7">
        <v>28.96</v>
      </c>
      <c r="E91" s="2"/>
      <c r="F91" s="6">
        <f t="shared" si="44"/>
        <v>1.347175769041637E-5</v>
      </c>
      <c r="G91" s="2"/>
      <c r="H91" s="7">
        <v>29.38</v>
      </c>
      <c r="I91" s="2"/>
      <c r="J91" s="6">
        <f t="shared" si="45"/>
        <v>1.1623799304161707E-5</v>
      </c>
      <c r="K91" s="2"/>
      <c r="L91" s="7">
        <f t="shared" si="46"/>
        <v>-0.41999999999999815</v>
      </c>
      <c r="M91" s="2"/>
      <c r="N91" s="6">
        <f t="shared" si="47"/>
        <v>-1.4295439074200073E-2</v>
      </c>
      <c r="O91" s="11"/>
      <c r="P91" s="7">
        <v>49.42</v>
      </c>
      <c r="Q91" s="2"/>
      <c r="R91" s="6">
        <f t="shared" si="48"/>
        <v>2.204463233342607E-5</v>
      </c>
      <c r="S91" s="2"/>
      <c r="T91" s="7">
        <v>68.459999999999994</v>
      </c>
      <c r="U91" s="2"/>
      <c r="V91" s="6">
        <f t="shared" si="49"/>
        <v>2.567940971926947E-5</v>
      </c>
      <c r="W91" s="2"/>
      <c r="X91" s="7">
        <f t="shared" si="50"/>
        <v>-19.039999999999992</v>
      </c>
      <c r="Y91" s="2"/>
      <c r="Z91" s="6">
        <f t="shared" si="51"/>
        <v>-0.27811860940695288</v>
      </c>
    </row>
    <row r="92" spans="1:26" s="24" customFormat="1" hidden="1" outlineLevel="2" x14ac:dyDescent="0.25">
      <c r="A92" s="29"/>
      <c r="B92" s="11" t="str">
        <f>CONCATENATE("          ", "6375", " - ", "OUTSIDE REPAIRS &amp; MAINTENANCE")</f>
        <v xml:space="preserve">          6375 - OUTSIDE REPAIRS &amp; MAINTENANCE</v>
      </c>
      <c r="C92" s="11"/>
      <c r="D92" s="7"/>
      <c r="E92" s="2"/>
      <c r="F92" s="6">
        <f t="shared" si="44"/>
        <v>0</v>
      </c>
      <c r="G92" s="2"/>
      <c r="H92" s="7">
        <v>78</v>
      </c>
      <c r="I92" s="2"/>
      <c r="J92" s="6">
        <f t="shared" si="45"/>
        <v>3.0859644170340818E-5</v>
      </c>
      <c r="K92" s="2"/>
      <c r="L92" s="7">
        <f t="shared" si="46"/>
        <v>-78</v>
      </c>
      <c r="M92" s="2"/>
      <c r="N92" s="6">
        <f t="shared" si="47"/>
        <v>-1</v>
      </c>
      <c r="O92" s="11"/>
      <c r="P92" s="7"/>
      <c r="Q92" s="2"/>
      <c r="R92" s="6">
        <f t="shared" si="48"/>
        <v>0</v>
      </c>
      <c r="S92" s="2"/>
      <c r="T92" s="7">
        <v>156</v>
      </c>
      <c r="U92" s="2"/>
      <c r="V92" s="6">
        <f t="shared" si="49"/>
        <v>5.8515745197283632E-5</v>
      </c>
      <c r="W92" s="2"/>
      <c r="X92" s="7">
        <f t="shared" si="50"/>
        <v>-156</v>
      </c>
      <c r="Y92" s="2"/>
      <c r="Z92" s="6">
        <f t="shared" si="51"/>
        <v>-1</v>
      </c>
    </row>
    <row r="93" spans="1:26" s="27" customFormat="1" outlineLevel="1" collapsed="1" x14ac:dyDescent="0.25">
      <c r="A93" s="28"/>
      <c r="B93" s="14" t="str">
        <f>CONCATENATE("     ","Subscriptions &amp; Dues                              ")</f>
        <v xml:space="preserve">     Subscriptions &amp; Dues                              </v>
      </c>
      <c r="C93" s="14"/>
      <c r="D93" s="1">
        <f>SUM(OSRRefD22_10x_0)</f>
        <v>250</v>
      </c>
      <c r="E93" s="1"/>
      <c r="F93" s="5">
        <f t="shared" ref="F93:F98" si="52">IF(D$12=0,0,D93/D$12)</f>
        <v>1.1629625078052804E-4</v>
      </c>
      <c r="G93" s="1"/>
      <c r="H93" s="1">
        <f>SUM(OSRRefH22_10x_0)</f>
        <v>272.10000000000002</v>
      </c>
      <c r="I93" s="1"/>
      <c r="J93" s="5">
        <f t="shared" ref="J93:J98" si="53">IF(H$12=0,0,H93/H$12)</f>
        <v>1.0765268177884279E-4</v>
      </c>
      <c r="K93" s="1"/>
      <c r="L93" s="1">
        <f t="shared" ref="L93:L98" si="54">+D93-H93</f>
        <v>-22.100000000000023</v>
      </c>
      <c r="M93" s="1"/>
      <c r="N93" s="5">
        <f t="shared" ref="N93:N98" si="55">IF(H93=0,0,L93/H93)</f>
        <v>-8.122013965453885E-2</v>
      </c>
      <c r="O93" s="14"/>
      <c r="P93" s="1">
        <f>SUM(OSRRefP22_10x_0)</f>
        <v>538.85</v>
      </c>
      <c r="Q93" s="1"/>
      <c r="R93" s="5">
        <f t="shared" ref="R93:R98" si="56">IF(P$12=0,0,P93/P$12)</f>
        <v>2.4036321596249772E-4</v>
      </c>
      <c r="S93" s="1"/>
      <c r="T93" s="1">
        <f>SUM(OSRRefT22_10x_0)</f>
        <v>522.1</v>
      </c>
      <c r="U93" s="1"/>
      <c r="V93" s="5">
        <f t="shared" ref="V93:V98" si="57">IF(T$12=0,0,T93/T$12)</f>
        <v>1.9584019594552426E-4</v>
      </c>
      <c r="W93" s="1"/>
      <c r="X93" s="1">
        <f t="shared" ref="X93:X98" si="58">+P93-T93</f>
        <v>16.75</v>
      </c>
      <c r="Y93" s="1"/>
      <c r="Z93" s="5">
        <f t="shared" ref="Z93:Z98" si="59">IF(T93=0,0,X93/T93)</f>
        <v>3.2081976632828961E-2</v>
      </c>
    </row>
    <row r="94" spans="1:26" s="24" customFormat="1" hidden="1" outlineLevel="2" x14ac:dyDescent="0.25">
      <c r="A94" s="29"/>
      <c r="B94" s="11" t="str">
        <f>CONCATENATE("          ", "6258", " - ", "MEMBERSHIP DUES")</f>
        <v xml:space="preserve">          6258 - MEMBERSHIP DUES</v>
      </c>
      <c r="C94" s="11"/>
      <c r="D94" s="7">
        <v>250</v>
      </c>
      <c r="E94" s="2"/>
      <c r="F94" s="6">
        <f t="shared" si="52"/>
        <v>1.1629625078052804E-4</v>
      </c>
      <c r="G94" s="2"/>
      <c r="H94" s="7">
        <v>272.10000000000002</v>
      </c>
      <c r="I94" s="2"/>
      <c r="J94" s="6">
        <f t="shared" si="53"/>
        <v>1.0765268177884279E-4</v>
      </c>
      <c r="K94" s="2"/>
      <c r="L94" s="7">
        <f t="shared" si="54"/>
        <v>-22.100000000000023</v>
      </c>
      <c r="M94" s="2"/>
      <c r="N94" s="6">
        <f t="shared" si="55"/>
        <v>-8.122013965453885E-2</v>
      </c>
      <c r="O94" s="11"/>
      <c r="P94" s="7">
        <v>538.85</v>
      </c>
      <c r="Q94" s="2"/>
      <c r="R94" s="6">
        <f t="shared" si="56"/>
        <v>2.4036321596249772E-4</v>
      </c>
      <c r="S94" s="2"/>
      <c r="T94" s="7">
        <v>522.1</v>
      </c>
      <c r="U94" s="2"/>
      <c r="V94" s="6">
        <f t="shared" si="57"/>
        <v>1.9584019594552426E-4</v>
      </c>
      <c r="W94" s="2"/>
      <c r="X94" s="7">
        <f t="shared" si="58"/>
        <v>16.75</v>
      </c>
      <c r="Y94" s="2"/>
      <c r="Z94" s="6">
        <f t="shared" si="59"/>
        <v>3.2081976632828961E-2</v>
      </c>
    </row>
    <row r="95" spans="1:26" s="27" customFormat="1" outlineLevel="1" collapsed="1" x14ac:dyDescent="0.25">
      <c r="A95" s="28"/>
      <c r="B95" s="14" t="str">
        <f>CONCATENATE("     ","Supplies                                          ")</f>
        <v xml:space="preserve">     Supplies                                          </v>
      </c>
      <c r="C95" s="14"/>
      <c r="D95" s="1">
        <f>SUM(OSRRefD22_11x_0)</f>
        <v>6921.99</v>
      </c>
      <c r="E95" s="1"/>
      <c r="F95" s="5">
        <f t="shared" si="52"/>
        <v>3.2200059397612291E-3</v>
      </c>
      <c r="G95" s="1"/>
      <c r="H95" s="1">
        <f>SUM(OSRRefH22_11x_0)</f>
        <v>2747.61</v>
      </c>
      <c r="I95" s="1"/>
      <c r="J95" s="5">
        <f t="shared" si="53"/>
        <v>1.0870547040880787E-3</v>
      </c>
      <c r="K95" s="1"/>
      <c r="L95" s="1">
        <f t="shared" si="54"/>
        <v>4174.3799999999992</v>
      </c>
      <c r="M95" s="1"/>
      <c r="N95" s="5">
        <f t="shared" si="55"/>
        <v>1.519276753251007</v>
      </c>
      <c r="O95" s="14"/>
      <c r="P95" s="1">
        <f>SUM(OSRRefP22_11x_0)</f>
        <v>7199.55</v>
      </c>
      <c r="Q95" s="1"/>
      <c r="R95" s="5">
        <f t="shared" si="56"/>
        <v>3.2114818437093818E-3</v>
      </c>
      <c r="S95" s="1"/>
      <c r="T95" s="1">
        <f>SUM(OSRRefT22_11x_0)</f>
        <v>3920.3199999999997</v>
      </c>
      <c r="U95" s="1"/>
      <c r="V95" s="5">
        <f t="shared" si="57"/>
        <v>1.4705156808449676E-3</v>
      </c>
      <c r="W95" s="1"/>
      <c r="X95" s="1">
        <f t="shared" si="58"/>
        <v>3279.2300000000005</v>
      </c>
      <c r="Y95" s="1"/>
      <c r="Z95" s="5">
        <f t="shared" si="59"/>
        <v>0.8364699820422824</v>
      </c>
    </row>
    <row r="96" spans="1:26" s="24" customFormat="1" hidden="1" outlineLevel="2" x14ac:dyDescent="0.25">
      <c r="A96" s="29"/>
      <c r="B96" s="11" t="str">
        <f>CONCATENATE("          ", "6241", " - ", "OFFICE EXPENSE")</f>
        <v xml:space="preserve">          6241 - OFFICE EXPENSE</v>
      </c>
      <c r="C96" s="11"/>
      <c r="D96" s="7">
        <v>1943.91</v>
      </c>
      <c r="E96" s="2"/>
      <c r="F96" s="6">
        <f t="shared" si="52"/>
        <v>9.0427777941910509E-4</v>
      </c>
      <c r="G96" s="2"/>
      <c r="H96" s="7">
        <v>126.17</v>
      </c>
      <c r="I96" s="2"/>
      <c r="J96" s="6">
        <f t="shared" si="53"/>
        <v>4.991745262784489E-5</v>
      </c>
      <c r="K96" s="2"/>
      <c r="L96" s="7">
        <f t="shared" si="54"/>
        <v>1817.74</v>
      </c>
      <c r="M96" s="2"/>
      <c r="N96" s="6">
        <f t="shared" si="55"/>
        <v>14.407069826424665</v>
      </c>
      <c r="O96" s="11"/>
      <c r="P96" s="7">
        <v>2205.08</v>
      </c>
      <c r="Q96" s="2"/>
      <c r="R96" s="6">
        <f t="shared" si="56"/>
        <v>9.8361347360969567E-4</v>
      </c>
      <c r="S96" s="2"/>
      <c r="T96" s="7">
        <v>355.78</v>
      </c>
      <c r="U96" s="2"/>
      <c r="V96" s="6">
        <f t="shared" si="57"/>
        <v>1.3345340914288186E-4</v>
      </c>
      <c r="W96" s="2"/>
      <c r="X96" s="7">
        <f t="shared" si="58"/>
        <v>1849.3</v>
      </c>
      <c r="Y96" s="2"/>
      <c r="Z96" s="6">
        <f t="shared" si="59"/>
        <v>5.1978750913485863</v>
      </c>
    </row>
    <row r="97" spans="1:26" s="24" customFormat="1" hidden="1" outlineLevel="2" x14ac:dyDescent="0.25">
      <c r="A97" s="29"/>
      <c r="B97" s="11" t="str">
        <f>CONCATENATE("          ", "6245", " - ", "PRINTING")</f>
        <v xml:space="preserve">          6245 - PRINTING</v>
      </c>
      <c r="C97" s="11"/>
      <c r="D97" s="7">
        <v>4978.08</v>
      </c>
      <c r="E97" s="2"/>
      <c r="F97" s="6">
        <f t="shared" si="52"/>
        <v>2.3157281603421241E-3</v>
      </c>
      <c r="G97" s="2"/>
      <c r="H97" s="7">
        <v>502.52</v>
      </c>
      <c r="I97" s="2"/>
      <c r="J97" s="6">
        <f t="shared" si="53"/>
        <v>1.9881523574973934E-4</v>
      </c>
      <c r="K97" s="2"/>
      <c r="L97" s="7">
        <f t="shared" si="54"/>
        <v>4475.5599999999995</v>
      </c>
      <c r="M97" s="2"/>
      <c r="N97" s="6">
        <f t="shared" si="55"/>
        <v>8.9062325877577013</v>
      </c>
      <c r="O97" s="11"/>
      <c r="P97" s="7">
        <v>4978.08</v>
      </c>
      <c r="Q97" s="2"/>
      <c r="R97" s="6">
        <f t="shared" si="56"/>
        <v>2.22055733157389E-3</v>
      </c>
      <c r="S97" s="2"/>
      <c r="T97" s="7">
        <v>509.8</v>
      </c>
      <c r="U97" s="2"/>
      <c r="V97" s="6">
        <f t="shared" si="57"/>
        <v>1.9122645449727691E-4</v>
      </c>
      <c r="W97" s="2"/>
      <c r="X97" s="7">
        <f t="shared" si="58"/>
        <v>4468.28</v>
      </c>
      <c r="Y97" s="2"/>
      <c r="Z97" s="6">
        <f t="shared" si="59"/>
        <v>8.7647704982346006</v>
      </c>
    </row>
    <row r="98" spans="1:26" s="24" customFormat="1" hidden="1" outlineLevel="2" x14ac:dyDescent="0.25">
      <c r="A98" s="29"/>
      <c r="B98" s="11" t="str">
        <f>CONCATENATE("          ", "6247", " - ", "STORE SUPPLIES")</f>
        <v xml:space="preserve">          6247 - STORE SUPPLIES</v>
      </c>
      <c r="C98" s="11"/>
      <c r="D98" s="7"/>
      <c r="E98" s="2"/>
      <c r="F98" s="6">
        <f t="shared" si="52"/>
        <v>0</v>
      </c>
      <c r="G98" s="2"/>
      <c r="H98" s="7">
        <v>2118.92</v>
      </c>
      <c r="I98" s="2"/>
      <c r="J98" s="6">
        <f t="shared" si="53"/>
        <v>8.383220157104945E-4</v>
      </c>
      <c r="K98" s="2"/>
      <c r="L98" s="7">
        <f t="shared" si="54"/>
        <v>-2118.92</v>
      </c>
      <c r="M98" s="2"/>
      <c r="N98" s="6">
        <f t="shared" si="55"/>
        <v>-1</v>
      </c>
      <c r="O98" s="11"/>
      <c r="P98" s="7">
        <v>16.39</v>
      </c>
      <c r="Q98" s="2"/>
      <c r="R98" s="6">
        <f t="shared" si="56"/>
        <v>7.3110385257963031E-6</v>
      </c>
      <c r="S98" s="2"/>
      <c r="T98" s="7">
        <v>3054.74</v>
      </c>
      <c r="U98" s="2"/>
      <c r="V98" s="6">
        <f t="shared" si="57"/>
        <v>1.145835817204809E-3</v>
      </c>
      <c r="W98" s="2"/>
      <c r="X98" s="7">
        <f t="shared" si="58"/>
        <v>-3038.35</v>
      </c>
      <c r="Y98" s="2"/>
      <c r="Z98" s="6">
        <f t="shared" si="59"/>
        <v>-0.99463456791740057</v>
      </c>
    </row>
    <row r="99" spans="1:26" s="27" customFormat="1" outlineLevel="1" collapsed="1" x14ac:dyDescent="0.25">
      <c r="A99" s="28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SUM(OSRRefD22_12x_0)</f>
        <v>830.15</v>
      </c>
      <c r="E99" s="1"/>
      <c r="F99" s="5">
        <f t="shared" ref="F99:F101" si="60">IF(D$12=0,0,D99/D$12)</f>
        <v>3.8617333034182141E-4</v>
      </c>
      <c r="G99" s="1"/>
      <c r="H99" s="1">
        <f>SUM(OSRRefH22_12x_0)</f>
        <v>1115.75</v>
      </c>
      <c r="I99" s="1"/>
      <c r="J99" s="5">
        <f t="shared" ref="J99:J101" si="61">IF(H$12=0,0,H99/H$12)</f>
        <v>4.4143138439817653E-4</v>
      </c>
      <c r="K99" s="1"/>
      <c r="L99" s="1">
        <f t="shared" ref="L99:L101" si="62">+D99-H99</f>
        <v>-285.60000000000002</v>
      </c>
      <c r="M99" s="1"/>
      <c r="N99" s="5">
        <f t="shared" ref="N99:N101" si="63">IF(H99=0,0,L99/H99)</f>
        <v>-0.25597131974008519</v>
      </c>
      <c r="O99" s="14"/>
      <c r="P99" s="1">
        <f>SUM(OSRRefP22_12x_0)</f>
        <v>1354.5</v>
      </c>
      <c r="Q99" s="1"/>
      <c r="R99" s="5">
        <f t="shared" ref="R99:R101" si="64">IF(P$12=0,0,P99/P$12)</f>
        <v>6.0419778420934059E-4</v>
      </c>
      <c r="S99" s="1"/>
      <c r="T99" s="1">
        <f>SUM(OSRRefT22_12x_0)</f>
        <v>1360.2</v>
      </c>
      <c r="U99" s="1"/>
      <c r="V99" s="5">
        <f t="shared" ref="V99:V101" si="65">IF(T$12=0,0,T99/T$12)</f>
        <v>5.1021228600862305E-4</v>
      </c>
      <c r="W99" s="1"/>
      <c r="X99" s="1">
        <f t="shared" ref="X99:X101" si="66">+P99-T99</f>
        <v>-5.7000000000000455</v>
      </c>
      <c r="Y99" s="1"/>
      <c r="Z99" s="5">
        <f t="shared" ref="Z99:Z101" si="67">IF(T99=0,0,X99/T99)</f>
        <v>-4.1905602117336023E-3</v>
      </c>
    </row>
    <row r="100" spans="1:26" s="24" customFormat="1" hidden="1" outlineLevel="2" x14ac:dyDescent="0.25">
      <c r="A100" s="29"/>
      <c r="B100" s="11" t="str">
        <f>CONCATENATE("          ", "6303", " - ", "DATA PHONE LINES")</f>
        <v xml:space="preserve">          6303 - DATA PHONE LINES</v>
      </c>
      <c r="C100" s="11"/>
      <c r="D100" s="7">
        <v>295</v>
      </c>
      <c r="E100" s="2"/>
      <c r="F100" s="6">
        <f t="shared" si="60"/>
        <v>1.3722957592102308E-4</v>
      </c>
      <c r="G100" s="2"/>
      <c r="H100" s="7">
        <v>590</v>
      </c>
      <c r="I100" s="2"/>
      <c r="J100" s="6">
        <f t="shared" si="61"/>
        <v>2.3342551359616773E-4</v>
      </c>
      <c r="K100" s="2"/>
      <c r="L100" s="7">
        <f t="shared" si="62"/>
        <v>-295</v>
      </c>
      <c r="M100" s="2"/>
      <c r="N100" s="6">
        <f t="shared" si="63"/>
        <v>-0.5</v>
      </c>
      <c r="O100" s="11"/>
      <c r="P100" s="7">
        <v>590</v>
      </c>
      <c r="Q100" s="2"/>
      <c r="R100" s="6">
        <f t="shared" si="64"/>
        <v>2.6317954424770094E-4</v>
      </c>
      <c r="S100" s="2"/>
      <c r="T100" s="7">
        <v>590</v>
      </c>
      <c r="U100" s="2"/>
      <c r="V100" s="6">
        <f t="shared" si="65"/>
        <v>2.213095491435727E-4</v>
      </c>
      <c r="W100" s="2"/>
      <c r="X100" s="7">
        <f t="shared" si="66"/>
        <v>0</v>
      </c>
      <c r="Y100" s="2"/>
      <c r="Z100" s="6">
        <f t="shared" si="67"/>
        <v>0</v>
      </c>
    </row>
    <row r="101" spans="1:26" s="24" customFormat="1" hidden="1" outlineLevel="2" x14ac:dyDescent="0.25">
      <c r="A101" s="29"/>
      <c r="B101" s="11" t="str">
        <f>CONCATENATE("          ", "6309", " - ", "TELEPHONE")</f>
        <v xml:space="preserve">          6309 - TELEPHONE</v>
      </c>
      <c r="C101" s="11"/>
      <c r="D101" s="7">
        <v>535.15</v>
      </c>
      <c r="E101" s="2"/>
      <c r="F101" s="6">
        <f t="shared" si="60"/>
        <v>2.489437544207983E-4</v>
      </c>
      <c r="G101" s="2"/>
      <c r="H101" s="7">
        <v>525.75</v>
      </c>
      <c r="I101" s="2"/>
      <c r="J101" s="6">
        <f t="shared" si="61"/>
        <v>2.080058708020088E-4</v>
      </c>
      <c r="K101" s="2"/>
      <c r="L101" s="7">
        <f t="shared" si="62"/>
        <v>9.3999999999999773</v>
      </c>
      <c r="M101" s="2"/>
      <c r="N101" s="6">
        <f t="shared" si="63"/>
        <v>1.7879220161673755E-2</v>
      </c>
      <c r="O101" s="11"/>
      <c r="P101" s="7">
        <v>764.5</v>
      </c>
      <c r="Q101" s="2"/>
      <c r="R101" s="6">
        <f t="shared" si="64"/>
        <v>3.410182399616396E-4</v>
      </c>
      <c r="S101" s="2"/>
      <c r="T101" s="7">
        <v>770.2</v>
      </c>
      <c r="U101" s="2"/>
      <c r="V101" s="6">
        <f t="shared" si="65"/>
        <v>2.8890273686505037E-4</v>
      </c>
      <c r="W101" s="2"/>
      <c r="X101" s="7">
        <f t="shared" si="66"/>
        <v>-5.7000000000000455</v>
      </c>
      <c r="Y101" s="2"/>
      <c r="Z101" s="6">
        <f t="shared" si="67"/>
        <v>-7.4006751493119255E-3</v>
      </c>
    </row>
    <row r="102" spans="1:26" s="27" customFormat="1" outlineLevel="1" collapsed="1" x14ac:dyDescent="0.25">
      <c r="A102" s="28"/>
      <c r="B102" s="14" t="str">
        <f>CONCATENATE("     ","Training                                          ")</f>
        <v xml:space="preserve">     Training                                          </v>
      </c>
      <c r="C102" s="14"/>
      <c r="D102" s="1">
        <f>SUM(OSRRefD22_13x_0)</f>
        <v>30.86</v>
      </c>
      <c r="E102" s="1"/>
      <c r="F102" s="5">
        <f t="shared" ref="F102:F105" si="68">IF(D$12=0,0,D102/D$12)</f>
        <v>1.4355609196348381E-5</v>
      </c>
      <c r="G102" s="1"/>
      <c r="H102" s="1">
        <f>SUM(OSRRefH22_13x_0)</f>
        <v>0</v>
      </c>
      <c r="I102" s="1"/>
      <c r="J102" s="5">
        <f t="shared" ref="J102:J105" si="69">IF(H$12=0,0,H102/H$12)</f>
        <v>0</v>
      </c>
      <c r="K102" s="1"/>
      <c r="L102" s="1">
        <f t="shared" ref="L102:L105" si="70">+D102-H102</f>
        <v>30.86</v>
      </c>
      <c r="M102" s="1"/>
      <c r="N102" s="5">
        <f t="shared" ref="N102:N105" si="71">IF(H102=0,0,L102/H102)</f>
        <v>0</v>
      </c>
      <c r="O102" s="14"/>
      <c r="P102" s="1">
        <f>SUM(OSRRefP22_13x_0)</f>
        <v>547.47</v>
      </c>
      <c r="Q102" s="1"/>
      <c r="R102" s="5">
        <f t="shared" ref="R102:R105" si="72">IF(P$12=0,0,P102/P$12)</f>
        <v>2.4420831371065906E-4</v>
      </c>
      <c r="S102" s="1"/>
      <c r="T102" s="1">
        <f>SUM(OSRRefT22_13x_0)</f>
        <v>-1265.6600000000001</v>
      </c>
      <c r="U102" s="1"/>
      <c r="V102" s="5">
        <f t="shared" ref="V102:V105" si="73">IF(T$12=0,0,T102/T$12)</f>
        <v>-4.747502440153462E-4</v>
      </c>
      <c r="W102" s="1"/>
      <c r="X102" s="1">
        <f t="shared" ref="X102:X105" si="74">+P102-T102</f>
        <v>1813.13</v>
      </c>
      <c r="Y102" s="1"/>
      <c r="Z102" s="5">
        <f t="shared" ref="Z102:Z105" si="75">IF(T102=0,0,X102/T102)</f>
        <v>-1.4325569268207892</v>
      </c>
    </row>
    <row r="103" spans="1:26" s="24" customFormat="1" hidden="1" outlineLevel="2" x14ac:dyDescent="0.25">
      <c r="A103" s="29"/>
      <c r="B103" s="11" t="str">
        <f>CONCATENATE("          ", "6376", " - ", "TRAINING")</f>
        <v xml:space="preserve">          6376 - TRAINING</v>
      </c>
      <c r="C103" s="11"/>
      <c r="D103" s="7">
        <v>30.86</v>
      </c>
      <c r="E103" s="2"/>
      <c r="F103" s="6">
        <f t="shared" si="68"/>
        <v>1.4355609196348381E-5</v>
      </c>
      <c r="G103" s="2"/>
      <c r="H103" s="7"/>
      <c r="I103" s="2"/>
      <c r="J103" s="6">
        <f t="shared" si="69"/>
        <v>0</v>
      </c>
      <c r="K103" s="2"/>
      <c r="L103" s="7">
        <f t="shared" si="70"/>
        <v>30.86</v>
      </c>
      <c r="M103" s="2"/>
      <c r="N103" s="6">
        <f t="shared" si="71"/>
        <v>0</v>
      </c>
      <c r="O103" s="11"/>
      <c r="P103" s="7">
        <v>547.47</v>
      </c>
      <c r="Q103" s="2"/>
      <c r="R103" s="6">
        <f t="shared" si="72"/>
        <v>2.4420831371065906E-4</v>
      </c>
      <c r="S103" s="2"/>
      <c r="T103" s="7">
        <v>-1265.6600000000001</v>
      </c>
      <c r="U103" s="2"/>
      <c r="V103" s="6">
        <f t="shared" si="73"/>
        <v>-4.747502440153462E-4</v>
      </c>
      <c r="W103" s="2"/>
      <c r="X103" s="7">
        <f t="shared" si="74"/>
        <v>1813.13</v>
      </c>
      <c r="Y103" s="2"/>
      <c r="Z103" s="6">
        <f t="shared" si="75"/>
        <v>-1.4325569268207892</v>
      </c>
    </row>
    <row r="104" spans="1:26" s="27" customFormat="1" outlineLevel="1" collapsed="1" x14ac:dyDescent="0.25">
      <c r="A104" s="28"/>
      <c r="B104" s="14" t="str">
        <f>CONCATENATE("     ","Travel                                            ")</f>
        <v xml:space="preserve">     Travel                                            </v>
      </c>
      <c r="C104" s="14"/>
      <c r="D104" s="1">
        <f>SUM(OSRRefD22_14x_0)</f>
        <v>0</v>
      </c>
      <c r="E104" s="1"/>
      <c r="F104" s="5">
        <f t="shared" si="68"/>
        <v>0</v>
      </c>
      <c r="G104" s="1"/>
      <c r="H104" s="1">
        <f>SUM(OSRRefH22_14x_0)</f>
        <v>103.48</v>
      </c>
      <c r="I104" s="1"/>
      <c r="J104" s="5">
        <f t="shared" si="69"/>
        <v>4.0940461265985488E-5</v>
      </c>
      <c r="K104" s="1"/>
      <c r="L104" s="1">
        <f t="shared" si="70"/>
        <v>-103.48</v>
      </c>
      <c r="M104" s="1"/>
      <c r="N104" s="5">
        <f t="shared" si="71"/>
        <v>-1</v>
      </c>
      <c r="O104" s="14"/>
      <c r="P104" s="1">
        <f>SUM(OSRRefP22_14x_0)</f>
        <v>0</v>
      </c>
      <c r="Q104" s="1"/>
      <c r="R104" s="5">
        <f t="shared" si="72"/>
        <v>0</v>
      </c>
      <c r="S104" s="1"/>
      <c r="T104" s="1">
        <f>SUM(OSRRefT22_14x_0)</f>
        <v>103.48</v>
      </c>
      <c r="U104" s="1"/>
      <c r="V104" s="5">
        <f t="shared" si="73"/>
        <v>3.8815444314198145E-5</v>
      </c>
      <c r="W104" s="1"/>
      <c r="X104" s="1">
        <f t="shared" si="74"/>
        <v>-103.48</v>
      </c>
      <c r="Y104" s="1"/>
      <c r="Z104" s="5">
        <f t="shared" si="75"/>
        <v>-1</v>
      </c>
    </row>
    <row r="105" spans="1:26" s="24" customFormat="1" hidden="1" outlineLevel="2" x14ac:dyDescent="0.25">
      <c r="A105" s="29"/>
      <c r="B105" s="11" t="str">
        <f>CONCATENATE("          ", "6292", " - ", "TRAVEL/CONFERENCE")</f>
        <v xml:space="preserve">          6292 - TRAVEL/CONFERENCE</v>
      </c>
      <c r="C105" s="11"/>
      <c r="D105" s="7"/>
      <c r="E105" s="2"/>
      <c r="F105" s="6">
        <f t="shared" si="68"/>
        <v>0</v>
      </c>
      <c r="G105" s="2"/>
      <c r="H105" s="7">
        <v>103.48</v>
      </c>
      <c r="I105" s="2"/>
      <c r="J105" s="6">
        <f t="shared" si="69"/>
        <v>4.0940461265985488E-5</v>
      </c>
      <c r="K105" s="2"/>
      <c r="L105" s="7">
        <f t="shared" si="70"/>
        <v>-103.48</v>
      </c>
      <c r="M105" s="2"/>
      <c r="N105" s="6">
        <f t="shared" si="71"/>
        <v>-1</v>
      </c>
      <c r="O105" s="11"/>
      <c r="P105" s="7"/>
      <c r="Q105" s="2"/>
      <c r="R105" s="6">
        <f t="shared" si="72"/>
        <v>0</v>
      </c>
      <c r="S105" s="2"/>
      <c r="T105" s="7">
        <v>103.48</v>
      </c>
      <c r="U105" s="2"/>
      <c r="V105" s="6">
        <f t="shared" si="73"/>
        <v>3.8815444314198145E-5</v>
      </c>
      <c r="W105" s="2"/>
      <c r="X105" s="7">
        <f t="shared" si="74"/>
        <v>-103.48</v>
      </c>
      <c r="Y105" s="2"/>
      <c r="Z105" s="6">
        <f t="shared" si="75"/>
        <v>-1</v>
      </c>
    </row>
    <row r="106" spans="1:26" s="62" customFormat="1" x14ac:dyDescent="0.25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collapsed="1" x14ac:dyDescent="0.25">
      <c r="A107" s="10"/>
      <c r="B107" s="25" t="s">
        <v>0</v>
      </c>
      <c r="C107" s="10"/>
      <c r="D107" s="4">
        <f>SUM(OSRRefD25x_0)</f>
        <v>1899.3400000000001</v>
      </c>
      <c r="E107" s="4"/>
      <c r="F107" s="12">
        <f t="shared" ref="F107:F109" si="76">IF(D$12=0,0,D107/D$12)</f>
        <v>8.8354448382995266E-4</v>
      </c>
      <c r="G107" s="4"/>
      <c r="H107" s="4">
        <f>SUM(OSRRefH25x_0)</f>
        <v>5923.5199999999995</v>
      </c>
      <c r="I107" s="4"/>
      <c r="J107" s="12">
        <f t="shared" ref="J107:J109" si="77">IF(H$12=0,0,H107/H$12)</f>
        <v>2.3435605055884259E-3</v>
      </c>
      <c r="K107" s="4"/>
      <c r="L107" s="4">
        <f t="shared" ref="L107:L109" si="78">+D107-H107</f>
        <v>-4024.1799999999994</v>
      </c>
      <c r="M107" s="4"/>
      <c r="N107" s="12">
        <f t="shared" ref="N107:N109" si="79">IF(H107=0,0,L107/H107)</f>
        <v>-0.67935619361460753</v>
      </c>
      <c r="O107" s="10"/>
      <c r="P107" s="4">
        <f>SUM(OSRRefP25x_0)</f>
        <v>2326.1</v>
      </c>
      <c r="Q107" s="4"/>
      <c r="R107" s="12">
        <f t="shared" ref="R107:R109" si="80">IF(P$12=0,0,P107/P$12)</f>
        <v>1.0375965048721647E-3</v>
      </c>
      <c r="S107" s="4"/>
      <c r="T107" s="4">
        <f>SUM(OSRRefT25x_0)</f>
        <v>7225.5099999999993</v>
      </c>
      <c r="U107" s="4"/>
      <c r="V107" s="12">
        <f t="shared" ref="V107:V109" si="81">IF(T$12=0,0,T107/T$12)</f>
        <v>2.7102955261565694E-3</v>
      </c>
      <c r="W107" s="4"/>
      <c r="X107" s="4">
        <f t="shared" ref="X107:X109" si="82">+P107-T107</f>
        <v>-4899.41</v>
      </c>
      <c r="Y107" s="4"/>
      <c r="Z107" s="12">
        <f t="shared" ref="Z107:Z109" si="83">IF(T107=0,0,X107/T107)</f>
        <v>-0.67807116729476535</v>
      </c>
    </row>
    <row r="108" spans="1:26" s="24" customFormat="1" hidden="1" outlineLevel="1" x14ac:dyDescent="0.25">
      <c r="A108" s="50"/>
      <c r="B108" s="11" t="str">
        <f>CONCATENATE("          ", "9150", " - ", "MISC. INCOME")</f>
        <v xml:space="preserve">          9150 - MISC. INCOME</v>
      </c>
      <c r="C108" s="11"/>
      <c r="D108" s="2">
        <f>--1891.91</f>
        <v>1891.91</v>
      </c>
      <c r="E108" s="2"/>
      <c r="F108" s="21">
        <f t="shared" si="76"/>
        <v>8.8008815925675525E-4</v>
      </c>
      <c r="G108" s="2"/>
      <c r="H108" s="2">
        <f>--5731.08</f>
        <v>5731.08</v>
      </c>
      <c r="I108" s="2"/>
      <c r="J108" s="21">
        <f t="shared" si="77"/>
        <v>2.2674242245097035E-3</v>
      </c>
      <c r="K108" s="2"/>
      <c r="L108" s="2">
        <f t="shared" si="78"/>
        <v>-3839.17</v>
      </c>
      <c r="M108" s="2"/>
      <c r="N108" s="21">
        <f t="shared" si="79"/>
        <v>-0.66988595517773264</v>
      </c>
      <c r="O108" s="11"/>
      <c r="P108" s="2">
        <f>--2318.67</f>
        <v>2318.67</v>
      </c>
      <c r="Q108" s="2"/>
      <c r="R108" s="21">
        <f t="shared" si="80"/>
        <v>1.0342822268827403E-3</v>
      </c>
      <c r="S108" s="2"/>
      <c r="T108" s="2">
        <f>--6260.73</f>
        <v>6260.73</v>
      </c>
      <c r="U108" s="2"/>
      <c r="V108" s="21">
        <f t="shared" si="81"/>
        <v>2.3484056501858305E-3</v>
      </c>
      <c r="W108" s="2"/>
      <c r="X108" s="2">
        <f t="shared" si="82"/>
        <v>-3942.0599999999995</v>
      </c>
      <c r="Y108" s="2"/>
      <c r="Z108" s="21">
        <f t="shared" si="83"/>
        <v>-0.62964861925047078</v>
      </c>
    </row>
    <row r="109" spans="1:26" s="24" customFormat="1" hidden="1" outlineLevel="1" x14ac:dyDescent="0.25">
      <c r="A109" s="50"/>
      <c r="B109" s="11" t="str">
        <f>CONCATENATE("          ", "9152", " - ", "MISC. INCOME")</f>
        <v xml:space="preserve">          9152 - MISC. INCOME</v>
      </c>
      <c r="C109" s="11"/>
      <c r="D109" s="2">
        <f>--7.43</f>
        <v>7.43</v>
      </c>
      <c r="E109" s="2"/>
      <c r="F109" s="21">
        <f t="shared" si="76"/>
        <v>3.4563245731972934E-6</v>
      </c>
      <c r="G109" s="2"/>
      <c r="H109" s="2">
        <f>--192.44</f>
        <v>192.44</v>
      </c>
      <c r="I109" s="2"/>
      <c r="J109" s="21">
        <f t="shared" si="77"/>
        <v>7.613628107872291E-5</v>
      </c>
      <c r="K109" s="2"/>
      <c r="L109" s="2">
        <f t="shared" si="78"/>
        <v>-185.01</v>
      </c>
      <c r="M109" s="2"/>
      <c r="N109" s="21">
        <f t="shared" si="79"/>
        <v>-0.96139056329245476</v>
      </c>
      <c r="O109" s="11"/>
      <c r="P109" s="2">
        <f>--7.43</f>
        <v>7.43</v>
      </c>
      <c r="Q109" s="2"/>
      <c r="R109" s="21">
        <f t="shared" si="80"/>
        <v>3.3142779894244371E-6</v>
      </c>
      <c r="S109" s="2"/>
      <c r="T109" s="2">
        <f>--964.78</f>
        <v>964.78</v>
      </c>
      <c r="U109" s="2"/>
      <c r="V109" s="21">
        <f t="shared" si="81"/>
        <v>3.6188987597073909E-4</v>
      </c>
      <c r="W109" s="2"/>
      <c r="X109" s="2">
        <f t="shared" si="82"/>
        <v>-957.35</v>
      </c>
      <c r="Y109" s="2"/>
      <c r="Z109" s="21">
        <f t="shared" si="83"/>
        <v>-0.9922987624121562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10"/>
      <c r="B111" s="26" t="s">
        <v>3</v>
      </c>
      <c r="C111" s="26"/>
      <c r="D111" s="20">
        <f>+D55-D57+D107</f>
        <v>539284.67000000097</v>
      </c>
      <c r="E111" s="13"/>
      <c r="F111" s="19">
        <f>IF(D$12=0,0,D111/D$12)</f>
        <v>0.25086714089765771</v>
      </c>
      <c r="G111" s="13"/>
      <c r="H111" s="20">
        <f>+H55-H57+H107</f>
        <v>621536.09000000032</v>
      </c>
      <c r="I111" s="13"/>
      <c r="J111" s="19">
        <f>IF(H$12=0,0,H111/H$12)</f>
        <v>0.24590234072339662</v>
      </c>
      <c r="K111" s="15"/>
      <c r="L111" s="20">
        <f>+D111-H111</f>
        <v>-82251.419999999343</v>
      </c>
      <c r="M111" s="15"/>
      <c r="N111" s="19">
        <f>IF(H111=0,0,L111/H111)</f>
        <v>-0.13233571038489383</v>
      </c>
      <c r="O111" s="25"/>
      <c r="P111" s="20">
        <f>+P55-P57+P107</f>
        <v>512862.21999999986</v>
      </c>
      <c r="Q111" s="13"/>
      <c r="R111" s="19">
        <f>IF(P$12=0,0,P111/P$12)</f>
        <v>0.22877092427366796</v>
      </c>
      <c r="S111" s="13"/>
      <c r="T111" s="20">
        <f>+T55-T57+T107</f>
        <v>610288.39</v>
      </c>
      <c r="U111" s="13"/>
      <c r="V111" s="19">
        <f>IF(T$12=0,0,T111/T$12)</f>
        <v>0.22891974311602861</v>
      </c>
      <c r="W111" s="15"/>
      <c r="X111" s="20">
        <f>+P111-T111</f>
        <v>-97426.170000000158</v>
      </c>
      <c r="Y111" s="15"/>
      <c r="Z111" s="19">
        <f>IF(T111=0,0,X111/T111)</f>
        <v>-0.15963955991363388</v>
      </c>
    </row>
    <row r="112" spans="1:26" x14ac:dyDescent="0.25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51"/>
      <c r="B113" s="10" t="s">
        <v>13</v>
      </c>
      <c r="C113" s="10"/>
      <c r="D113" s="4">
        <v>260356.30000000002</v>
      </c>
      <c r="E113" s="4"/>
      <c r="F113" s="12">
        <f>IF(D$12=0,0,D113/D$12)</f>
        <v>0.12111384622836159</v>
      </c>
      <c r="G113" s="4"/>
      <c r="H113" s="4">
        <v>243772.09</v>
      </c>
      <c r="I113" s="4"/>
      <c r="J113" s="12">
        <f>IF(H$12=0,0,H113/H$12)</f>
        <v>9.6445127641798689E-2</v>
      </c>
      <c r="K113" s="4"/>
      <c r="L113" s="4">
        <f>+D113-H113</f>
        <v>16584.210000000021</v>
      </c>
      <c r="M113" s="4"/>
      <c r="N113" s="12">
        <f>IF(H113=0,0,L113/H113)</f>
        <v>6.8031619206284116E-2</v>
      </c>
      <c r="O113" s="10"/>
      <c r="P113" s="4">
        <v>279513.50999999995</v>
      </c>
      <c r="Q113" s="4"/>
      <c r="R113" s="12">
        <f>IF(P$12=0,0,P113/P$12)</f>
        <v>0.12468175961504269</v>
      </c>
      <c r="S113" s="4"/>
      <c r="T113" s="4">
        <v>272180.82</v>
      </c>
      <c r="U113" s="4"/>
      <c r="V113" s="12">
        <f>IF(T$12=0,0,T113/T$12)</f>
        <v>0.10209527891479309</v>
      </c>
      <c r="W113" s="4"/>
      <c r="X113" s="4">
        <f>+P113-T113</f>
        <v>7332.6899999999441</v>
      </c>
      <c r="Y113" s="4"/>
      <c r="Z113" s="12">
        <f>IF(T113=0,0,X113/T113)</f>
        <v>2.6940509621508024E-2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6" t="s">
        <v>4</v>
      </c>
      <c r="C115" s="26"/>
      <c r="D115" s="31">
        <f>+D111-D113</f>
        <v>278928.37000000093</v>
      </c>
      <c r="E115" s="13"/>
      <c r="F115" s="36">
        <f>IF(D$12=0,0,D115/D$12)</f>
        <v>0.12975329466929608</v>
      </c>
      <c r="G115" s="13"/>
      <c r="H115" s="31">
        <f>+H111-H113</f>
        <v>377764.00000000035</v>
      </c>
      <c r="I115" s="13"/>
      <c r="J115" s="36">
        <f>IF(H$12=0,0,H115/H$12)</f>
        <v>0.14945721308159796</v>
      </c>
      <c r="K115" s="15"/>
      <c r="L115" s="31">
        <f>D115-H115</f>
        <v>-98835.629999999423</v>
      </c>
      <c r="M115" s="15"/>
      <c r="N115" s="36">
        <f>IF(H115=0,0,L115/H115)</f>
        <v>-0.26163326838978657</v>
      </c>
      <c r="O115" s="25"/>
      <c r="P115" s="31">
        <f>+P111-P113</f>
        <v>233348.7099999999</v>
      </c>
      <c r="Q115" s="13"/>
      <c r="R115" s="36">
        <f>IF(P$12=0,0,P115/P$12)</f>
        <v>0.10408916465862528</v>
      </c>
      <c r="S115" s="13"/>
      <c r="T115" s="31">
        <f>+T111-T113</f>
        <v>338107.57</v>
      </c>
      <c r="U115" s="13"/>
      <c r="V115" s="36">
        <f>IF(T$12=0,0,T115/T$12)</f>
        <v>0.12682446420123553</v>
      </c>
      <c r="W115" s="15"/>
      <c r="X115" s="31">
        <f>P115-T115</f>
        <v>-104758.8600000001</v>
      </c>
      <c r="Y115" s="15"/>
      <c r="Z115" s="36">
        <f>IF(T115=0,0,X115/T115)</f>
        <v>-0.30983884803289113</v>
      </c>
    </row>
    <row r="116" spans="1:26" ht="15.75" thickTop="1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6" t="s">
        <v>5</v>
      </c>
      <c r="C118" s="26"/>
      <c r="D118" s="32">
        <f>SUM(D115:D117)</f>
        <v>278928.37000000093</v>
      </c>
      <c r="E118" s="13"/>
      <c r="F118" s="30">
        <f>IF(D$12=0,0,D118/D$12)</f>
        <v>0.12975329466929608</v>
      </c>
      <c r="G118" s="13"/>
      <c r="H118" s="32">
        <f>SUM(H115:H117)</f>
        <v>377764.00000000035</v>
      </c>
      <c r="I118" s="13"/>
      <c r="J118" s="30">
        <f>IF(H$12=0,0,H118/H$12)</f>
        <v>0.14945721308159796</v>
      </c>
      <c r="K118" s="15"/>
      <c r="L118" s="32">
        <f>+D118-H118</f>
        <v>-98835.629999999423</v>
      </c>
      <c r="M118" s="15"/>
      <c r="N118" s="30">
        <f>IF(H118=0,0,L118/H118)</f>
        <v>-0.26163326838978657</v>
      </c>
      <c r="O118" s="25"/>
      <c r="P118" s="32">
        <f>SUM(P115:P117)</f>
        <v>233348.7099999999</v>
      </c>
      <c r="Q118" s="13"/>
      <c r="R118" s="30">
        <f>IF(P$12=0,0,P118/P$12)</f>
        <v>0.10408916465862528</v>
      </c>
      <c r="S118" s="13"/>
      <c r="T118" s="32">
        <f>SUM(T115:T117)</f>
        <v>338107.57</v>
      </c>
      <c r="U118" s="13"/>
      <c r="V118" s="30">
        <f>IF(T$12=0,0,T118/T$12)</f>
        <v>0.12682446420123553</v>
      </c>
      <c r="W118" s="15"/>
      <c r="X118" s="32">
        <f>+P118-T118</f>
        <v>-104758.8600000001</v>
      </c>
      <c r="Y118" s="15"/>
      <c r="Z118" s="30">
        <f>IF(T118=0,0,X118/T118)</f>
        <v>-0.30983884803289113</v>
      </c>
    </row>
    <row r="119" spans="1:26" ht="15.75" thickTop="1" x14ac:dyDescent="0.25">
      <c r="A119" s="9"/>
      <c r="C119" s="9"/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A120" s="9"/>
      <c r="B120" s="57">
        <v>43732.709202349535</v>
      </c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60" t="s">
        <v>313</v>
      </c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A122" s="9"/>
      <c r="B122" s="56"/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","311", " - ", "Textbooks")</f>
        <v>Department 311 - Textbooks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1457614.8999999997</v>
      </c>
      <c r="E12" s="4"/>
      <c r="F12" s="12"/>
      <c r="G12" s="4"/>
      <c r="H12" s="4">
        <f>SUM(OSRRefH13x_0)</f>
        <v>1707442.1799999997</v>
      </c>
      <c r="I12" s="4"/>
      <c r="J12" s="12"/>
      <c r="K12" s="4"/>
      <c r="L12" s="4">
        <f t="shared" ref="L12:L35" si="0">+D12-H12</f>
        <v>-249827.28000000003</v>
      </c>
      <c r="M12" s="4"/>
      <c r="N12" s="12">
        <f t="shared" ref="N12:N35" si="1">IF(H12=0,0,L12/H12)</f>
        <v>-0.14631668523030167</v>
      </c>
      <c r="O12" s="10"/>
      <c r="P12" s="4">
        <f>SUM(OSRRefP13x_0)</f>
        <v>1535150.94</v>
      </c>
      <c r="Q12" s="4"/>
      <c r="R12" s="12"/>
      <c r="S12" s="4"/>
      <c r="T12" s="4">
        <f>SUM(OSRRefT13x_0)</f>
        <v>1818915.0399999998</v>
      </c>
      <c r="U12" s="4"/>
      <c r="V12" s="12"/>
      <c r="W12" s="4"/>
      <c r="X12" s="4">
        <f t="shared" ref="X12:X35" si="2">+P12-T12</f>
        <v>-283764.09999999986</v>
      </c>
      <c r="Y12" s="4"/>
      <c r="Z12" s="12">
        <f t="shared" ref="Z12:Z35" si="3">IF(T12=0,0,X12/T12)</f>
        <v>-0.15600734160733526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--911170.09</f>
        <v>911170.09</v>
      </c>
      <c r="E13" s="2"/>
      <c r="F13" s="21"/>
      <c r="G13" s="2"/>
      <c r="H13" s="2">
        <f>--1114213.76</f>
        <v>1114213.76</v>
      </c>
      <c r="I13" s="2"/>
      <c r="J13" s="21"/>
      <c r="K13" s="2"/>
      <c r="L13" s="2">
        <f t="shared" si="0"/>
        <v>-203043.67000000004</v>
      </c>
      <c r="M13" s="2"/>
      <c r="N13" s="21">
        <f t="shared" si="1"/>
        <v>-0.18223044561933971</v>
      </c>
      <c r="O13" s="11"/>
      <c r="P13" s="2">
        <f>--945108.24</f>
        <v>945108.24</v>
      </c>
      <c r="Q13" s="2"/>
      <c r="R13" s="21"/>
      <c r="S13" s="2"/>
      <c r="T13" s="2">
        <f>--1183207.54</f>
        <v>1183207.54</v>
      </c>
      <c r="U13" s="2"/>
      <c r="V13" s="21"/>
      <c r="W13" s="2"/>
      <c r="X13" s="2">
        <f t="shared" si="2"/>
        <v>-238099.30000000005</v>
      </c>
      <c r="Y13" s="2"/>
      <c r="Z13" s="21">
        <f t="shared" si="3"/>
        <v>-0.20123206787542955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--282590.5</f>
        <v>282590.5</v>
      </c>
      <c r="E14" s="2"/>
      <c r="F14" s="21"/>
      <c r="G14" s="2"/>
      <c r="H14" s="2">
        <f>--286569.5</f>
        <v>286569.5</v>
      </c>
      <c r="I14" s="2"/>
      <c r="J14" s="21"/>
      <c r="K14" s="2"/>
      <c r="L14" s="2">
        <f t="shared" si="0"/>
        <v>-3979</v>
      </c>
      <c r="M14" s="2"/>
      <c r="N14" s="21">
        <f t="shared" si="1"/>
        <v>-1.3884938906617766E-2</v>
      </c>
      <c r="O14" s="11"/>
      <c r="P14" s="2">
        <f>--296424.45</f>
        <v>296424.45</v>
      </c>
      <c r="Q14" s="2"/>
      <c r="R14" s="21"/>
      <c r="S14" s="2"/>
      <c r="T14" s="2">
        <f>--301379.4</f>
        <v>301379.40000000002</v>
      </c>
      <c r="U14" s="2"/>
      <c r="V14" s="21"/>
      <c r="W14" s="2"/>
      <c r="X14" s="2">
        <f t="shared" si="2"/>
        <v>-4954.9500000000116</v>
      </c>
      <c r="Y14" s="2"/>
      <c r="Z14" s="21">
        <f t="shared" si="3"/>
        <v>-1.644090472009703E-2</v>
      </c>
    </row>
    <row r="15" spans="1:26" s="24" customFormat="1" hidden="1" outlineLevel="1" x14ac:dyDescent="0.25">
      <c r="A15" s="50"/>
      <c r="B15" s="11" t="str">
        <f>CONCATENATE("          ", "4003", " - ", "TAXABLE SALES-RENTAL TEXT")</f>
        <v xml:space="preserve">          4003 - TAXABLE SALES-RENTAL TEXT</v>
      </c>
      <c r="C15" s="11"/>
      <c r="D15" s="2">
        <f>--12302.07</f>
        <v>12302.07</v>
      </c>
      <c r="E15" s="2"/>
      <c r="F15" s="21"/>
      <c r="G15" s="2"/>
      <c r="H15" s="2">
        <f>--5041.8</f>
        <v>5041.8</v>
      </c>
      <c r="I15" s="2"/>
      <c r="J15" s="21"/>
      <c r="K15" s="2"/>
      <c r="L15" s="2">
        <f t="shared" si="0"/>
        <v>7260.2699999999995</v>
      </c>
      <c r="M15" s="2"/>
      <c r="N15" s="21">
        <f t="shared" si="1"/>
        <v>1.4400154706652384</v>
      </c>
      <c r="O15" s="11"/>
      <c r="P15" s="2">
        <f>--12736.05</f>
        <v>12736.05</v>
      </c>
      <c r="Q15" s="2"/>
      <c r="R15" s="21"/>
      <c r="S15" s="2"/>
      <c r="T15" s="2">
        <f>--5525.8</f>
        <v>5525.8</v>
      </c>
      <c r="U15" s="2"/>
      <c r="V15" s="21"/>
      <c r="W15" s="2"/>
      <c r="X15" s="2">
        <f t="shared" si="2"/>
        <v>7210.2499999999991</v>
      </c>
      <c r="Y15" s="2"/>
      <c r="Z15" s="21">
        <f t="shared" si="3"/>
        <v>1.3048336892395669</v>
      </c>
    </row>
    <row r="16" spans="1:26" s="24" customFormat="1" hidden="1" outlineLevel="1" x14ac:dyDescent="0.25">
      <c r="A16" s="50"/>
      <c r="B16" s="11" t="str">
        <f>CONCATENATE("          ", "4004", " - ", "TAXABLE SALES-DIGITAL TEXT")</f>
        <v xml:space="preserve">          4004 - TAXABLE SALES-DIGITAL TEXT</v>
      </c>
      <c r="C16" s="11"/>
      <c r="D16" s="2">
        <f>--22276.72</f>
        <v>22276.720000000001</v>
      </c>
      <c r="E16" s="2"/>
      <c r="F16" s="21"/>
      <c r="G16" s="2"/>
      <c r="H16" s="2">
        <f>--37220.14</f>
        <v>37220.14</v>
      </c>
      <c r="I16" s="2"/>
      <c r="J16" s="21"/>
      <c r="K16" s="2"/>
      <c r="L16" s="2">
        <f t="shared" si="0"/>
        <v>-14943.419999999998</v>
      </c>
      <c r="M16" s="2"/>
      <c r="N16" s="21">
        <f t="shared" si="1"/>
        <v>-0.40148747425452991</v>
      </c>
      <c r="O16" s="11"/>
      <c r="P16" s="2">
        <f>--22410.07</f>
        <v>22410.07</v>
      </c>
      <c r="Q16" s="2"/>
      <c r="R16" s="21"/>
      <c r="S16" s="2"/>
      <c r="T16" s="2">
        <f>--37363.14</f>
        <v>37363.14</v>
      </c>
      <c r="U16" s="2"/>
      <c r="V16" s="21"/>
      <c r="W16" s="2"/>
      <c r="X16" s="2">
        <f t="shared" si="2"/>
        <v>-14953.07</v>
      </c>
      <c r="Y16" s="2"/>
      <c r="Z16" s="21">
        <f t="shared" si="3"/>
        <v>-0.40020913659826235</v>
      </c>
    </row>
    <row r="17" spans="1:26" s="24" customFormat="1" hidden="1" outlineLevel="1" x14ac:dyDescent="0.25">
      <c r="A17" s="50"/>
      <c r="B17" s="11" t="str">
        <f>CONCATENATE("          ", "4013", " - ", "TAXABLE SALES-TRADE BOOKS")</f>
        <v xml:space="preserve">          4013 - TAXABLE SALES-TRADE BOOKS</v>
      </c>
      <c r="C17" s="11"/>
      <c r="D17" s="2">
        <f>--70.86</f>
        <v>70.86</v>
      </c>
      <c r="E17" s="2"/>
      <c r="F17" s="21"/>
      <c r="G17" s="2"/>
      <c r="H17" s="2">
        <f>--1031.71</f>
        <v>1031.71</v>
      </c>
      <c r="I17" s="2"/>
      <c r="J17" s="21"/>
      <c r="K17" s="2"/>
      <c r="L17" s="2">
        <f t="shared" si="0"/>
        <v>-960.85</v>
      </c>
      <c r="M17" s="2"/>
      <c r="N17" s="21">
        <f t="shared" si="1"/>
        <v>-0.93131790910236401</v>
      </c>
      <c r="O17" s="11"/>
      <c r="P17" s="2">
        <f>--110.81</f>
        <v>110.81</v>
      </c>
      <c r="Q17" s="2"/>
      <c r="R17" s="21"/>
      <c r="S17" s="2"/>
      <c r="T17" s="2">
        <f>--1085.67</f>
        <v>1085.67</v>
      </c>
      <c r="U17" s="2"/>
      <c r="V17" s="21"/>
      <c r="W17" s="2"/>
      <c r="X17" s="2">
        <f t="shared" si="2"/>
        <v>-974.86000000000013</v>
      </c>
      <c r="Y17" s="2"/>
      <c r="Z17" s="21">
        <f t="shared" si="3"/>
        <v>-0.89793399467609869</v>
      </c>
    </row>
    <row r="18" spans="1:26" s="24" customFormat="1" hidden="1" outlineLevel="1" x14ac:dyDescent="0.25">
      <c r="A18" s="50"/>
      <c r="B18" s="11" t="str">
        <f>CONCATENATE("          ", "4014", " - ", "TAXABLE SALES-REMAINDERS")</f>
        <v xml:space="preserve">          4014 - TAXABLE SALES-REMAINDERS</v>
      </c>
      <c r="C18" s="11"/>
      <c r="D18" s="2">
        <f>--175</f>
        <v>175</v>
      </c>
      <c r="E18" s="2"/>
      <c r="F18" s="21"/>
      <c r="G18" s="2"/>
      <c r="H18" s="2">
        <f>--147.02</f>
        <v>147.02000000000001</v>
      </c>
      <c r="I18" s="2"/>
      <c r="J18" s="21"/>
      <c r="K18" s="2"/>
      <c r="L18" s="2">
        <f t="shared" si="0"/>
        <v>27.97999999999999</v>
      </c>
      <c r="M18" s="2"/>
      <c r="N18" s="21">
        <f t="shared" si="1"/>
        <v>0.19031424296014141</v>
      </c>
      <c r="O18" s="11"/>
      <c r="P18" s="2">
        <f>--425.65</f>
        <v>425.65</v>
      </c>
      <c r="Q18" s="2"/>
      <c r="R18" s="21"/>
      <c r="S18" s="2"/>
      <c r="T18" s="2">
        <f>--347.51</f>
        <v>347.51</v>
      </c>
      <c r="U18" s="2"/>
      <c r="V18" s="21"/>
      <c r="W18" s="2"/>
      <c r="X18" s="2">
        <f t="shared" si="2"/>
        <v>78.139999999999986</v>
      </c>
      <c r="Y18" s="2"/>
      <c r="Z18" s="21">
        <f t="shared" si="3"/>
        <v>0.22485683865212508</v>
      </c>
    </row>
    <row r="19" spans="1:26" s="24" customFormat="1" hidden="1" outlineLevel="1" x14ac:dyDescent="0.25">
      <c r="A19" s="50"/>
      <c r="B19" s="11" t="str">
        <f>CONCATENATE("          ", "4018", " - ", "TAXABLE SALES-STUDY GUIDES")</f>
        <v xml:space="preserve">          4018 - TAXABLE SALES-STUDY GUIDES</v>
      </c>
      <c r="C19" s="11"/>
      <c r="D19" s="2">
        <f>--1184.84</f>
        <v>1184.8399999999999</v>
      </c>
      <c r="E19" s="2"/>
      <c r="F19" s="21"/>
      <c r="G19" s="2"/>
      <c r="H19" s="2">
        <f>--1550.73</f>
        <v>1550.73</v>
      </c>
      <c r="I19" s="2"/>
      <c r="J19" s="21"/>
      <c r="K19" s="2"/>
      <c r="L19" s="2">
        <f t="shared" si="0"/>
        <v>-365.8900000000001</v>
      </c>
      <c r="M19" s="2"/>
      <c r="N19" s="21">
        <f t="shared" si="1"/>
        <v>-0.23594694111805414</v>
      </c>
      <c r="O19" s="11"/>
      <c r="P19" s="2">
        <f>--1364.13</f>
        <v>1364.13</v>
      </c>
      <c r="Q19" s="2"/>
      <c r="R19" s="21"/>
      <c r="S19" s="2"/>
      <c r="T19" s="2">
        <f>--2030.07</f>
        <v>2030.07</v>
      </c>
      <c r="U19" s="2"/>
      <c r="V19" s="21"/>
      <c r="W19" s="2"/>
      <c r="X19" s="2">
        <f t="shared" si="2"/>
        <v>-665.93999999999983</v>
      </c>
      <c r="Y19" s="2"/>
      <c r="Z19" s="21">
        <f t="shared" si="3"/>
        <v>-0.32803794943031511</v>
      </c>
    </row>
    <row r="20" spans="1:26" s="24" customFormat="1" hidden="1" outlineLevel="1" x14ac:dyDescent="0.25">
      <c r="A20" s="50"/>
      <c r="B20" s="11" t="str">
        <f>CONCATENATE("          ", "4101", " - ", "NON-TAXABLE SALES-NEW TEXT")</f>
        <v xml:space="preserve">          4101 - NON-TAXABLE SALES-NEW TEXT</v>
      </c>
      <c r="C20" s="11"/>
      <c r="D20" s="2">
        <f>--48156.44</f>
        <v>48156.44</v>
      </c>
      <c r="E20" s="2"/>
      <c r="F20" s="21"/>
      <c r="G20" s="2"/>
      <c r="H20" s="2">
        <f>--72613.98</f>
        <v>72613.98</v>
      </c>
      <c r="I20" s="2"/>
      <c r="J20" s="21"/>
      <c r="K20" s="2"/>
      <c r="L20" s="2">
        <f t="shared" si="0"/>
        <v>-24457.539999999994</v>
      </c>
      <c r="M20" s="2"/>
      <c r="N20" s="21">
        <f t="shared" si="1"/>
        <v>-0.33681585832370015</v>
      </c>
      <c r="O20" s="11"/>
      <c r="P20" s="2">
        <f>--55893.02</f>
        <v>55893.02</v>
      </c>
      <c r="Q20" s="2"/>
      <c r="R20" s="21"/>
      <c r="S20" s="2"/>
      <c r="T20" s="2">
        <f>--89447.21</f>
        <v>89447.21</v>
      </c>
      <c r="U20" s="2"/>
      <c r="V20" s="21"/>
      <c r="W20" s="2"/>
      <c r="X20" s="2">
        <f t="shared" si="2"/>
        <v>-33554.19000000001</v>
      </c>
      <c r="Y20" s="2"/>
      <c r="Z20" s="21">
        <f t="shared" si="3"/>
        <v>-0.3751284137314066</v>
      </c>
    </row>
    <row r="21" spans="1:26" s="24" customFormat="1" hidden="1" outlineLevel="1" x14ac:dyDescent="0.25">
      <c r="A21" s="50"/>
      <c r="B21" s="11" t="str">
        <f>CONCATENATE("          ", "4102", " - ", "NON-TAXABLE SALES-USED TEXT")</f>
        <v xml:space="preserve">          4102 - NON-TAXABLE SALES-USED TEXT</v>
      </c>
      <c r="C21" s="11"/>
      <c r="D21" s="2">
        <f>--27115.09</f>
        <v>27115.09</v>
      </c>
      <c r="E21" s="2"/>
      <c r="F21" s="21"/>
      <c r="G21" s="2"/>
      <c r="H21" s="2">
        <f>--38685.49</f>
        <v>38685.49</v>
      </c>
      <c r="I21" s="2"/>
      <c r="J21" s="21"/>
      <c r="K21" s="2"/>
      <c r="L21" s="2">
        <f t="shared" si="0"/>
        <v>-11570.399999999998</v>
      </c>
      <c r="M21" s="2"/>
      <c r="N21" s="21">
        <f t="shared" si="1"/>
        <v>-0.29908888319625776</v>
      </c>
      <c r="O21" s="11"/>
      <c r="P21" s="2">
        <f>--32474.33</f>
        <v>32474.33</v>
      </c>
      <c r="Q21" s="2"/>
      <c r="R21" s="21"/>
      <c r="S21" s="2"/>
      <c r="T21" s="2">
        <f>--41302.43</f>
        <v>41302.43</v>
      </c>
      <c r="U21" s="2"/>
      <c r="V21" s="21"/>
      <c r="W21" s="2"/>
      <c r="X21" s="2">
        <f t="shared" si="2"/>
        <v>-8828.0999999999985</v>
      </c>
      <c r="Y21" s="2"/>
      <c r="Z21" s="21">
        <f t="shared" si="3"/>
        <v>-0.21374287178744686</v>
      </c>
    </row>
    <row r="22" spans="1:26" s="24" customFormat="1" hidden="1" outlineLevel="1" x14ac:dyDescent="0.25">
      <c r="A22" s="50"/>
      <c r="B22" s="11" t="str">
        <f>CONCATENATE("          ", "4103", " - ", "NON-TAXABLE SALES-RENTAL TEXT")</f>
        <v xml:space="preserve">          4103 - NON-TAXABLE SALES-RENTAL TEXT</v>
      </c>
      <c r="C22" s="11"/>
      <c r="D22" s="2">
        <f>--474.97</f>
        <v>474.97</v>
      </c>
      <c r="E22" s="2"/>
      <c r="F22" s="21"/>
      <c r="G22" s="2"/>
      <c r="H22" s="2">
        <f>--169.95</f>
        <v>169.95</v>
      </c>
      <c r="I22" s="2"/>
      <c r="J22" s="21"/>
      <c r="K22" s="2"/>
      <c r="L22" s="2">
        <f t="shared" si="0"/>
        <v>305.02000000000004</v>
      </c>
      <c r="M22" s="2"/>
      <c r="N22" s="21">
        <f t="shared" si="1"/>
        <v>1.7947631656369525</v>
      </c>
      <c r="O22" s="11"/>
      <c r="P22" s="2">
        <f>--474.97</f>
        <v>474.97</v>
      </c>
      <c r="Q22" s="2"/>
      <c r="R22" s="21"/>
      <c r="S22" s="2"/>
      <c r="T22" s="2">
        <f>--169.95</f>
        <v>169.95</v>
      </c>
      <c r="U22" s="2"/>
      <c r="V22" s="21"/>
      <c r="W22" s="2"/>
      <c r="X22" s="2">
        <f t="shared" si="2"/>
        <v>305.02000000000004</v>
      </c>
      <c r="Y22" s="2"/>
      <c r="Z22" s="21">
        <f t="shared" si="3"/>
        <v>1.7947631656369525</v>
      </c>
    </row>
    <row r="23" spans="1:26" s="24" customFormat="1" hidden="1" outlineLevel="1" x14ac:dyDescent="0.25">
      <c r="A23" s="50"/>
      <c r="B23" s="11" t="str">
        <f>CONCATENATE("          ", "4104", " - ", "NON-TAXABLE SALES-DIGITAL TEXT")</f>
        <v xml:space="preserve">          4104 - NON-TAXABLE SALES-DIGITAL TEXT</v>
      </c>
      <c r="C23" s="11"/>
      <c r="D23" s="2">
        <f>--246443.9</f>
        <v>246443.9</v>
      </c>
      <c r="E23" s="2"/>
      <c r="F23" s="21"/>
      <c r="G23" s="2"/>
      <c r="H23" s="2">
        <f>--257792.9</f>
        <v>257792.9</v>
      </c>
      <c r="I23" s="2"/>
      <c r="J23" s="21"/>
      <c r="K23" s="2"/>
      <c r="L23" s="2">
        <f t="shared" si="0"/>
        <v>-11349</v>
      </c>
      <c r="M23" s="2"/>
      <c r="N23" s="21">
        <f t="shared" si="1"/>
        <v>-4.4023710505603532E-2</v>
      </c>
      <c r="O23" s="11"/>
      <c r="P23" s="2">
        <f>--259868.07</f>
        <v>259868.07</v>
      </c>
      <c r="Q23" s="2"/>
      <c r="R23" s="21"/>
      <c r="S23" s="2"/>
      <c r="T23" s="2">
        <f>--265140.56</f>
        <v>265140.56</v>
      </c>
      <c r="U23" s="2"/>
      <c r="V23" s="21"/>
      <c r="W23" s="2"/>
      <c r="X23" s="2">
        <f t="shared" si="2"/>
        <v>-5272.4899999999907</v>
      </c>
      <c r="Y23" s="2"/>
      <c r="Z23" s="21">
        <f t="shared" si="3"/>
        <v>-1.9885641035079622E-2</v>
      </c>
    </row>
    <row r="24" spans="1:26" s="24" customFormat="1" hidden="1" outlineLevel="1" x14ac:dyDescent="0.25">
      <c r="A24" s="50"/>
      <c r="B24" s="11" t="str">
        <f>CONCATENATE("          ", "4111", " - ", "NON-TAXABLE SALES-NO VALUE TEX")</f>
        <v xml:space="preserve">          4111 - NON-TAXABLE SALES-NO VALUE TEX</v>
      </c>
      <c r="C24" s="11"/>
      <c r="D24" s="2">
        <f>--3067.16</f>
        <v>3067.16</v>
      </c>
      <c r="E24" s="2"/>
      <c r="F24" s="21"/>
      <c r="G24" s="2"/>
      <c r="H24" s="2">
        <f>--3839.39</f>
        <v>3839.39</v>
      </c>
      <c r="I24" s="2"/>
      <c r="J24" s="21"/>
      <c r="K24" s="2"/>
      <c r="L24" s="2">
        <f t="shared" si="0"/>
        <v>-772.23</v>
      </c>
      <c r="M24" s="2"/>
      <c r="N24" s="21">
        <f t="shared" si="1"/>
        <v>-0.20113351339665939</v>
      </c>
      <c r="O24" s="11"/>
      <c r="P24" s="2">
        <f>--5748.11</f>
        <v>5748.11</v>
      </c>
      <c r="Q24" s="2"/>
      <c r="R24" s="21"/>
      <c r="S24" s="2"/>
      <c r="T24" s="2">
        <f>--6667.97</f>
        <v>6667.97</v>
      </c>
      <c r="U24" s="2"/>
      <c r="V24" s="21"/>
      <c r="W24" s="2"/>
      <c r="X24" s="2">
        <f t="shared" si="2"/>
        <v>-919.86000000000058</v>
      </c>
      <c r="Y24" s="2"/>
      <c r="Z24" s="21">
        <f t="shared" si="3"/>
        <v>-0.13795203037806117</v>
      </c>
    </row>
    <row r="25" spans="1:26" s="24" customFormat="1" hidden="1" outlineLevel="1" x14ac:dyDescent="0.25">
      <c r="A25" s="50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--12.72</f>
        <v>12.72</v>
      </c>
      <c r="E25" s="2"/>
      <c r="F25" s="21"/>
      <c r="G25" s="2"/>
      <c r="H25" s="2">
        <f>--31.17</f>
        <v>31.17</v>
      </c>
      <c r="I25" s="2"/>
      <c r="J25" s="21"/>
      <c r="K25" s="2"/>
      <c r="L25" s="2">
        <f t="shared" si="0"/>
        <v>-18.450000000000003</v>
      </c>
      <c r="M25" s="2"/>
      <c r="N25" s="21">
        <f t="shared" si="1"/>
        <v>-0.59191530317613095</v>
      </c>
      <c r="O25" s="11"/>
      <c r="P25" s="2">
        <f>--1146.72</f>
        <v>1146.72</v>
      </c>
      <c r="Q25" s="2"/>
      <c r="R25" s="21"/>
      <c r="S25" s="2"/>
      <c r="T25" s="2">
        <f>--38.23</f>
        <v>38.229999999999997</v>
      </c>
      <c r="U25" s="2"/>
      <c r="V25" s="21"/>
      <c r="W25" s="2"/>
      <c r="X25" s="2">
        <f t="shared" si="2"/>
        <v>1108.49</v>
      </c>
      <c r="Y25" s="2"/>
      <c r="Z25" s="21">
        <f t="shared" si="3"/>
        <v>28.995291655767723</v>
      </c>
    </row>
    <row r="26" spans="1:26" s="24" customFormat="1" hidden="1" outlineLevel="1" x14ac:dyDescent="0.25">
      <c r="A26" s="50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--7.02</f>
        <v>7.02</v>
      </c>
      <c r="E26" s="2"/>
      <c r="F26" s="21"/>
      <c r="G26" s="2"/>
      <c r="H26" s="2">
        <f>--75.48</f>
        <v>75.48</v>
      </c>
      <c r="I26" s="2"/>
      <c r="J26" s="21"/>
      <c r="K26" s="2"/>
      <c r="L26" s="2">
        <f t="shared" si="0"/>
        <v>-68.460000000000008</v>
      </c>
      <c r="M26" s="2"/>
      <c r="N26" s="21">
        <f t="shared" si="1"/>
        <v>-0.90699523052464237</v>
      </c>
      <c r="O26" s="11"/>
      <c r="P26" s="2">
        <f>--13.97</f>
        <v>13.97</v>
      </c>
      <c r="Q26" s="2"/>
      <c r="R26" s="21"/>
      <c r="S26" s="2"/>
      <c r="T26" s="2">
        <f>--111.41</f>
        <v>111.41</v>
      </c>
      <c r="U26" s="2"/>
      <c r="V26" s="21"/>
      <c r="W26" s="2"/>
      <c r="X26" s="2">
        <f t="shared" si="2"/>
        <v>-97.44</v>
      </c>
      <c r="Y26" s="2"/>
      <c r="Z26" s="21">
        <f t="shared" si="3"/>
        <v>-0.87460730634592943</v>
      </c>
    </row>
    <row r="27" spans="1:26" s="24" customFormat="1" hidden="1" outlineLevel="1" x14ac:dyDescent="0.25">
      <c r="A27" s="50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-58563.26</f>
        <v>-58563.26</v>
      </c>
      <c r="E27" s="2"/>
      <c r="F27" s="21"/>
      <c r="G27" s="2"/>
      <c r="H27" s="2">
        <f>-73018.44</f>
        <v>-73018.44</v>
      </c>
      <c r="I27" s="2"/>
      <c r="J27" s="21"/>
      <c r="K27" s="2"/>
      <c r="L27" s="2">
        <f t="shared" si="0"/>
        <v>14455.18</v>
      </c>
      <c r="M27" s="2"/>
      <c r="N27" s="21">
        <f t="shared" si="1"/>
        <v>-0.19796615758978142</v>
      </c>
      <c r="O27" s="11"/>
      <c r="P27" s="2">
        <f>-59170.41</f>
        <v>-59170.41</v>
      </c>
      <c r="Q27" s="2"/>
      <c r="R27" s="21"/>
      <c r="S27" s="2"/>
      <c r="T27" s="2">
        <f>-74525.94</f>
        <v>-74525.94</v>
      </c>
      <c r="U27" s="2"/>
      <c r="V27" s="21"/>
      <c r="W27" s="2"/>
      <c r="X27" s="2">
        <f t="shared" si="2"/>
        <v>15355.529999999999</v>
      </c>
      <c r="Y27" s="2"/>
      <c r="Z27" s="21">
        <f t="shared" si="3"/>
        <v>-0.20604275504609534</v>
      </c>
    </row>
    <row r="28" spans="1:26" s="24" customFormat="1" hidden="1" outlineLevel="1" x14ac:dyDescent="0.25">
      <c r="A28" s="50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-20533</f>
        <v>-20533</v>
      </c>
      <c r="E28" s="2"/>
      <c r="F28" s="21"/>
      <c r="G28" s="2"/>
      <c r="H28" s="2">
        <f>-22848</f>
        <v>-22848</v>
      </c>
      <c r="I28" s="2"/>
      <c r="J28" s="21"/>
      <c r="K28" s="2"/>
      <c r="L28" s="2">
        <f t="shared" si="0"/>
        <v>2315</v>
      </c>
      <c r="M28" s="2"/>
      <c r="N28" s="21">
        <f t="shared" si="1"/>
        <v>-0.10132177871148459</v>
      </c>
      <c r="O28" s="11"/>
      <c r="P28" s="2">
        <f>-21254.45</f>
        <v>-21254.45</v>
      </c>
      <c r="Q28" s="2"/>
      <c r="R28" s="21"/>
      <c r="S28" s="2"/>
      <c r="T28" s="2">
        <f>-23427.25</f>
        <v>-23427.25</v>
      </c>
      <c r="U28" s="2"/>
      <c r="V28" s="21"/>
      <c r="W28" s="2"/>
      <c r="X28" s="2">
        <f t="shared" si="2"/>
        <v>2172.7999999999993</v>
      </c>
      <c r="Y28" s="2"/>
      <c r="Z28" s="21">
        <f t="shared" si="3"/>
        <v>-9.2746694554418432E-2</v>
      </c>
    </row>
    <row r="29" spans="1:26" s="24" customFormat="1" hidden="1" outlineLevel="1" x14ac:dyDescent="0.25">
      <c r="A29" s="50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>-6848.37</f>
        <v>-6848.37</v>
      </c>
      <c r="E29" s="2"/>
      <c r="F29" s="21"/>
      <c r="G29" s="2"/>
      <c r="H29" s="2">
        <f>-12818.73</f>
        <v>-12818.73</v>
      </c>
      <c r="I29" s="2"/>
      <c r="J29" s="21"/>
      <c r="K29" s="2"/>
      <c r="L29" s="2">
        <f t="shared" si="0"/>
        <v>5970.36</v>
      </c>
      <c r="M29" s="2"/>
      <c r="N29" s="21">
        <f t="shared" si="1"/>
        <v>-0.46575284759098601</v>
      </c>
      <c r="O29" s="11"/>
      <c r="P29" s="2">
        <f>-6848.37</f>
        <v>-6848.37</v>
      </c>
      <c r="Q29" s="2"/>
      <c r="R29" s="21"/>
      <c r="S29" s="2"/>
      <c r="T29" s="2">
        <f>-12903.73</f>
        <v>-12903.73</v>
      </c>
      <c r="U29" s="2"/>
      <c r="V29" s="21"/>
      <c r="W29" s="2"/>
      <c r="X29" s="2">
        <f t="shared" si="2"/>
        <v>6055.36</v>
      </c>
      <c r="Y29" s="2"/>
      <c r="Z29" s="21">
        <f t="shared" si="3"/>
        <v>-0.46927206319413067</v>
      </c>
    </row>
    <row r="30" spans="1:26" s="24" customFormat="1" hidden="1" outlineLevel="1" x14ac:dyDescent="0.25">
      <c r="A30" s="50"/>
      <c r="B30" s="11" t="str">
        <f>CONCATENATE("          ", "4213", " - ", "NON-TAXABLE SALES-TRADE BOOKS")</f>
        <v xml:space="preserve">          4213 - NON-TAXABLE SALES-TRADE BOOKS</v>
      </c>
      <c r="C30" s="11"/>
      <c r="D30" s="2">
        <f>0</f>
        <v>0</v>
      </c>
      <c r="E30" s="2"/>
      <c r="F30" s="21"/>
      <c r="G30" s="2"/>
      <c r="H30" s="2">
        <f>-15</f>
        <v>-15</v>
      </c>
      <c r="I30" s="2"/>
      <c r="J30" s="21"/>
      <c r="K30" s="2"/>
      <c r="L30" s="2">
        <f t="shared" si="0"/>
        <v>15</v>
      </c>
      <c r="M30" s="2"/>
      <c r="N30" s="21">
        <f t="shared" si="1"/>
        <v>-1</v>
      </c>
      <c r="O30" s="11"/>
      <c r="P30" s="2">
        <f>0</f>
        <v>0</v>
      </c>
      <c r="Q30" s="2"/>
      <c r="R30" s="21"/>
      <c r="S30" s="2"/>
      <c r="T30" s="2">
        <f>-15</f>
        <v>-15</v>
      </c>
      <c r="U30" s="2"/>
      <c r="V30" s="21"/>
      <c r="W30" s="2"/>
      <c r="X30" s="2">
        <f t="shared" si="2"/>
        <v>15</v>
      </c>
      <c r="Y30" s="2"/>
      <c r="Z30" s="21">
        <f t="shared" si="3"/>
        <v>-1</v>
      </c>
    </row>
    <row r="31" spans="1:26" s="24" customFormat="1" hidden="1" outlineLevel="1" x14ac:dyDescent="0.25">
      <c r="A31" s="50"/>
      <c r="B31" s="11" t="str">
        <f>CONCATENATE("          ", "4218", " - ", "SALES RETURN TAXABLE-STUDY GUI")</f>
        <v xml:space="preserve">          4218 - SALES RETURN TAXABLE-STUDY GUI</v>
      </c>
      <c r="C31" s="11"/>
      <c r="D31" s="2">
        <f>-26.8</f>
        <v>-26.8</v>
      </c>
      <c r="E31" s="2"/>
      <c r="F31" s="21"/>
      <c r="G31" s="2"/>
      <c r="H31" s="2">
        <f>0</f>
        <v>0</v>
      </c>
      <c r="I31" s="2"/>
      <c r="J31" s="21"/>
      <c r="K31" s="2"/>
      <c r="L31" s="2">
        <f t="shared" si="0"/>
        <v>-26.8</v>
      </c>
      <c r="M31" s="2"/>
      <c r="N31" s="21">
        <f t="shared" si="1"/>
        <v>0</v>
      </c>
      <c r="O31" s="11"/>
      <c r="P31" s="2">
        <f>-26.8</f>
        <v>-26.8</v>
      </c>
      <c r="Q31" s="2"/>
      <c r="R31" s="21"/>
      <c r="S31" s="2"/>
      <c r="T31" s="2">
        <f>-15.95</f>
        <v>-15.95</v>
      </c>
      <c r="U31" s="2"/>
      <c r="V31" s="21"/>
      <c r="W31" s="2"/>
      <c r="X31" s="2">
        <f t="shared" si="2"/>
        <v>-10.850000000000001</v>
      </c>
      <c r="Y31" s="2"/>
      <c r="Z31" s="21">
        <f t="shared" si="3"/>
        <v>0.68025078369905967</v>
      </c>
    </row>
    <row r="32" spans="1:26" s="24" customFormat="1" hidden="1" outlineLevel="1" x14ac:dyDescent="0.25">
      <c r="A32" s="50"/>
      <c r="B32" s="11" t="str">
        <f>CONCATENATE("          ", "4301", " - ", "SALES RETURN NON TAXABLE-NEW T")</f>
        <v xml:space="preserve">          4301 - SALES RETURN NON TAXABLE-NEW T</v>
      </c>
      <c r="C32" s="11"/>
      <c r="D32" s="2">
        <f>-2665.19</f>
        <v>-2665.19</v>
      </c>
      <c r="E32" s="2"/>
      <c r="F32" s="21"/>
      <c r="G32" s="2"/>
      <c r="H32" s="2">
        <f>-1852.97</f>
        <v>-1852.97</v>
      </c>
      <c r="I32" s="2"/>
      <c r="J32" s="21"/>
      <c r="K32" s="2"/>
      <c r="L32" s="2">
        <f t="shared" si="0"/>
        <v>-812.22</v>
      </c>
      <c r="M32" s="2"/>
      <c r="N32" s="21">
        <f t="shared" si="1"/>
        <v>0.43833413384998138</v>
      </c>
      <c r="O32" s="11"/>
      <c r="P32" s="2">
        <f>-2919.78</f>
        <v>-2919.78</v>
      </c>
      <c r="Q32" s="2"/>
      <c r="R32" s="21"/>
      <c r="S32" s="2"/>
      <c r="T32" s="2">
        <f>-2849.1</f>
        <v>-2849.1</v>
      </c>
      <c r="U32" s="2"/>
      <c r="V32" s="21"/>
      <c r="W32" s="2"/>
      <c r="X32" s="2">
        <f t="shared" si="2"/>
        <v>-70.680000000000291</v>
      </c>
      <c r="Y32" s="2"/>
      <c r="Z32" s="21">
        <f t="shared" si="3"/>
        <v>2.4807834052858902E-2</v>
      </c>
    </row>
    <row r="33" spans="1:26" s="24" customFormat="1" hidden="1" outlineLevel="1" x14ac:dyDescent="0.25">
      <c r="A33" s="50"/>
      <c r="B33" s="11" t="str">
        <f>CONCATENATE("          ", "4302", " - ", "SALES RETURN NON TAXABLE-TEXT")</f>
        <v xml:space="preserve">          4302 - SALES RETURN NON TAXABLE-TEXT</v>
      </c>
      <c r="C33" s="11"/>
      <c r="D33" s="2">
        <f>-250.25</f>
        <v>-250.25</v>
      </c>
      <c r="E33" s="2"/>
      <c r="F33" s="21"/>
      <c r="G33" s="2"/>
      <c r="H33" s="2">
        <f>-554.73</f>
        <v>-554.73</v>
      </c>
      <c r="I33" s="2"/>
      <c r="J33" s="21"/>
      <c r="K33" s="2"/>
      <c r="L33" s="2">
        <f t="shared" si="0"/>
        <v>304.48</v>
      </c>
      <c r="M33" s="2"/>
      <c r="N33" s="21">
        <f t="shared" si="1"/>
        <v>-0.54887963513781479</v>
      </c>
      <c r="O33" s="11"/>
      <c r="P33" s="2">
        <f>-250.25</f>
        <v>-250.25</v>
      </c>
      <c r="Q33" s="2"/>
      <c r="R33" s="21"/>
      <c r="S33" s="2"/>
      <c r="T33" s="2">
        <f>-667.53</f>
        <v>-667.53</v>
      </c>
      <c r="U33" s="2"/>
      <c r="V33" s="21"/>
      <c r="W33" s="2"/>
      <c r="X33" s="2">
        <f t="shared" si="2"/>
        <v>417.28</v>
      </c>
      <c r="Y33" s="2"/>
      <c r="Z33" s="21">
        <f t="shared" si="3"/>
        <v>-0.6251104819259059</v>
      </c>
    </row>
    <row r="34" spans="1:26" s="24" customFormat="1" hidden="1" outlineLevel="1" x14ac:dyDescent="0.25">
      <c r="A34" s="50"/>
      <c r="B34" s="11" t="str">
        <f>CONCATENATE("          ", "4304", " - ", "SALES RETURN NON TAXABLE-DIGIT")</f>
        <v xml:space="preserve">          4304 - SALES RETURN NON TAXABLE-DIGIT</v>
      </c>
      <c r="C34" s="11"/>
      <c r="D34" s="2">
        <f>-8466.55</f>
        <v>-8466.5499999999993</v>
      </c>
      <c r="E34" s="2"/>
      <c r="F34" s="21"/>
      <c r="G34" s="2"/>
      <c r="H34" s="2">
        <f>-264.47</f>
        <v>-264.47000000000003</v>
      </c>
      <c r="I34" s="2"/>
      <c r="J34" s="21"/>
      <c r="K34" s="2"/>
      <c r="L34" s="2">
        <f t="shared" si="0"/>
        <v>-8202.08</v>
      </c>
      <c r="M34" s="2"/>
      <c r="N34" s="21">
        <f t="shared" si="1"/>
        <v>31.013271826672209</v>
      </c>
      <c r="O34" s="11"/>
      <c r="P34" s="2">
        <f>-8466.55</f>
        <v>-8466.5499999999993</v>
      </c>
      <c r="Q34" s="2"/>
      <c r="R34" s="21"/>
      <c r="S34" s="2"/>
      <c r="T34" s="2">
        <f>-284.47</f>
        <v>-284.47000000000003</v>
      </c>
      <c r="U34" s="2"/>
      <c r="V34" s="21"/>
      <c r="W34" s="2"/>
      <c r="X34" s="2">
        <f t="shared" si="2"/>
        <v>-8182.079999999999</v>
      </c>
      <c r="Y34" s="2"/>
      <c r="Z34" s="21">
        <f t="shared" si="3"/>
        <v>28.762540865469113</v>
      </c>
    </row>
    <row r="35" spans="1:26" s="24" customFormat="1" hidden="1" outlineLevel="1" x14ac:dyDescent="0.25">
      <c r="A35" s="50"/>
      <c r="B35" s="11" t="str">
        <f>CONCATENATE("          ", "4311", " - ", "SALES RETURN NON TAXABLE-NO VA")</f>
        <v xml:space="preserve">          4311 - SALES RETURN NON TAXABLE-NO VA</v>
      </c>
      <c r="C35" s="11"/>
      <c r="D35" s="2">
        <f>-79.06</f>
        <v>-79.06</v>
      </c>
      <c r="E35" s="2"/>
      <c r="F35" s="21"/>
      <c r="G35" s="2"/>
      <c r="H35" s="2">
        <f>-168.5</f>
        <v>-168.5</v>
      </c>
      <c r="I35" s="2"/>
      <c r="J35" s="21"/>
      <c r="K35" s="2"/>
      <c r="L35" s="2">
        <f t="shared" si="0"/>
        <v>89.44</v>
      </c>
      <c r="M35" s="2"/>
      <c r="N35" s="21">
        <f t="shared" si="1"/>
        <v>-0.53080118694362022</v>
      </c>
      <c r="O35" s="11"/>
      <c r="P35" s="2">
        <f>-111.04</f>
        <v>-111.04</v>
      </c>
      <c r="Q35" s="2"/>
      <c r="R35" s="21"/>
      <c r="S35" s="2"/>
      <c r="T35" s="2">
        <f>-212.88</f>
        <v>-212.88</v>
      </c>
      <c r="U35" s="2"/>
      <c r="V35" s="21"/>
      <c r="W35" s="2"/>
      <c r="X35" s="2">
        <f t="shared" si="2"/>
        <v>101.83999999999999</v>
      </c>
      <c r="Y35" s="2"/>
      <c r="Z35" s="21">
        <f t="shared" si="3"/>
        <v>-0.47839158211198796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5" t="s">
        <v>8</v>
      </c>
      <c r="C37" s="10"/>
      <c r="D37" s="4">
        <f>SUM(OSRRefD16x_0)</f>
        <v>1039633.95</v>
      </c>
      <c r="E37" s="4"/>
      <c r="F37" s="12">
        <f t="shared" ref="F37:F52" si="4">IF(D$12=0,0,D37/D$12)</f>
        <v>0.71324322357023118</v>
      </c>
      <c r="G37" s="4"/>
      <c r="H37" s="4">
        <f>SUM(OSRRefH16x_0)</f>
        <v>1240912.3499999999</v>
      </c>
      <c r="I37" s="4"/>
      <c r="J37" s="12">
        <f t="shared" ref="J37:J52" si="5">IF(H$12=0,0,H37/H$12)</f>
        <v>0.72676683552470289</v>
      </c>
      <c r="K37" s="4"/>
      <c r="L37" s="4">
        <f t="shared" ref="L37:L52" si="6">+D37-H37</f>
        <v>-201278.39999999991</v>
      </c>
      <c r="M37" s="4"/>
      <c r="N37" s="12">
        <f t="shared" ref="N37:N52" si="7">IF(H37=0,0,L37/H37)</f>
        <v>-0.16220194762345619</v>
      </c>
      <c r="O37" s="10"/>
      <c r="P37" s="4">
        <f>SUM(OSRRefP16x_0)</f>
        <v>1102921.4100000001</v>
      </c>
      <c r="Q37" s="4"/>
      <c r="R37" s="12">
        <f t="shared" ref="R37:R52" si="8">IF(P$12=0,0,P37/P$12)</f>
        <v>0.71844493024249467</v>
      </c>
      <c r="S37" s="4"/>
      <c r="T37" s="4">
        <f>SUM(OSRRefT16x_0)</f>
        <v>1323157.8299999998</v>
      </c>
      <c r="U37" s="4"/>
      <c r="V37" s="12">
        <f t="shared" ref="V37:V52" si="9">IF(T$12=0,0,T37/T$12)</f>
        <v>0.72744344892546497</v>
      </c>
      <c r="W37" s="4"/>
      <c r="X37" s="4">
        <f t="shared" ref="X37:X52" si="10">+P37-T37</f>
        <v>-220236.41999999969</v>
      </c>
      <c r="Y37" s="4"/>
      <c r="Z37" s="12">
        <f t="shared" ref="Z37:Z52" si="11">IF(T37=0,0,X37/T37)</f>
        <v>-0.16644758093597928</v>
      </c>
    </row>
    <row r="38" spans="1:26" s="24" customFormat="1" hidden="1" outlineLevel="1" x14ac:dyDescent="0.25">
      <c r="A38" s="50"/>
      <c r="B38" s="11" t="str">
        <f>CONCATENATE("          ", "5001", " - ", "PURCHASES @ COST-NEW TEXT")</f>
        <v xml:space="preserve">          5001 - PURCHASES @ COST-NEW TEXT</v>
      </c>
      <c r="C38" s="11"/>
      <c r="D38" s="2">
        <v>1268330.5499999998</v>
      </c>
      <c r="E38" s="2"/>
      <c r="F38" s="21">
        <f t="shared" si="4"/>
        <v>0.87014104342649079</v>
      </c>
      <c r="G38" s="2"/>
      <c r="H38" s="2">
        <v>1005781.9400000001</v>
      </c>
      <c r="I38" s="2"/>
      <c r="J38" s="21">
        <f t="shared" si="5"/>
        <v>0.58905768627550259</v>
      </c>
      <c r="K38" s="2"/>
      <c r="L38" s="2">
        <f t="shared" si="6"/>
        <v>262548.60999999975</v>
      </c>
      <c r="M38" s="2"/>
      <c r="N38" s="21">
        <f t="shared" si="7"/>
        <v>0.26103929645028201</v>
      </c>
      <c r="O38" s="11"/>
      <c r="P38" s="2">
        <v>1609530.6</v>
      </c>
      <c r="Q38" s="2"/>
      <c r="R38" s="21">
        <f t="shared" si="8"/>
        <v>1.0484510402605753</v>
      </c>
      <c r="S38" s="2"/>
      <c r="T38" s="2">
        <v>1502153.8399999999</v>
      </c>
      <c r="U38" s="2"/>
      <c r="V38" s="21">
        <f t="shared" si="9"/>
        <v>0.82585156918599123</v>
      </c>
      <c r="W38" s="2"/>
      <c r="X38" s="2">
        <f t="shared" si="10"/>
        <v>107376.76000000024</v>
      </c>
      <c r="Y38" s="2"/>
      <c r="Z38" s="21">
        <f t="shared" si="11"/>
        <v>7.1481866331347427E-2</v>
      </c>
    </row>
    <row r="39" spans="1:26" s="24" customFormat="1" hidden="1" outlineLevel="1" x14ac:dyDescent="0.25">
      <c r="A39" s="50"/>
      <c r="B39" s="11" t="str">
        <f>CONCATENATE("          ", "5002", " - ", "PURCHASES @ COST-USED TEXT")</f>
        <v xml:space="preserve">          5002 - PURCHASES @ COST-USED TEXT</v>
      </c>
      <c r="C39" s="11"/>
      <c r="D39" s="2">
        <v>-81896.37000000001</v>
      </c>
      <c r="E39" s="2"/>
      <c r="F39" s="21">
        <f t="shared" si="4"/>
        <v>-5.618518992910955E-2</v>
      </c>
      <c r="G39" s="2"/>
      <c r="H39" s="2">
        <v>-116910.25</v>
      </c>
      <c r="I39" s="2"/>
      <c r="J39" s="21">
        <f t="shared" si="5"/>
        <v>-6.8470986232751982E-2</v>
      </c>
      <c r="K39" s="2"/>
      <c r="L39" s="2">
        <f t="shared" si="6"/>
        <v>35013.87999999999</v>
      </c>
      <c r="M39" s="2"/>
      <c r="N39" s="21">
        <f t="shared" si="7"/>
        <v>-0.29949367142744104</v>
      </c>
      <c r="O39" s="11"/>
      <c r="P39" s="2">
        <v>18487.79</v>
      </c>
      <c r="Q39" s="2"/>
      <c r="R39" s="21">
        <f t="shared" si="8"/>
        <v>1.2042978653291254E-2</v>
      </c>
      <c r="S39" s="2"/>
      <c r="T39" s="2">
        <v>-195260.69999999998</v>
      </c>
      <c r="U39" s="2"/>
      <c r="V39" s="21">
        <f t="shared" si="9"/>
        <v>-0.10735009371300817</v>
      </c>
      <c r="W39" s="2"/>
      <c r="X39" s="2">
        <f t="shared" si="10"/>
        <v>213748.49</v>
      </c>
      <c r="Y39" s="2"/>
      <c r="Z39" s="21">
        <f t="shared" si="11"/>
        <v>-1.0946825961394178</v>
      </c>
    </row>
    <row r="40" spans="1:26" s="24" customFormat="1" hidden="1" outlineLevel="1" x14ac:dyDescent="0.25">
      <c r="A40" s="50"/>
      <c r="B40" s="11" t="str">
        <f>CONCATENATE("          ", "5003", " - ", "PURCHASES @ COST-RENTAL TEXT")</f>
        <v xml:space="preserve">          5003 - PURCHASES @ COST-RENTAL TEXT</v>
      </c>
      <c r="C40" s="11"/>
      <c r="D40" s="2">
        <v>-38374.199999999997</v>
      </c>
      <c r="E40" s="2"/>
      <c r="F40" s="21">
        <f t="shared" si="4"/>
        <v>-2.6326706731661431E-2</v>
      </c>
      <c r="G40" s="2"/>
      <c r="H40" s="2">
        <v>4208</v>
      </c>
      <c r="I40" s="2"/>
      <c r="J40" s="21">
        <f t="shared" si="5"/>
        <v>2.4645051230958817E-3</v>
      </c>
      <c r="K40" s="2"/>
      <c r="L40" s="2">
        <f t="shared" si="6"/>
        <v>-42582.2</v>
      </c>
      <c r="M40" s="2"/>
      <c r="N40" s="21">
        <f t="shared" si="7"/>
        <v>-10.119344106463878</v>
      </c>
      <c r="O40" s="11"/>
      <c r="P40" s="2">
        <v>-78.400000000000006</v>
      </c>
      <c r="Q40" s="2"/>
      <c r="R40" s="21">
        <f t="shared" si="8"/>
        <v>-5.1069896749045411E-5</v>
      </c>
      <c r="S40" s="2"/>
      <c r="T40" s="2">
        <v>2444.3000000000002</v>
      </c>
      <c r="U40" s="2"/>
      <c r="V40" s="21">
        <f t="shared" si="9"/>
        <v>1.3438230737813904E-3</v>
      </c>
      <c r="W40" s="2"/>
      <c r="X40" s="2">
        <f t="shared" si="10"/>
        <v>-2522.7000000000003</v>
      </c>
      <c r="Y40" s="2"/>
      <c r="Z40" s="21">
        <f t="shared" si="11"/>
        <v>-1.0320746225913349</v>
      </c>
    </row>
    <row r="41" spans="1:26" s="24" customFormat="1" hidden="1" outlineLevel="1" x14ac:dyDescent="0.25">
      <c r="A41" s="50"/>
      <c r="B41" s="11" t="str">
        <f>CONCATENATE("          ", "5004", " - ", "PURCHASES @ COST-DIGITAL TEXT")</f>
        <v xml:space="preserve">          5004 - PURCHASES @ COST-DIGITAL TEXT</v>
      </c>
      <c r="C41" s="11"/>
      <c r="D41" s="2">
        <v>169007.92</v>
      </c>
      <c r="E41" s="2"/>
      <c r="F41" s="21">
        <f t="shared" si="4"/>
        <v>0.11594826589656847</v>
      </c>
      <c r="G41" s="2"/>
      <c r="H41" s="2">
        <v>56273.21</v>
      </c>
      <c r="I41" s="2"/>
      <c r="J41" s="21">
        <f t="shared" si="5"/>
        <v>3.2957607970069011E-2</v>
      </c>
      <c r="K41" s="2"/>
      <c r="L41" s="2">
        <f t="shared" si="6"/>
        <v>112734.71000000002</v>
      </c>
      <c r="M41" s="2"/>
      <c r="N41" s="21">
        <f t="shared" si="7"/>
        <v>2.0033459971450007</v>
      </c>
      <c r="O41" s="11"/>
      <c r="P41" s="2">
        <v>302966.49000000005</v>
      </c>
      <c r="Q41" s="2"/>
      <c r="R41" s="21">
        <f t="shared" si="8"/>
        <v>0.19735290003470282</v>
      </c>
      <c r="S41" s="2"/>
      <c r="T41" s="2">
        <v>202213.11</v>
      </c>
      <c r="U41" s="2"/>
      <c r="V41" s="21">
        <f t="shared" si="9"/>
        <v>0.11117237779286272</v>
      </c>
      <c r="W41" s="2"/>
      <c r="X41" s="2">
        <f t="shared" si="10"/>
        <v>100753.38000000006</v>
      </c>
      <c r="Y41" s="2"/>
      <c r="Z41" s="21">
        <f t="shared" si="11"/>
        <v>0.49825345151953832</v>
      </c>
    </row>
    <row r="42" spans="1:26" s="24" customFormat="1" hidden="1" outlineLevel="1" x14ac:dyDescent="0.25">
      <c r="A42" s="50"/>
      <c r="B42" s="11" t="str">
        <f>CONCATENATE("          ", "5011", " - ", "PURCHASES @ COST-NO VALUE TEXT")</f>
        <v xml:space="preserve">          5011 - PURCHASES @ COST-NO VALUE TEXT</v>
      </c>
      <c r="C42" s="11"/>
      <c r="D42" s="2">
        <v>369</v>
      </c>
      <c r="E42" s="2"/>
      <c r="F42" s="21">
        <f t="shared" si="4"/>
        <v>2.531532848628263E-4</v>
      </c>
      <c r="G42" s="2"/>
      <c r="H42" s="2">
        <v>516</v>
      </c>
      <c r="I42" s="2"/>
      <c r="J42" s="21">
        <f t="shared" si="5"/>
        <v>3.0220642669141518E-4</v>
      </c>
      <c r="K42" s="2"/>
      <c r="L42" s="2">
        <f t="shared" si="6"/>
        <v>-147</v>
      </c>
      <c r="M42" s="2"/>
      <c r="N42" s="21">
        <f t="shared" si="7"/>
        <v>-0.28488372093023256</v>
      </c>
      <c r="O42" s="11"/>
      <c r="P42" s="2">
        <v>657</v>
      </c>
      <c r="Q42" s="2"/>
      <c r="R42" s="21">
        <f t="shared" si="8"/>
        <v>4.2797094597095452E-4</v>
      </c>
      <c r="S42" s="2"/>
      <c r="T42" s="2">
        <v>957</v>
      </c>
      <c r="U42" s="2"/>
      <c r="V42" s="21">
        <f t="shared" si="9"/>
        <v>5.2613782334770293E-4</v>
      </c>
      <c r="W42" s="2"/>
      <c r="X42" s="2">
        <f t="shared" si="10"/>
        <v>-300</v>
      </c>
      <c r="Y42" s="2"/>
      <c r="Z42" s="21">
        <f t="shared" si="11"/>
        <v>-0.31347962382445144</v>
      </c>
    </row>
    <row r="43" spans="1:26" s="24" customFormat="1" hidden="1" outlineLevel="1" x14ac:dyDescent="0.25">
      <c r="A43" s="50"/>
      <c r="B43" s="11" t="str">
        <f>CONCATENATE("          ", "5013", " - ", "PURCHASES @ COST-TRADE BOOKS")</f>
        <v xml:space="preserve">          5013 - PURCHASES @ COST-TRADE BOOKS</v>
      </c>
      <c r="C43" s="11"/>
      <c r="D43" s="2"/>
      <c r="E43" s="2"/>
      <c r="F43" s="21">
        <f t="shared" si="4"/>
        <v>0</v>
      </c>
      <c r="G43" s="2"/>
      <c r="H43" s="2">
        <v>1483.2</v>
      </c>
      <c r="I43" s="2"/>
      <c r="J43" s="21">
        <f t="shared" si="5"/>
        <v>8.6866777532695156E-4</v>
      </c>
      <c r="K43" s="2"/>
      <c r="L43" s="2">
        <f t="shared" si="6"/>
        <v>-1483.2</v>
      </c>
      <c r="M43" s="2"/>
      <c r="N43" s="21">
        <f t="shared" si="7"/>
        <v>-1</v>
      </c>
      <c r="O43" s="11"/>
      <c r="P43" s="2">
        <v>204.9</v>
      </c>
      <c r="Q43" s="2"/>
      <c r="R43" s="21">
        <f t="shared" si="8"/>
        <v>1.3347221739642097E-4</v>
      </c>
      <c r="S43" s="2"/>
      <c r="T43" s="2">
        <v>1602.99</v>
      </c>
      <c r="U43" s="2"/>
      <c r="V43" s="21">
        <f t="shared" si="9"/>
        <v>8.8128910078174964E-4</v>
      </c>
      <c r="W43" s="2"/>
      <c r="X43" s="2">
        <f t="shared" si="10"/>
        <v>-1398.09</v>
      </c>
      <c r="Y43" s="2"/>
      <c r="Z43" s="21">
        <f t="shared" si="11"/>
        <v>-0.87217637040780038</v>
      </c>
    </row>
    <row r="44" spans="1:26" s="24" customFormat="1" hidden="1" outlineLevel="1" x14ac:dyDescent="0.25">
      <c r="A44" s="50"/>
      <c r="B44" s="11" t="str">
        <f>CONCATENATE("          ", "5014", " - ", "PURCHASES @ COST-REMAINDERS")</f>
        <v xml:space="preserve">          5014 - PURCHASES @ COST-REMAINDERS</v>
      </c>
      <c r="C44" s="11"/>
      <c r="D44" s="2">
        <v>133.84</v>
      </c>
      <c r="E44" s="2"/>
      <c r="F44" s="21">
        <f t="shared" si="4"/>
        <v>9.1821234813118359E-5</v>
      </c>
      <c r="G44" s="2"/>
      <c r="H44" s="2">
        <v>-23.6</v>
      </c>
      <c r="I44" s="2"/>
      <c r="J44" s="21">
        <f t="shared" si="5"/>
        <v>-1.3821844321545346E-5</v>
      </c>
      <c r="K44" s="2"/>
      <c r="L44" s="2">
        <f t="shared" si="6"/>
        <v>157.44</v>
      </c>
      <c r="M44" s="2"/>
      <c r="N44" s="21">
        <f t="shared" si="7"/>
        <v>-6.6711864406779657</v>
      </c>
      <c r="O44" s="11"/>
      <c r="P44" s="2">
        <v>234.32</v>
      </c>
      <c r="Q44" s="2"/>
      <c r="R44" s="21">
        <f t="shared" si="8"/>
        <v>1.5263645671219795E-4</v>
      </c>
      <c r="S44" s="2"/>
      <c r="T44" s="2">
        <v>204</v>
      </c>
      <c r="U44" s="2"/>
      <c r="V44" s="21">
        <f t="shared" si="9"/>
        <v>1.1215477112114045E-4</v>
      </c>
      <c r="W44" s="2"/>
      <c r="X44" s="2">
        <f t="shared" si="10"/>
        <v>30.319999999999993</v>
      </c>
      <c r="Y44" s="2"/>
      <c r="Z44" s="21">
        <f t="shared" si="11"/>
        <v>0.14862745098039212</v>
      </c>
    </row>
    <row r="45" spans="1:26" s="24" customFormat="1" hidden="1" outlineLevel="1" x14ac:dyDescent="0.25">
      <c r="A45" s="50"/>
      <c r="B45" s="11" t="str">
        <f>CONCATENATE("          ", "5018", " - ", "PURCHASES @ COST-STUDY GUIDES")</f>
        <v xml:space="preserve">          5018 - PURCHASES @ COST-STUDY GUIDES</v>
      </c>
      <c r="C45" s="11"/>
      <c r="D45" s="2"/>
      <c r="E45" s="2"/>
      <c r="F45" s="21">
        <f t="shared" si="4"/>
        <v>0</v>
      </c>
      <c r="G45" s="2"/>
      <c r="H45" s="2">
        <v>449</v>
      </c>
      <c r="I45" s="2"/>
      <c r="J45" s="21">
        <f t="shared" si="5"/>
        <v>2.6296644493109577E-4</v>
      </c>
      <c r="K45" s="2"/>
      <c r="L45" s="2">
        <f t="shared" si="6"/>
        <v>-449</v>
      </c>
      <c r="M45" s="2"/>
      <c r="N45" s="21">
        <f t="shared" si="7"/>
        <v>-1</v>
      </c>
      <c r="O45" s="11"/>
      <c r="P45" s="2">
        <v>503.93</v>
      </c>
      <c r="Q45" s="2"/>
      <c r="R45" s="21">
        <f t="shared" si="8"/>
        <v>3.2826088097890883E-4</v>
      </c>
      <c r="S45" s="2"/>
      <c r="T45" s="2">
        <v>818.63</v>
      </c>
      <c r="U45" s="2"/>
      <c r="V45" s="21">
        <f t="shared" si="9"/>
        <v>4.500650013867608E-4</v>
      </c>
      <c r="W45" s="2"/>
      <c r="X45" s="2">
        <f t="shared" si="10"/>
        <v>-314.7</v>
      </c>
      <c r="Y45" s="2"/>
      <c r="Z45" s="21">
        <f t="shared" si="11"/>
        <v>-0.38442275509082247</v>
      </c>
    </row>
    <row r="46" spans="1:26" s="24" customFormat="1" hidden="1" outlineLevel="1" x14ac:dyDescent="0.25">
      <c r="A46" s="50"/>
      <c r="B46" s="11" t="str">
        <f>CONCATENATE("          ", "5200", " - ", "PURCHASES OFFSET")</f>
        <v xml:space="preserve">          5200 - PURCHASES OFFSET</v>
      </c>
      <c r="C46" s="11"/>
      <c r="D46" s="2">
        <v>-1332572</v>
      </c>
      <c r="E46" s="2"/>
      <c r="F46" s="21">
        <f t="shared" si="4"/>
        <v>-0.91421403554532843</v>
      </c>
      <c r="G46" s="2"/>
      <c r="H46" s="2">
        <v>-960128</v>
      </c>
      <c r="I46" s="2"/>
      <c r="J46" s="21">
        <f t="shared" si="5"/>
        <v>-0.56231948071002913</v>
      </c>
      <c r="K46" s="2"/>
      <c r="L46" s="2">
        <f t="shared" si="6"/>
        <v>-372444</v>
      </c>
      <c r="M46" s="2"/>
      <c r="N46" s="21">
        <f t="shared" si="7"/>
        <v>0.38791077856285827</v>
      </c>
      <c r="O46" s="11"/>
      <c r="P46" s="2">
        <v>-1949502</v>
      </c>
      <c r="Q46" s="2"/>
      <c r="R46" s="21">
        <f t="shared" si="8"/>
        <v>-1.2699090032150193</v>
      </c>
      <c r="S46" s="2"/>
      <c r="T46" s="2">
        <v>-1525937</v>
      </c>
      <c r="U46" s="2"/>
      <c r="V46" s="21">
        <f t="shared" si="9"/>
        <v>-0.83892703421705728</v>
      </c>
      <c r="W46" s="2"/>
      <c r="X46" s="2">
        <f t="shared" si="10"/>
        <v>-423565</v>
      </c>
      <c r="Y46" s="2"/>
      <c r="Z46" s="21">
        <f t="shared" si="11"/>
        <v>0.27757699039999684</v>
      </c>
    </row>
    <row r="47" spans="1:26" s="24" customFormat="1" hidden="1" outlineLevel="1" x14ac:dyDescent="0.25">
      <c r="A47" s="50"/>
      <c r="B47" s="11" t="str">
        <f>CONCATENATE("          ", "5300", " - ", "COG$ OFFSET")</f>
        <v xml:space="preserve">          5300 - COG$ OFFSET</v>
      </c>
      <c r="C47" s="11"/>
      <c r="D47" s="2">
        <v>1039635.0000000001</v>
      </c>
      <c r="E47" s="2"/>
      <c r="F47" s="21">
        <f t="shared" si="4"/>
        <v>0.71324394392510693</v>
      </c>
      <c r="G47" s="2"/>
      <c r="H47" s="2">
        <v>1240698</v>
      </c>
      <c r="I47" s="2"/>
      <c r="J47" s="21">
        <f t="shared" si="5"/>
        <v>0.72664129686663836</v>
      </c>
      <c r="K47" s="2"/>
      <c r="L47" s="2">
        <f t="shared" si="6"/>
        <v>-201062.99999999988</v>
      </c>
      <c r="M47" s="2"/>
      <c r="N47" s="21">
        <f t="shared" si="7"/>
        <v>-0.16205635859814385</v>
      </c>
      <c r="O47" s="11"/>
      <c r="P47" s="2">
        <v>1102923</v>
      </c>
      <c r="Q47" s="2"/>
      <c r="R47" s="21">
        <f t="shared" si="8"/>
        <v>0.71844596597126797</v>
      </c>
      <c r="S47" s="2"/>
      <c r="T47" s="2">
        <v>1322944</v>
      </c>
      <c r="U47" s="2"/>
      <c r="V47" s="21">
        <f t="shared" si="9"/>
        <v>0.72732588983375501</v>
      </c>
      <c r="W47" s="2"/>
      <c r="X47" s="2">
        <f t="shared" si="10"/>
        <v>-220021</v>
      </c>
      <c r="Y47" s="2"/>
      <c r="Z47" s="21">
        <f t="shared" si="11"/>
        <v>-0.16631165037975909</v>
      </c>
    </row>
    <row r="48" spans="1:26" s="24" customFormat="1" hidden="1" outlineLevel="1" x14ac:dyDescent="0.25">
      <c r="A48" s="50"/>
      <c r="B48" s="11" t="str">
        <f>CONCATENATE("          ", "5500", " - ", "FREIGHT-IN")</f>
        <v xml:space="preserve">          5500 - FREIGHT-IN</v>
      </c>
      <c r="C48" s="11"/>
      <c r="D48" s="2"/>
      <c r="E48" s="2"/>
      <c r="F48" s="21">
        <f t="shared" si="4"/>
        <v>0</v>
      </c>
      <c r="G48" s="2"/>
      <c r="H48" s="2">
        <v>213.97</v>
      </c>
      <c r="I48" s="2"/>
      <c r="J48" s="21">
        <f t="shared" si="5"/>
        <v>1.2531610294411259E-4</v>
      </c>
      <c r="K48" s="2"/>
      <c r="L48" s="2">
        <f t="shared" si="6"/>
        <v>-213.97</v>
      </c>
      <c r="M48" s="2"/>
      <c r="N48" s="21">
        <f t="shared" si="7"/>
        <v>-1</v>
      </c>
      <c r="O48" s="11"/>
      <c r="P48" s="2"/>
      <c r="Q48" s="2"/>
      <c r="R48" s="21">
        <f t="shared" si="8"/>
        <v>0</v>
      </c>
      <c r="S48" s="2"/>
      <c r="T48" s="2">
        <v>213.97</v>
      </c>
      <c r="U48" s="2"/>
      <c r="V48" s="21">
        <f t="shared" si="9"/>
        <v>1.1763606067054129E-4</v>
      </c>
      <c r="W48" s="2"/>
      <c r="X48" s="2">
        <f t="shared" si="10"/>
        <v>-213.97</v>
      </c>
      <c r="Y48" s="2"/>
      <c r="Z48" s="21">
        <f t="shared" si="11"/>
        <v>-1</v>
      </c>
    </row>
    <row r="49" spans="1:26" s="24" customFormat="1" hidden="1" outlineLevel="1" x14ac:dyDescent="0.25">
      <c r="A49" s="50"/>
      <c r="B49" s="11" t="str">
        <f>CONCATENATE("          ", "5501", " - ", "FREIGHT-IN-NEW TEXT")</f>
        <v xml:space="preserve">          5501 - FREIGHT-IN-NEW TEXT</v>
      </c>
      <c r="C49" s="11"/>
      <c r="D49" s="2">
        <v>11008.16</v>
      </c>
      <c r="E49" s="2"/>
      <c r="F49" s="21">
        <f t="shared" si="4"/>
        <v>7.5521730739717347E-3</v>
      </c>
      <c r="G49" s="2"/>
      <c r="H49" s="2">
        <v>6840.15</v>
      </c>
      <c r="I49" s="2"/>
      <c r="J49" s="21">
        <f t="shared" si="5"/>
        <v>4.0060800184753553E-3</v>
      </c>
      <c r="K49" s="2"/>
      <c r="L49" s="2">
        <f t="shared" si="6"/>
        <v>4168.01</v>
      </c>
      <c r="M49" s="2"/>
      <c r="N49" s="21">
        <f t="shared" si="7"/>
        <v>0.60934482430940851</v>
      </c>
      <c r="O49" s="11"/>
      <c r="P49" s="2">
        <v>12724.24</v>
      </c>
      <c r="Q49" s="2"/>
      <c r="R49" s="21">
        <f t="shared" si="8"/>
        <v>8.2885921302305304E-3</v>
      </c>
      <c r="S49" s="2"/>
      <c r="T49" s="2">
        <v>8999.08</v>
      </c>
      <c r="U49" s="2"/>
      <c r="V49" s="21">
        <f t="shared" si="9"/>
        <v>4.947498812258983E-3</v>
      </c>
      <c r="W49" s="2"/>
      <c r="X49" s="2">
        <f t="shared" si="10"/>
        <v>3725.16</v>
      </c>
      <c r="Y49" s="2"/>
      <c r="Z49" s="21">
        <f t="shared" si="11"/>
        <v>0.41394898145143727</v>
      </c>
    </row>
    <row r="50" spans="1:26" s="24" customFormat="1" hidden="1" outlineLevel="1" x14ac:dyDescent="0.25">
      <c r="A50" s="50"/>
      <c r="B50" s="11" t="str">
        <f>CONCATENATE("          ", "5502", " - ", "FREIGHT-IN-USED TEXT")</f>
        <v xml:space="preserve">          5502 - FREIGHT-IN-USED TEXT</v>
      </c>
      <c r="C50" s="11"/>
      <c r="D50" s="2">
        <v>3985.02</v>
      </c>
      <c r="E50" s="2"/>
      <c r="F50" s="21">
        <f t="shared" si="4"/>
        <v>2.733931987111274E-3</v>
      </c>
      <c r="G50" s="2"/>
      <c r="H50" s="2">
        <v>1508.23</v>
      </c>
      <c r="I50" s="2"/>
      <c r="J50" s="21">
        <f t="shared" si="5"/>
        <v>8.8332712970696332E-4</v>
      </c>
      <c r="K50" s="2"/>
      <c r="L50" s="2">
        <f t="shared" si="6"/>
        <v>2476.79</v>
      </c>
      <c r="M50" s="2"/>
      <c r="N50" s="21">
        <f t="shared" si="7"/>
        <v>1.6421832213919627</v>
      </c>
      <c r="O50" s="11"/>
      <c r="P50" s="2">
        <v>4262.51</v>
      </c>
      <c r="Q50" s="2"/>
      <c r="R50" s="21">
        <f t="shared" si="8"/>
        <v>2.7766064488746627E-3</v>
      </c>
      <c r="S50" s="2"/>
      <c r="T50" s="2">
        <v>1794.84</v>
      </c>
      <c r="U50" s="2"/>
      <c r="V50" s="21">
        <f t="shared" si="9"/>
        <v>9.8676406568170443E-4</v>
      </c>
      <c r="W50" s="2"/>
      <c r="X50" s="2">
        <f t="shared" si="10"/>
        <v>2467.67</v>
      </c>
      <c r="Y50" s="2"/>
      <c r="Z50" s="21">
        <f t="shared" si="11"/>
        <v>1.3748690691092242</v>
      </c>
    </row>
    <row r="51" spans="1:26" s="24" customFormat="1" hidden="1" outlineLevel="1" x14ac:dyDescent="0.25">
      <c r="A51" s="50"/>
      <c r="B51" s="11" t="str">
        <f>CONCATENATE("          ", "5504", " - ", "FREIGHT-IN-DIGITAL TEXT")</f>
        <v xml:space="preserve">          5504 - FREIGHT-IN-DIGITAL TEXT</v>
      </c>
      <c r="C51" s="11"/>
      <c r="D51" s="2">
        <v>7.03</v>
      </c>
      <c r="E51" s="2"/>
      <c r="F51" s="21">
        <f t="shared" si="4"/>
        <v>4.8229474053812164E-6</v>
      </c>
      <c r="G51" s="2"/>
      <c r="H51" s="2">
        <v>2.5</v>
      </c>
      <c r="I51" s="2"/>
      <c r="J51" s="21">
        <f t="shared" si="5"/>
        <v>1.4641784238925153E-6</v>
      </c>
      <c r="K51" s="2"/>
      <c r="L51" s="2">
        <f t="shared" si="6"/>
        <v>4.53</v>
      </c>
      <c r="M51" s="2"/>
      <c r="N51" s="21">
        <f t="shared" si="7"/>
        <v>1.8120000000000001</v>
      </c>
      <c r="O51" s="11"/>
      <c r="P51" s="2">
        <v>7.03</v>
      </c>
      <c r="Q51" s="2"/>
      <c r="R51" s="21">
        <f t="shared" si="8"/>
        <v>4.5793542620636385E-6</v>
      </c>
      <c r="S51" s="2"/>
      <c r="T51" s="2">
        <v>2.5</v>
      </c>
      <c r="U51" s="2"/>
      <c r="V51" s="21">
        <f t="shared" si="9"/>
        <v>1.37444572452378E-6</v>
      </c>
      <c r="W51" s="2"/>
      <c r="X51" s="2">
        <f t="shared" si="10"/>
        <v>4.53</v>
      </c>
      <c r="Y51" s="2"/>
      <c r="Z51" s="21">
        <f t="shared" si="11"/>
        <v>1.8120000000000001</v>
      </c>
    </row>
    <row r="52" spans="1:26" s="24" customFormat="1" hidden="1" outlineLevel="1" x14ac:dyDescent="0.25">
      <c r="A52" s="50"/>
      <c r="B52" s="11" t="str">
        <f>CONCATENATE("          ", "5513", " - ", "FREIGHT-IN-TRADE BOOKS")</f>
        <v xml:space="preserve">          5513 - FREIGHT-IN-TRADE BOOKS</v>
      </c>
      <c r="C52" s="11"/>
      <c r="D52" s="2"/>
      <c r="E52" s="2"/>
      <c r="F52" s="21">
        <f t="shared" si="4"/>
        <v>0</v>
      </c>
      <c r="G52" s="2"/>
      <c r="H52" s="2"/>
      <c r="I52" s="2"/>
      <c r="J52" s="21">
        <f t="shared" si="5"/>
        <v>0</v>
      </c>
      <c r="K52" s="2"/>
      <c r="L52" s="2">
        <f t="shared" si="6"/>
        <v>0</v>
      </c>
      <c r="M52" s="2"/>
      <c r="N52" s="21">
        <f t="shared" si="7"/>
        <v>0</v>
      </c>
      <c r="O52" s="11"/>
      <c r="P52" s="2"/>
      <c r="Q52" s="2"/>
      <c r="R52" s="21">
        <f t="shared" si="8"/>
        <v>0</v>
      </c>
      <c r="S52" s="2"/>
      <c r="T52" s="2">
        <v>7.27</v>
      </c>
      <c r="U52" s="2"/>
      <c r="V52" s="21">
        <f t="shared" si="9"/>
        <v>3.9968881669151516E-6</v>
      </c>
      <c r="W52" s="2"/>
      <c r="X52" s="2">
        <f t="shared" si="10"/>
        <v>-7.27</v>
      </c>
      <c r="Y52" s="2"/>
      <c r="Z52" s="21">
        <f t="shared" si="11"/>
        <v>-1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6" t="s">
        <v>6</v>
      </c>
      <c r="C54" s="26"/>
      <c r="D54" s="20">
        <f>D12-D37</f>
        <v>417980.94999999972</v>
      </c>
      <c r="E54" s="13"/>
      <c r="F54" s="19">
        <f>IF(D$12=0,0,D54/D$12)</f>
        <v>0.28675677642976882</v>
      </c>
      <c r="G54" s="13"/>
      <c r="H54" s="20">
        <f>H12-H37</f>
        <v>466529.82999999984</v>
      </c>
      <c r="I54" s="13"/>
      <c r="J54" s="19">
        <f>IF(H$12=0,0,H54/H$12)</f>
        <v>0.27323316447529716</v>
      </c>
      <c r="K54" s="15"/>
      <c r="L54" s="20">
        <f>+D54-H54</f>
        <v>-48548.880000000121</v>
      </c>
      <c r="M54" s="15"/>
      <c r="N54" s="19">
        <f>IF(H54=0,0,L54/H54)</f>
        <v>-0.10406382803003215</v>
      </c>
      <c r="O54" s="25"/>
      <c r="P54" s="20">
        <f>P12-P37</f>
        <v>432229.5299999998</v>
      </c>
      <c r="Q54" s="13"/>
      <c r="R54" s="19">
        <f>IF(P$12=0,0,P54/P$12)</f>
        <v>0.28155506975750527</v>
      </c>
      <c r="S54" s="13"/>
      <c r="T54" s="20">
        <f>T12-T37</f>
        <v>495757.20999999996</v>
      </c>
      <c r="U54" s="13"/>
      <c r="V54" s="19">
        <f>IF(T$12=0,0,T54/T$12)</f>
        <v>0.27255655107453508</v>
      </c>
      <c r="W54" s="15"/>
      <c r="X54" s="20">
        <f>+P54-T54</f>
        <v>-63527.680000000168</v>
      </c>
      <c r="Y54" s="15"/>
      <c r="Z54" s="19">
        <f>IF(T54=0,0,X54/T54)</f>
        <v>-0.12814272534735333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5" t="s">
        <v>9</v>
      </c>
      <c r="C56" s="10"/>
      <c r="D56" s="22">
        <f>SUM(OSRRefD22x_0)</f>
        <v>50645.710000000006</v>
      </c>
      <c r="E56" s="22"/>
      <c r="F56" s="33">
        <f t="shared" ref="F56:F66" si="12">IF(D$12=0,0,D56/D$12)</f>
        <v>3.4745603931463663E-2</v>
      </c>
      <c r="G56" s="22"/>
      <c r="H56" s="22">
        <f>SUM(OSRRefH22x_0)</f>
        <v>72082.73000000001</v>
      </c>
      <c r="I56" s="22"/>
      <c r="J56" s="33">
        <f t="shared" ref="J56:J66" si="13">IF(H$12=0,0,H56/H$12)</f>
        <v>4.2216791200507899E-2</v>
      </c>
      <c r="K56" s="4"/>
      <c r="L56" s="22">
        <f t="shared" ref="L56:L66" si="14">+D56-H56</f>
        <v>-21437.020000000004</v>
      </c>
      <c r="M56" s="4"/>
      <c r="N56" s="33">
        <f t="shared" ref="N56:N66" si="15">IF(H56=0,0,L56/H56)</f>
        <v>-0.29739467414733045</v>
      </c>
      <c r="O56" s="10"/>
      <c r="P56" s="22">
        <f>SUM(OSRRefP22x_0)</f>
        <v>93637.060000000027</v>
      </c>
      <c r="Q56" s="22"/>
      <c r="R56" s="33">
        <f t="shared" ref="R56:R66" si="16">IF(P$12=0,0,P56/P$12)</f>
        <v>6.0995344210257284E-2</v>
      </c>
      <c r="S56" s="22"/>
      <c r="T56" s="22">
        <f>SUM(OSRRefT22x_0)</f>
        <v>120831.18000000004</v>
      </c>
      <c r="U56" s="22"/>
      <c r="V56" s="33">
        <f t="shared" ref="V56:V66" si="17">IF(T$12=0,0,T56/T$12)</f>
        <v>6.6430359496065336E-2</v>
      </c>
      <c r="W56" s="4"/>
      <c r="X56" s="22">
        <f t="shared" ref="X56:X66" si="18">+P56-T56</f>
        <v>-27194.12000000001</v>
      </c>
      <c r="Y56" s="4"/>
      <c r="Z56" s="33">
        <f t="shared" ref="Z56:Z66" si="19">IF(T56=0,0,X56/T56)</f>
        <v>-0.22505879690987046</v>
      </c>
    </row>
    <row r="57" spans="1:26" s="27" customFormat="1" outlineLevel="1" collapsed="1" x14ac:dyDescent="0.25">
      <c r="A57" s="28"/>
      <c r="B57" s="14" t="str">
        <f>CONCATENATE("     ","*Benefits                                         ")</f>
        <v xml:space="preserve">     *Benefits                                         </v>
      </c>
      <c r="C57" s="14"/>
      <c r="D57" s="1">
        <f>SUM(OSRRefD22_0x_0)</f>
        <v>9693.15</v>
      </c>
      <c r="E57" s="1"/>
      <c r="F57" s="5">
        <f t="shared" si="12"/>
        <v>6.6500074882604463E-3</v>
      </c>
      <c r="G57" s="1"/>
      <c r="H57" s="1">
        <f>SUM(OSRRefH22_0x_0)</f>
        <v>12206.58</v>
      </c>
      <c r="I57" s="1"/>
      <c r="J57" s="5">
        <f t="shared" si="13"/>
        <v>7.1490444262071601E-3</v>
      </c>
      <c r="K57" s="1"/>
      <c r="L57" s="1">
        <f t="shared" si="14"/>
        <v>-2513.4300000000003</v>
      </c>
      <c r="M57" s="1"/>
      <c r="N57" s="5">
        <f t="shared" si="15"/>
        <v>-0.20590779726999703</v>
      </c>
      <c r="O57" s="14"/>
      <c r="P57" s="1">
        <f>SUM(OSRRefP22_0x_0)</f>
        <v>20919.760000000002</v>
      </c>
      <c r="Q57" s="1"/>
      <c r="R57" s="5">
        <f t="shared" si="16"/>
        <v>1.3627168153250132E-2</v>
      </c>
      <c r="S57" s="1"/>
      <c r="T57" s="1">
        <f>SUM(OSRRefT22_0x_0)</f>
        <v>23265.75</v>
      </c>
      <c r="U57" s="1"/>
      <c r="V57" s="5">
        <f t="shared" si="17"/>
        <v>1.2791004246135653E-2</v>
      </c>
      <c r="W57" s="1"/>
      <c r="X57" s="1">
        <f t="shared" si="18"/>
        <v>-2345.989999999998</v>
      </c>
      <c r="Y57" s="1"/>
      <c r="Z57" s="5">
        <f t="shared" si="19"/>
        <v>-0.10083448846480332</v>
      </c>
    </row>
    <row r="58" spans="1:26" s="24" customFormat="1" hidden="1" outlineLevel="2" x14ac:dyDescent="0.25">
      <c r="A58" s="29"/>
      <c r="B58" s="11" t="str">
        <f>CONCATENATE("          ", "6111", " - ", "F.I.C.A.")</f>
        <v xml:space="preserve">          6111 - F.I.C.A.</v>
      </c>
      <c r="C58" s="11"/>
      <c r="D58" s="7">
        <v>1765.5</v>
      </c>
      <c r="E58" s="2"/>
      <c r="F58" s="6">
        <f t="shared" si="12"/>
        <v>1.2112252694453111E-3</v>
      </c>
      <c r="G58" s="2"/>
      <c r="H58" s="7">
        <v>2086.4</v>
      </c>
      <c r="I58" s="2"/>
      <c r="J58" s="6">
        <f t="shared" si="13"/>
        <v>1.2219447454437375E-3</v>
      </c>
      <c r="K58" s="2"/>
      <c r="L58" s="7">
        <f t="shared" si="14"/>
        <v>-320.90000000000009</v>
      </c>
      <c r="M58" s="2"/>
      <c r="N58" s="6">
        <f t="shared" si="15"/>
        <v>-0.15380559815950923</v>
      </c>
      <c r="O58" s="11"/>
      <c r="P58" s="7">
        <v>3386.25</v>
      </c>
      <c r="Q58" s="2"/>
      <c r="R58" s="6">
        <f t="shared" si="16"/>
        <v>2.2058091564598854E-3</v>
      </c>
      <c r="S58" s="2"/>
      <c r="T58" s="7">
        <v>3901.16</v>
      </c>
      <c r="U58" s="2"/>
      <c r="V58" s="6">
        <f t="shared" si="17"/>
        <v>2.1447730730732757E-3</v>
      </c>
      <c r="W58" s="2"/>
      <c r="X58" s="7">
        <f t="shared" si="18"/>
        <v>-514.90999999999985</v>
      </c>
      <c r="Y58" s="2"/>
      <c r="Z58" s="6">
        <f t="shared" si="19"/>
        <v>-0.131988946877339</v>
      </c>
    </row>
    <row r="59" spans="1:26" s="24" customFormat="1" hidden="1" outlineLevel="2" x14ac:dyDescent="0.25">
      <c r="A59" s="29"/>
      <c r="B59" s="11" t="str">
        <f>CONCATENATE("          ", "6112", " - ", "COMPENSATION INSURANCE")</f>
        <v xml:space="preserve">          6112 - COMPENSATION INSURANCE</v>
      </c>
      <c r="C59" s="11"/>
      <c r="D59" s="7">
        <v>96.33</v>
      </c>
      <c r="E59" s="2"/>
      <c r="F59" s="6">
        <f t="shared" si="12"/>
        <v>6.6087414446710179E-5</v>
      </c>
      <c r="G59" s="2"/>
      <c r="H59" s="7">
        <v>94.91</v>
      </c>
      <c r="I59" s="2"/>
      <c r="J59" s="6">
        <f t="shared" si="13"/>
        <v>5.5586069684655452E-5</v>
      </c>
      <c r="K59" s="2"/>
      <c r="L59" s="7">
        <f t="shared" si="14"/>
        <v>1.4200000000000017</v>
      </c>
      <c r="M59" s="2"/>
      <c r="N59" s="6">
        <f t="shared" si="15"/>
        <v>1.4961542513960613E-2</v>
      </c>
      <c r="O59" s="11"/>
      <c r="P59" s="7">
        <v>181.44</v>
      </c>
      <c r="Q59" s="2"/>
      <c r="R59" s="6">
        <f t="shared" si="16"/>
        <v>1.1819033247636223E-4</v>
      </c>
      <c r="S59" s="2"/>
      <c r="T59" s="7">
        <v>209.75</v>
      </c>
      <c r="U59" s="2"/>
      <c r="V59" s="6">
        <f t="shared" si="17"/>
        <v>1.1531599628754514E-4</v>
      </c>
      <c r="W59" s="2"/>
      <c r="X59" s="7">
        <f t="shared" si="18"/>
        <v>-28.310000000000002</v>
      </c>
      <c r="Y59" s="2"/>
      <c r="Z59" s="6">
        <f t="shared" si="19"/>
        <v>-0.13497020262216927</v>
      </c>
    </row>
    <row r="60" spans="1:26" s="24" customFormat="1" hidden="1" outlineLevel="2" x14ac:dyDescent="0.25">
      <c r="A60" s="29"/>
      <c r="B60" s="11" t="str">
        <f>CONCATENATE("          ", "6113", " - ", "GROUP INSURANCE")</f>
        <v xml:space="preserve">          6113 - GROUP INSURANCE</v>
      </c>
      <c r="C60" s="11"/>
      <c r="D60" s="7">
        <v>4168.57</v>
      </c>
      <c r="E60" s="2"/>
      <c r="F60" s="6">
        <f t="shared" si="12"/>
        <v>2.859856879893311E-3</v>
      </c>
      <c r="G60" s="2"/>
      <c r="H60" s="7">
        <v>5625.32</v>
      </c>
      <c r="I60" s="2"/>
      <c r="J60" s="6">
        <f t="shared" si="13"/>
        <v>3.2945888685964177E-3</v>
      </c>
      <c r="K60" s="2"/>
      <c r="L60" s="7">
        <f t="shared" si="14"/>
        <v>-1456.75</v>
      </c>
      <c r="M60" s="2"/>
      <c r="N60" s="6">
        <f t="shared" si="15"/>
        <v>-0.25896304565784706</v>
      </c>
      <c r="O60" s="11"/>
      <c r="P60" s="7">
        <v>8337.14</v>
      </c>
      <c r="Q60" s="2"/>
      <c r="R60" s="6">
        <f t="shared" si="16"/>
        <v>5.430827538040005E-3</v>
      </c>
      <c r="S60" s="2"/>
      <c r="T60" s="7">
        <v>7734.33</v>
      </c>
      <c r="U60" s="2"/>
      <c r="V60" s="6">
        <f t="shared" si="17"/>
        <v>4.2521667202224025E-3</v>
      </c>
      <c r="W60" s="2"/>
      <c r="X60" s="7">
        <f t="shared" si="18"/>
        <v>602.80999999999949</v>
      </c>
      <c r="Y60" s="2"/>
      <c r="Z60" s="6">
        <f t="shared" si="19"/>
        <v>7.7939524173393102E-2</v>
      </c>
    </row>
    <row r="61" spans="1:26" s="24" customFormat="1" hidden="1" outlineLevel="2" x14ac:dyDescent="0.25">
      <c r="A61" s="29"/>
      <c r="B61" s="11" t="str">
        <f>CONCATENATE("          ", "6114", " - ", "STATE UNEMPLOYMENT INSURANCE")</f>
        <v xml:space="preserve">          6114 - STATE UNEMPLOYMENT INSURANCE</v>
      </c>
      <c r="C61" s="11"/>
      <c r="D61" s="7">
        <v>58.34</v>
      </c>
      <c r="E61" s="2"/>
      <c r="F61" s="6">
        <f t="shared" si="12"/>
        <v>4.0024288994301595E-5</v>
      </c>
      <c r="G61" s="2"/>
      <c r="H61" s="7">
        <v>79.599999999999994</v>
      </c>
      <c r="I61" s="2"/>
      <c r="J61" s="6">
        <f t="shared" si="13"/>
        <v>4.6619441016737684E-5</v>
      </c>
      <c r="K61" s="2"/>
      <c r="L61" s="7">
        <f t="shared" si="14"/>
        <v>-21.259999999999991</v>
      </c>
      <c r="M61" s="2"/>
      <c r="N61" s="6">
        <f t="shared" si="15"/>
        <v>-0.26708542713567829</v>
      </c>
      <c r="O61" s="11"/>
      <c r="P61" s="7">
        <v>113.43</v>
      </c>
      <c r="Q61" s="2"/>
      <c r="R61" s="6">
        <f t="shared" si="16"/>
        <v>7.3888499850053839E-5</v>
      </c>
      <c r="S61" s="2"/>
      <c r="T61" s="7">
        <v>175.91</v>
      </c>
      <c r="U61" s="2"/>
      <c r="V61" s="6">
        <f t="shared" si="17"/>
        <v>9.671149896039125E-5</v>
      </c>
      <c r="W61" s="2"/>
      <c r="X61" s="7">
        <f t="shared" si="18"/>
        <v>-62.47999999999999</v>
      </c>
      <c r="Y61" s="2"/>
      <c r="Z61" s="6">
        <f t="shared" si="19"/>
        <v>-0.35518162696833605</v>
      </c>
    </row>
    <row r="62" spans="1:26" s="24" customFormat="1" hidden="1" outlineLevel="2" x14ac:dyDescent="0.25">
      <c r="A62" s="29"/>
      <c r="B62" s="11" t="str">
        <f>CONCATENATE("          ", "6115", " - ", "P.E.R.S.")</f>
        <v xml:space="preserve">          6115 - P.E.R.S.</v>
      </c>
      <c r="C62" s="11"/>
      <c r="D62" s="7">
        <v>1325.86</v>
      </c>
      <c r="E62" s="2"/>
      <c r="F62" s="6">
        <f t="shared" si="12"/>
        <v>9.0960925275942236E-4</v>
      </c>
      <c r="G62" s="2"/>
      <c r="H62" s="7">
        <v>1183.45</v>
      </c>
      <c r="I62" s="2"/>
      <c r="J62" s="6">
        <f t="shared" si="13"/>
        <v>6.931127823022389E-4</v>
      </c>
      <c r="K62" s="2"/>
      <c r="L62" s="7">
        <f t="shared" si="14"/>
        <v>142.40999999999985</v>
      </c>
      <c r="M62" s="2"/>
      <c r="N62" s="6">
        <f t="shared" si="15"/>
        <v>0.12033461489712269</v>
      </c>
      <c r="O62" s="11"/>
      <c r="P62" s="7">
        <v>2651.72</v>
      </c>
      <c r="Q62" s="2"/>
      <c r="R62" s="6">
        <f t="shared" si="16"/>
        <v>1.7273350332573812E-3</v>
      </c>
      <c r="S62" s="2"/>
      <c r="T62" s="7">
        <v>2941.4</v>
      </c>
      <c r="U62" s="2"/>
      <c r="V62" s="6">
        <f t="shared" si="17"/>
        <v>1.6171178616456987E-3</v>
      </c>
      <c r="W62" s="2"/>
      <c r="X62" s="7">
        <f t="shared" si="18"/>
        <v>-289.68000000000029</v>
      </c>
      <c r="Y62" s="2"/>
      <c r="Z62" s="6">
        <f t="shared" si="19"/>
        <v>-9.8483715237642031E-2</v>
      </c>
    </row>
    <row r="63" spans="1:26" s="24" customFormat="1" hidden="1" outlineLevel="2" x14ac:dyDescent="0.25">
      <c r="A63" s="29"/>
      <c r="B63" s="11" t="str">
        <f>CONCATENATE("          ", "6117", " - ", "RETIREMENT STAFF HOURLY")</f>
        <v xml:space="preserve">          6117 - RETIREMENT STAFF HOURLY</v>
      </c>
      <c r="C63" s="11"/>
      <c r="D63" s="7">
        <v>94.68</v>
      </c>
      <c r="E63" s="2"/>
      <c r="F63" s="6">
        <f t="shared" si="12"/>
        <v>6.4955428213583737E-5</v>
      </c>
      <c r="G63" s="2"/>
      <c r="H63" s="7">
        <v>236.56</v>
      </c>
      <c r="I63" s="2"/>
      <c r="J63" s="6">
        <f t="shared" si="13"/>
        <v>1.3854641918240536E-4</v>
      </c>
      <c r="K63" s="2"/>
      <c r="L63" s="7">
        <f t="shared" si="14"/>
        <v>-141.88</v>
      </c>
      <c r="M63" s="2"/>
      <c r="N63" s="6">
        <f t="shared" si="15"/>
        <v>-0.599763273588096</v>
      </c>
      <c r="O63" s="11"/>
      <c r="P63" s="7">
        <v>315.37</v>
      </c>
      <c r="Q63" s="2"/>
      <c r="R63" s="6">
        <f t="shared" si="16"/>
        <v>2.0543256808350064E-4</v>
      </c>
      <c r="S63" s="2"/>
      <c r="T63" s="7">
        <v>469.08</v>
      </c>
      <c r="U63" s="2"/>
      <c r="V63" s="6">
        <f t="shared" si="17"/>
        <v>2.5789000018384587E-4</v>
      </c>
      <c r="W63" s="2"/>
      <c r="X63" s="7">
        <f t="shared" si="18"/>
        <v>-153.70999999999998</v>
      </c>
      <c r="Y63" s="2"/>
      <c r="Z63" s="6">
        <f t="shared" si="19"/>
        <v>-0.32768397714675535</v>
      </c>
    </row>
    <row r="64" spans="1:26" s="24" customFormat="1" hidden="1" outlineLevel="2" x14ac:dyDescent="0.25">
      <c r="A64" s="29"/>
      <c r="B64" s="11" t="str">
        <f>CONCATENATE("          ", "6118", " - ", "VACATION")</f>
        <v xml:space="preserve">          6118 - VACATION</v>
      </c>
      <c r="C64" s="11"/>
      <c r="D64" s="7">
        <v>794.54</v>
      </c>
      <c r="E64" s="2"/>
      <c r="F64" s="6">
        <f t="shared" si="12"/>
        <v>5.4509596464745263E-4</v>
      </c>
      <c r="G64" s="2"/>
      <c r="H64" s="7">
        <v>1287.7</v>
      </c>
      <c r="I64" s="2"/>
      <c r="J64" s="6">
        <f t="shared" si="13"/>
        <v>7.5416902257855682E-4</v>
      </c>
      <c r="K64" s="2"/>
      <c r="L64" s="7">
        <f t="shared" si="14"/>
        <v>-493.16000000000008</v>
      </c>
      <c r="M64" s="2"/>
      <c r="N64" s="6">
        <f t="shared" si="15"/>
        <v>-0.38297740156868842</v>
      </c>
      <c r="O64" s="11"/>
      <c r="P64" s="7">
        <v>2274.46</v>
      </c>
      <c r="Q64" s="2"/>
      <c r="R64" s="6">
        <f t="shared" si="16"/>
        <v>1.4815872112223702E-3</v>
      </c>
      <c r="S64" s="2"/>
      <c r="T64" s="7">
        <v>3391.79</v>
      </c>
      <c r="U64" s="2"/>
      <c r="V64" s="6">
        <f t="shared" si="17"/>
        <v>1.8647325055930048E-3</v>
      </c>
      <c r="W64" s="2"/>
      <c r="X64" s="7">
        <f t="shared" si="18"/>
        <v>-1117.33</v>
      </c>
      <c r="Y64" s="2"/>
      <c r="Z64" s="6">
        <f t="shared" si="19"/>
        <v>-0.32942192765471917</v>
      </c>
    </row>
    <row r="65" spans="1:26" s="24" customFormat="1" hidden="1" outlineLevel="2" x14ac:dyDescent="0.25">
      <c r="A65" s="29"/>
      <c r="B65" s="11" t="str">
        <f>CONCATENATE("          ", "6119", " - ", "SICK LEAVE")</f>
        <v xml:space="preserve">          6119 - SICK LEAVE</v>
      </c>
      <c r="C65" s="11"/>
      <c r="D65" s="7">
        <v>801.74</v>
      </c>
      <c r="E65" s="2"/>
      <c r="F65" s="6">
        <f t="shared" si="12"/>
        <v>5.5003554093745904E-4</v>
      </c>
      <c r="G65" s="2"/>
      <c r="H65" s="7">
        <v>900.92</v>
      </c>
      <c r="I65" s="2"/>
      <c r="J65" s="6">
        <f t="shared" si="13"/>
        <v>5.2764305026129789E-4</v>
      </c>
      <c r="K65" s="2"/>
      <c r="L65" s="7">
        <f t="shared" si="14"/>
        <v>-99.17999999999995</v>
      </c>
      <c r="M65" s="2"/>
      <c r="N65" s="6">
        <f t="shared" si="15"/>
        <v>-0.11008746614571766</v>
      </c>
      <c r="O65" s="11"/>
      <c r="P65" s="7">
        <v>2512.2800000000002</v>
      </c>
      <c r="Q65" s="2"/>
      <c r="R65" s="6">
        <f t="shared" si="16"/>
        <v>1.6365035740394363E-3</v>
      </c>
      <c r="S65" s="2"/>
      <c r="T65" s="7">
        <v>3019.5</v>
      </c>
      <c r="U65" s="2"/>
      <c r="V65" s="6">
        <f t="shared" si="17"/>
        <v>1.6600555460798215E-3</v>
      </c>
      <c r="W65" s="2"/>
      <c r="X65" s="7">
        <f t="shared" si="18"/>
        <v>-507.2199999999998</v>
      </c>
      <c r="Y65" s="2"/>
      <c r="Z65" s="6">
        <f t="shared" si="19"/>
        <v>-0.16798145388309316</v>
      </c>
    </row>
    <row r="66" spans="1:26" s="24" customFormat="1" hidden="1" outlineLevel="2" x14ac:dyDescent="0.25">
      <c r="A66" s="29"/>
      <c r="B66" s="11" t="str">
        <f>CONCATENATE("          ", "6156", " - ", "EMPLOYEE MEALS")</f>
        <v xml:space="preserve">          6156 - EMPLOYEE MEALS</v>
      </c>
      <c r="C66" s="11"/>
      <c r="D66" s="7">
        <v>587.59</v>
      </c>
      <c r="E66" s="2"/>
      <c r="F66" s="6">
        <f t="shared" si="12"/>
        <v>4.0311744892289461E-4</v>
      </c>
      <c r="G66" s="2"/>
      <c r="H66" s="7">
        <v>711.72</v>
      </c>
      <c r="I66" s="2"/>
      <c r="J66" s="6">
        <f t="shared" si="13"/>
        <v>4.1683402714111242E-4</v>
      </c>
      <c r="K66" s="2"/>
      <c r="L66" s="7">
        <f t="shared" si="14"/>
        <v>-124.13</v>
      </c>
      <c r="M66" s="2"/>
      <c r="N66" s="6">
        <f t="shared" si="15"/>
        <v>-0.1744084752430731</v>
      </c>
      <c r="O66" s="11"/>
      <c r="P66" s="7">
        <v>1147.67</v>
      </c>
      <c r="Q66" s="2"/>
      <c r="R66" s="6">
        <f t="shared" si="16"/>
        <v>7.4759423982113449E-4</v>
      </c>
      <c r="S66" s="2"/>
      <c r="T66" s="7">
        <v>1422.83</v>
      </c>
      <c r="U66" s="2"/>
      <c r="V66" s="6">
        <f t="shared" si="17"/>
        <v>7.8224104408966793E-4</v>
      </c>
      <c r="W66" s="2"/>
      <c r="X66" s="7">
        <f t="shared" si="18"/>
        <v>-275.15999999999985</v>
      </c>
      <c r="Y66" s="2"/>
      <c r="Z66" s="6">
        <f t="shared" si="19"/>
        <v>-0.1933892313206777</v>
      </c>
    </row>
    <row r="67" spans="1:26" s="27" customFormat="1" outlineLevel="1" collapsed="1" x14ac:dyDescent="0.25">
      <c r="A67" s="28"/>
      <c r="B67" s="14" t="str">
        <f>CONCATENATE("     ","*Payroll                                          ")</f>
        <v xml:space="preserve">     *Payroll                                          </v>
      </c>
      <c r="C67" s="14"/>
      <c r="D67" s="1">
        <f>SUM(OSRRefD22_1x_0)</f>
        <v>24469.840000000004</v>
      </c>
      <c r="E67" s="1"/>
      <c r="F67" s="5">
        <f t="shared" ref="F67:F72" si="20">IF(D$12=0,0,D67/D$12)</f>
        <v>1.6787589095034642E-2</v>
      </c>
      <c r="G67" s="1"/>
      <c r="H67" s="1">
        <f>SUM(OSRRefH22_1x_0)</f>
        <v>32686.239999999998</v>
      </c>
      <c r="I67" s="1"/>
      <c r="J67" s="5">
        <f t="shared" ref="J67:J72" si="21">IF(H$12=0,0,H67/H$12)</f>
        <v>1.9143394946468995E-2</v>
      </c>
      <c r="K67" s="1"/>
      <c r="L67" s="1">
        <f t="shared" ref="L67:L72" si="22">+D67-H67</f>
        <v>-8216.3999999999942</v>
      </c>
      <c r="M67" s="1"/>
      <c r="N67" s="5">
        <f t="shared" ref="N67:N72" si="23">IF(H67=0,0,L67/H67)</f>
        <v>-0.25137183108243699</v>
      </c>
      <c r="O67" s="14"/>
      <c r="P67" s="1">
        <f>SUM(OSRRefP22_1x_0)</f>
        <v>50543.15</v>
      </c>
      <c r="Q67" s="1"/>
      <c r="R67" s="5">
        <f t="shared" ref="R67:R72" si="24">IF(P$12=0,0,P67/P$12)</f>
        <v>3.2923896069789724E-2</v>
      </c>
      <c r="S67" s="1"/>
      <c r="T67" s="1">
        <f>SUM(OSRRefT22_1x_0)</f>
        <v>60670.84</v>
      </c>
      <c r="U67" s="1"/>
      <c r="V67" s="5">
        <f t="shared" ref="V67:V72" si="25">IF(T$12=0,0,T67/T$12)</f>
        <v>3.3355510656506528E-2</v>
      </c>
      <c r="W67" s="1"/>
      <c r="X67" s="1">
        <f t="shared" ref="X67:X72" si="26">+P67-T67</f>
        <v>-10127.689999999995</v>
      </c>
      <c r="Y67" s="1"/>
      <c r="Z67" s="5">
        <f t="shared" ref="Z67:Z72" si="27">IF(T67=0,0,X67/T67)</f>
        <v>-0.16692846184427307</v>
      </c>
    </row>
    <row r="68" spans="1:26" s="24" customFormat="1" hidden="1" outlineLevel="2" x14ac:dyDescent="0.25">
      <c r="A68" s="29"/>
      <c r="B68" s="11" t="str">
        <f>CONCATENATE("          ", "6002", " - ", "STAFF SALARIES")</f>
        <v xml:space="preserve">          6002 - STAFF SALARIES</v>
      </c>
      <c r="C68" s="11"/>
      <c r="D68" s="7">
        <v>14272.87</v>
      </c>
      <c r="E68" s="2"/>
      <c r="F68" s="6">
        <f t="shared" si="20"/>
        <v>9.7919347558809971E-3</v>
      </c>
      <c r="G68" s="2"/>
      <c r="H68" s="7">
        <v>12126.1</v>
      </c>
      <c r="I68" s="2"/>
      <c r="J68" s="6">
        <f t="shared" si="21"/>
        <v>7.1019095943852121E-3</v>
      </c>
      <c r="K68" s="2"/>
      <c r="L68" s="7">
        <f t="shared" si="22"/>
        <v>2146.7700000000004</v>
      </c>
      <c r="M68" s="2"/>
      <c r="N68" s="6">
        <f t="shared" si="23"/>
        <v>0.17703713477540184</v>
      </c>
      <c r="O68" s="11"/>
      <c r="P68" s="7">
        <v>31902.230000000003</v>
      </c>
      <c r="Q68" s="2"/>
      <c r="R68" s="6">
        <f t="shared" si="24"/>
        <v>2.0781168267401774E-2</v>
      </c>
      <c r="S68" s="2"/>
      <c r="T68" s="7">
        <v>27521.7</v>
      </c>
      <c r="U68" s="2"/>
      <c r="V68" s="6">
        <f t="shared" si="25"/>
        <v>1.5130833158650447E-2</v>
      </c>
      <c r="W68" s="2"/>
      <c r="X68" s="7">
        <f t="shared" si="26"/>
        <v>4380.5300000000025</v>
      </c>
      <c r="Y68" s="2"/>
      <c r="Z68" s="6">
        <f t="shared" si="27"/>
        <v>0.15916640323817213</v>
      </c>
    </row>
    <row r="69" spans="1:26" s="24" customFormat="1" hidden="1" outlineLevel="2" x14ac:dyDescent="0.25">
      <c r="A69" s="29"/>
      <c r="B69" s="11" t="str">
        <f>CONCATENATE("          ", "6004", " - ", "STAFF HOURLY")</f>
        <v xml:space="preserve">          6004 - STAFF HOURLY</v>
      </c>
      <c r="C69" s="11"/>
      <c r="D69" s="7">
        <v>2830.32</v>
      </c>
      <c r="E69" s="2"/>
      <c r="F69" s="6">
        <f t="shared" si="20"/>
        <v>1.9417474396015029E-3</v>
      </c>
      <c r="G69" s="2"/>
      <c r="H69" s="7">
        <v>6032.47</v>
      </c>
      <c r="I69" s="2"/>
      <c r="J69" s="6">
        <f t="shared" si="21"/>
        <v>3.5330449667115528E-3</v>
      </c>
      <c r="K69" s="2"/>
      <c r="L69" s="7">
        <f t="shared" si="22"/>
        <v>-3202.15</v>
      </c>
      <c r="M69" s="2"/>
      <c r="N69" s="6">
        <f t="shared" si="23"/>
        <v>-0.53081905090286396</v>
      </c>
      <c r="O69" s="11"/>
      <c r="P69" s="7">
        <v>4836.25</v>
      </c>
      <c r="Q69" s="2"/>
      <c r="R69" s="6">
        <f t="shared" si="24"/>
        <v>3.1503416856195261E-3</v>
      </c>
      <c r="S69" s="2"/>
      <c r="T69" s="7">
        <v>11401.51</v>
      </c>
      <c r="U69" s="2"/>
      <c r="V69" s="6">
        <f t="shared" si="25"/>
        <v>6.2683026690460494E-3</v>
      </c>
      <c r="W69" s="2"/>
      <c r="X69" s="7">
        <f t="shared" si="26"/>
        <v>-6565.26</v>
      </c>
      <c r="Y69" s="2"/>
      <c r="Z69" s="6">
        <f t="shared" si="27"/>
        <v>-0.57582372861138564</v>
      </c>
    </row>
    <row r="70" spans="1:26" s="24" customFormat="1" hidden="1" outlineLevel="2" x14ac:dyDescent="0.25">
      <c r="A70" s="29"/>
      <c r="B70" s="11" t="str">
        <f>CONCATENATE("          ", "6005", " - ", "TEMPORARY WAGES-HOURLY")</f>
        <v xml:space="preserve">          6005 - TEMPORARY WAGES-HOURLY</v>
      </c>
      <c r="C70" s="11"/>
      <c r="D70" s="7">
        <v>1476.95</v>
      </c>
      <c r="E70" s="2"/>
      <c r="F70" s="6">
        <f t="shared" si="20"/>
        <v>1.0132648891006811E-3</v>
      </c>
      <c r="G70" s="2"/>
      <c r="H70" s="7">
        <v>3425.52</v>
      </c>
      <c r="I70" s="2"/>
      <c r="J70" s="6">
        <f t="shared" si="21"/>
        <v>2.0062289898449158E-3</v>
      </c>
      <c r="K70" s="2"/>
      <c r="L70" s="7">
        <f t="shared" si="22"/>
        <v>-1948.57</v>
      </c>
      <c r="M70" s="2"/>
      <c r="N70" s="6">
        <f t="shared" si="23"/>
        <v>-0.56883918354001728</v>
      </c>
      <c r="O70" s="11"/>
      <c r="P70" s="7">
        <v>2669.35</v>
      </c>
      <c r="Q70" s="2"/>
      <c r="R70" s="6">
        <f t="shared" si="24"/>
        <v>1.738819246008474E-3</v>
      </c>
      <c r="S70" s="2"/>
      <c r="T70" s="7">
        <v>5837.68</v>
      </c>
      <c r="U70" s="2"/>
      <c r="V70" s="6">
        <f t="shared" si="25"/>
        <v>3.2094297268551921E-3</v>
      </c>
      <c r="W70" s="2"/>
      <c r="X70" s="7">
        <f t="shared" si="26"/>
        <v>-3168.3300000000004</v>
      </c>
      <c r="Y70" s="2"/>
      <c r="Z70" s="6">
        <f t="shared" si="27"/>
        <v>-0.54273786846829564</v>
      </c>
    </row>
    <row r="71" spans="1:26" s="24" customFormat="1" hidden="1" outlineLevel="2" x14ac:dyDescent="0.25">
      <c r="A71" s="29"/>
      <c r="B71" s="11" t="str">
        <f>CONCATENATE("          ", "6006", " - ", "TEMPORARY PART TIME")</f>
        <v xml:space="preserve">          6006 - TEMPORARY PART TIME</v>
      </c>
      <c r="C71" s="11"/>
      <c r="D71" s="7"/>
      <c r="E71" s="2"/>
      <c r="F71" s="6">
        <f t="shared" si="20"/>
        <v>0</v>
      </c>
      <c r="G71" s="2"/>
      <c r="H71" s="7">
        <v>1260.19</v>
      </c>
      <c r="I71" s="2"/>
      <c r="J71" s="6">
        <f t="shared" si="21"/>
        <v>7.380572032020436E-4</v>
      </c>
      <c r="K71" s="2"/>
      <c r="L71" s="7">
        <f t="shared" si="22"/>
        <v>-1260.19</v>
      </c>
      <c r="M71" s="2"/>
      <c r="N71" s="6">
        <f t="shared" si="23"/>
        <v>-1</v>
      </c>
      <c r="O71" s="11"/>
      <c r="P71" s="7"/>
      <c r="Q71" s="2"/>
      <c r="R71" s="6">
        <f t="shared" si="24"/>
        <v>0</v>
      </c>
      <c r="S71" s="2"/>
      <c r="T71" s="7">
        <v>2244.25</v>
      </c>
      <c r="U71" s="2"/>
      <c r="V71" s="6">
        <f t="shared" si="25"/>
        <v>1.2338399269049972E-3</v>
      </c>
      <c r="W71" s="2"/>
      <c r="X71" s="7">
        <f t="shared" si="26"/>
        <v>-2244.25</v>
      </c>
      <c r="Y71" s="2"/>
      <c r="Z71" s="6">
        <f t="shared" si="27"/>
        <v>-1</v>
      </c>
    </row>
    <row r="72" spans="1:26" s="24" customFormat="1" hidden="1" outlineLevel="2" x14ac:dyDescent="0.25">
      <c r="A72" s="29"/>
      <c r="B72" s="11" t="str">
        <f>CONCATENATE("          ", "6007", " - ", "STUDENT HOURLY")</f>
        <v xml:space="preserve">          6007 - STUDENT HOURLY</v>
      </c>
      <c r="C72" s="11"/>
      <c r="D72" s="7">
        <v>5889.7</v>
      </c>
      <c r="E72" s="2"/>
      <c r="F72" s="6">
        <f t="shared" si="20"/>
        <v>4.0406420104514579E-3</v>
      </c>
      <c r="G72" s="2"/>
      <c r="H72" s="7">
        <v>9841.9599999999991</v>
      </c>
      <c r="I72" s="2"/>
      <c r="J72" s="6">
        <f t="shared" si="21"/>
        <v>5.7641541923252717E-3</v>
      </c>
      <c r="K72" s="2"/>
      <c r="L72" s="7">
        <f t="shared" si="22"/>
        <v>-3952.2599999999993</v>
      </c>
      <c r="M72" s="2"/>
      <c r="N72" s="6">
        <f t="shared" si="23"/>
        <v>-0.40157245101585454</v>
      </c>
      <c r="O72" s="11"/>
      <c r="P72" s="7">
        <v>11135.32</v>
      </c>
      <c r="Q72" s="2"/>
      <c r="R72" s="6">
        <f t="shared" si="24"/>
        <v>7.2535668707599532E-3</v>
      </c>
      <c r="S72" s="2"/>
      <c r="T72" s="7">
        <v>13665.7</v>
      </c>
      <c r="U72" s="2"/>
      <c r="V72" s="6">
        <f t="shared" si="25"/>
        <v>7.5131051750498487E-3</v>
      </c>
      <c r="W72" s="2"/>
      <c r="X72" s="7">
        <f t="shared" si="26"/>
        <v>-2530.380000000001</v>
      </c>
      <c r="Y72" s="2"/>
      <c r="Z72" s="6">
        <f t="shared" si="27"/>
        <v>-0.18516285298228419</v>
      </c>
    </row>
    <row r="73" spans="1:26" s="27" customFormat="1" outlineLevel="1" collapsed="1" x14ac:dyDescent="0.25">
      <c r="A73" s="28"/>
      <c r="B73" s="14" t="str">
        <f>CONCATENATE("     ","Advertising/Promo                                 ")</f>
        <v xml:space="preserve">     Advertising/Promo                                 </v>
      </c>
      <c r="C73" s="14"/>
      <c r="D73" s="1">
        <f>SUM(OSRRefD22_2x_0)</f>
        <v>2905.19</v>
      </c>
      <c r="E73" s="1"/>
      <c r="F73" s="5">
        <f t="shared" ref="F73:F77" si="28">IF(D$12=0,0,D73/D$12)</f>
        <v>1.9931121724949441E-3</v>
      </c>
      <c r="G73" s="1"/>
      <c r="H73" s="1">
        <f>SUM(OSRRefH22_2x_0)</f>
        <v>1173.1600000000001</v>
      </c>
      <c r="I73" s="1"/>
      <c r="J73" s="5">
        <f t="shared" ref="J73:J77" si="29">IF(H$12=0,0,H73/H$12)</f>
        <v>6.8708622390949734E-4</v>
      </c>
      <c r="K73" s="1"/>
      <c r="L73" s="1">
        <f t="shared" ref="L73:L77" si="30">+D73-H73</f>
        <v>1732.03</v>
      </c>
      <c r="M73" s="1"/>
      <c r="N73" s="5">
        <f t="shared" ref="N73:N77" si="31">IF(H73=0,0,L73/H73)</f>
        <v>1.4763800334140269</v>
      </c>
      <c r="O73" s="14"/>
      <c r="P73" s="1">
        <f>SUM(OSRRefP22_2x_0)</f>
        <v>2996.19</v>
      </c>
      <c r="Q73" s="1"/>
      <c r="R73" s="5">
        <f t="shared" ref="R73:R77" si="32">IF(P$12=0,0,P73/P$12)</f>
        <v>1.9517233920984995E-3</v>
      </c>
      <c r="S73" s="1"/>
      <c r="T73" s="1">
        <f>SUM(OSRRefT22_2x_0)</f>
        <v>1654.3</v>
      </c>
      <c r="U73" s="1"/>
      <c r="V73" s="5">
        <f t="shared" ref="V73:V77" si="33">IF(T$12=0,0,T73/T$12)</f>
        <v>9.0949822483187568E-4</v>
      </c>
      <c r="W73" s="1"/>
      <c r="X73" s="1">
        <f t="shared" ref="X73:X77" si="34">+P73-T73</f>
        <v>1341.89</v>
      </c>
      <c r="Y73" s="1"/>
      <c r="Z73" s="5">
        <f t="shared" ref="Z73:Z77" si="35">IF(T73=0,0,X73/T73)</f>
        <v>0.81115275343045401</v>
      </c>
    </row>
    <row r="74" spans="1:26" s="24" customFormat="1" hidden="1" outlineLevel="2" x14ac:dyDescent="0.25">
      <c r="A74" s="29"/>
      <c r="B74" s="11" t="str">
        <f>CONCATENATE("          ", "6362", " - ", "ADVERTISING EXPENSE")</f>
        <v xml:space="preserve">          6362 - ADVERTISING EXPENSE</v>
      </c>
      <c r="C74" s="11"/>
      <c r="D74" s="7">
        <v>2905.19</v>
      </c>
      <c r="E74" s="2"/>
      <c r="F74" s="6">
        <f t="shared" si="28"/>
        <v>1.9931121724949441E-3</v>
      </c>
      <c r="G74" s="2"/>
      <c r="H74" s="7">
        <v>1173.1600000000001</v>
      </c>
      <c r="I74" s="2"/>
      <c r="J74" s="6">
        <f t="shared" si="29"/>
        <v>6.8708622390949734E-4</v>
      </c>
      <c r="K74" s="2"/>
      <c r="L74" s="7">
        <f t="shared" si="30"/>
        <v>1732.03</v>
      </c>
      <c r="M74" s="2"/>
      <c r="N74" s="6">
        <f t="shared" si="31"/>
        <v>1.4763800334140269</v>
      </c>
      <c r="O74" s="11"/>
      <c r="P74" s="7">
        <v>2996.19</v>
      </c>
      <c r="Q74" s="2"/>
      <c r="R74" s="6">
        <f t="shared" si="32"/>
        <v>1.9517233920984995E-3</v>
      </c>
      <c r="S74" s="2"/>
      <c r="T74" s="7">
        <v>1654.3</v>
      </c>
      <c r="U74" s="2"/>
      <c r="V74" s="6">
        <f t="shared" si="33"/>
        <v>9.0949822483187568E-4</v>
      </c>
      <c r="W74" s="2"/>
      <c r="X74" s="7">
        <f t="shared" si="34"/>
        <v>1341.89</v>
      </c>
      <c r="Y74" s="2"/>
      <c r="Z74" s="6">
        <f t="shared" si="35"/>
        <v>0.81115275343045401</v>
      </c>
    </row>
    <row r="75" spans="1:26" s="27" customFormat="1" outlineLevel="1" collapsed="1" x14ac:dyDescent="0.25">
      <c r="A75" s="28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SUM(OSRRefD22_3x_0)</f>
        <v>4124.57</v>
      </c>
      <c r="E75" s="1"/>
      <c r="F75" s="5">
        <f t="shared" si="28"/>
        <v>2.829670580343272E-3</v>
      </c>
      <c r="G75" s="1"/>
      <c r="H75" s="1">
        <f>SUM(OSRRefH22_3x_0)</f>
        <v>13758.1</v>
      </c>
      <c r="I75" s="1"/>
      <c r="J75" s="5">
        <f t="shared" si="29"/>
        <v>8.0577252695022469E-3</v>
      </c>
      <c r="K75" s="1"/>
      <c r="L75" s="1">
        <f t="shared" si="30"/>
        <v>-9633.5300000000007</v>
      </c>
      <c r="M75" s="1"/>
      <c r="N75" s="5">
        <f t="shared" si="31"/>
        <v>-0.70020787754123026</v>
      </c>
      <c r="O75" s="14"/>
      <c r="P75" s="1">
        <f>SUM(OSRRefP22_3x_0)</f>
        <v>6633.48</v>
      </c>
      <c r="Q75" s="1"/>
      <c r="R75" s="5">
        <f t="shared" si="32"/>
        <v>4.3210604424344093E-3</v>
      </c>
      <c r="S75" s="1"/>
      <c r="T75" s="1">
        <f>SUM(OSRRefT22_3x_0)</f>
        <v>15670.339999999998</v>
      </c>
      <c r="U75" s="1"/>
      <c r="V75" s="5">
        <f t="shared" si="33"/>
        <v>8.6152127259335881E-3</v>
      </c>
      <c r="W75" s="1"/>
      <c r="X75" s="1">
        <f t="shared" si="34"/>
        <v>-9036.8599999999988</v>
      </c>
      <c r="Y75" s="1"/>
      <c r="Z75" s="5">
        <f t="shared" si="35"/>
        <v>-0.57668563668688744</v>
      </c>
    </row>
    <row r="76" spans="1:26" s="24" customFormat="1" hidden="1" outlineLevel="2" x14ac:dyDescent="0.25">
      <c r="A76" s="29"/>
      <c r="B76" s="11" t="str">
        <f>CONCATENATE("          ", "6382", " - ", "DISCOUNTS/MARK DOWNS")</f>
        <v xml:space="preserve">          6382 - DISCOUNTS/MARK DOWNS</v>
      </c>
      <c r="C76" s="11"/>
      <c r="D76" s="7">
        <v>4547.3</v>
      </c>
      <c r="E76" s="2"/>
      <c r="F76" s="6">
        <f t="shared" si="28"/>
        <v>3.1196854532702712E-3</v>
      </c>
      <c r="G76" s="2"/>
      <c r="H76" s="7">
        <v>13214.68</v>
      </c>
      <c r="I76" s="2"/>
      <c r="J76" s="6">
        <f t="shared" si="29"/>
        <v>7.7394597338575778E-3</v>
      </c>
      <c r="K76" s="2"/>
      <c r="L76" s="7">
        <f t="shared" si="30"/>
        <v>-8667.380000000001</v>
      </c>
      <c r="M76" s="2"/>
      <c r="N76" s="6">
        <f t="shared" si="31"/>
        <v>-0.65589026749039714</v>
      </c>
      <c r="O76" s="11"/>
      <c r="P76" s="7">
        <v>7056.21</v>
      </c>
      <c r="Q76" s="2"/>
      <c r="R76" s="6">
        <f t="shared" si="32"/>
        <v>4.5964275017803787E-3</v>
      </c>
      <c r="S76" s="2"/>
      <c r="T76" s="7">
        <v>15827.38</v>
      </c>
      <c r="U76" s="2"/>
      <c r="V76" s="6">
        <f t="shared" si="33"/>
        <v>8.7015499085652728E-3</v>
      </c>
      <c r="W76" s="2"/>
      <c r="X76" s="7">
        <f t="shared" si="34"/>
        <v>-8771.1699999999983</v>
      </c>
      <c r="Y76" s="2"/>
      <c r="Z76" s="6">
        <f t="shared" si="35"/>
        <v>-0.55417700213174881</v>
      </c>
    </row>
    <row r="77" spans="1:26" s="24" customFormat="1" hidden="1" outlineLevel="2" x14ac:dyDescent="0.25">
      <c r="A77" s="29"/>
      <c r="B77" s="11" t="str">
        <f>CONCATENATE("          ", "9175", " - ", "EARNED DISCOUNTS")</f>
        <v xml:space="preserve">          9175 - EARNED DISCOUNTS</v>
      </c>
      <c r="C77" s="11"/>
      <c r="D77" s="7">
        <v>-422.73</v>
      </c>
      <c r="E77" s="2"/>
      <c r="F77" s="6">
        <f t="shared" si="28"/>
        <v>-2.9001487292699881E-4</v>
      </c>
      <c r="G77" s="2"/>
      <c r="H77" s="7">
        <v>543.41999999999996</v>
      </c>
      <c r="I77" s="2"/>
      <c r="J77" s="6">
        <f t="shared" si="29"/>
        <v>3.1826553564466824E-4</v>
      </c>
      <c r="K77" s="2"/>
      <c r="L77" s="7">
        <f t="shared" si="30"/>
        <v>-966.15</v>
      </c>
      <c r="M77" s="2"/>
      <c r="N77" s="6">
        <f t="shared" si="31"/>
        <v>-1.7779065915866181</v>
      </c>
      <c r="O77" s="11"/>
      <c r="P77" s="7">
        <v>-422.73</v>
      </c>
      <c r="Q77" s="2"/>
      <c r="R77" s="6">
        <f t="shared" si="32"/>
        <v>-2.7536705934596894E-4</v>
      </c>
      <c r="S77" s="2"/>
      <c r="T77" s="7">
        <v>-157.04</v>
      </c>
      <c r="U77" s="2"/>
      <c r="V77" s="6">
        <f t="shared" si="33"/>
        <v>-8.6337182631685759E-5</v>
      </c>
      <c r="W77" s="2"/>
      <c r="X77" s="7">
        <f t="shared" si="34"/>
        <v>-265.69000000000005</v>
      </c>
      <c r="Y77" s="2"/>
      <c r="Z77" s="6">
        <f t="shared" si="35"/>
        <v>1.6918619460010194</v>
      </c>
    </row>
    <row r="78" spans="1:26" s="27" customFormat="1" outlineLevel="1" collapsed="1" x14ac:dyDescent="0.25">
      <c r="A78" s="28"/>
      <c r="B78" s="14" t="str">
        <f>CONCATENATE("     ","Employees' Appreciation                           ")</f>
        <v xml:space="preserve">     Employees' Appreciation                           </v>
      </c>
      <c r="C78" s="14"/>
      <c r="D78" s="1">
        <f>SUM(OSRRefD22_4x_0)</f>
        <v>0</v>
      </c>
      <c r="E78" s="1"/>
      <c r="F78" s="5">
        <f t="shared" ref="F78:F84" si="36">IF(D$12=0,0,D78/D$12)</f>
        <v>0</v>
      </c>
      <c r="G78" s="1"/>
      <c r="H78" s="1">
        <f>SUM(OSRRefH22_4x_0)</f>
        <v>20.57</v>
      </c>
      <c r="I78" s="1"/>
      <c r="J78" s="5">
        <f t="shared" ref="J78:J84" si="37">IF(H$12=0,0,H78/H$12)</f>
        <v>1.2047260071787616E-5</v>
      </c>
      <c r="K78" s="1"/>
      <c r="L78" s="1">
        <f t="shared" ref="L78:L84" si="38">+D78-H78</f>
        <v>-20.57</v>
      </c>
      <c r="M78" s="1"/>
      <c r="N78" s="5">
        <f t="shared" ref="N78:N84" si="39">IF(H78=0,0,L78/H78)</f>
        <v>-1</v>
      </c>
      <c r="O78" s="14"/>
      <c r="P78" s="1">
        <f>SUM(OSRRefP22_4x_0)</f>
        <v>0</v>
      </c>
      <c r="Q78" s="1"/>
      <c r="R78" s="5">
        <f t="shared" ref="R78:R84" si="40">IF(P$12=0,0,P78/P$12)</f>
        <v>0</v>
      </c>
      <c r="S78" s="1"/>
      <c r="T78" s="1">
        <f>SUM(OSRRefT22_4x_0)</f>
        <v>20.57</v>
      </c>
      <c r="U78" s="1"/>
      <c r="V78" s="5">
        <f t="shared" ref="V78:V84" si="41">IF(T$12=0,0,T78/T$12)</f>
        <v>1.1308939421381662E-5</v>
      </c>
      <c r="W78" s="1"/>
      <c r="X78" s="1">
        <f t="shared" ref="X78:X84" si="42">+P78-T78</f>
        <v>-20.57</v>
      </c>
      <c r="Y78" s="1"/>
      <c r="Z78" s="5">
        <f t="shared" ref="Z78:Z84" si="43">IF(T78=0,0,X78/T78)</f>
        <v>-1</v>
      </c>
    </row>
    <row r="79" spans="1:26" s="24" customFormat="1" hidden="1" outlineLevel="2" x14ac:dyDescent="0.25">
      <c r="A79" s="29"/>
      <c r="B79" s="11" t="str">
        <f>CONCATENATE("          ", "6277", " - ", "EMPLOYEE APPRECIATION")</f>
        <v xml:space="preserve">          6277 - EMPLOYEE APPRECIATION</v>
      </c>
      <c r="C79" s="11"/>
      <c r="D79" s="7"/>
      <c r="E79" s="2"/>
      <c r="F79" s="6">
        <f t="shared" si="36"/>
        <v>0</v>
      </c>
      <c r="G79" s="2"/>
      <c r="H79" s="7">
        <v>20.57</v>
      </c>
      <c r="I79" s="2"/>
      <c r="J79" s="6">
        <f t="shared" si="37"/>
        <v>1.2047260071787616E-5</v>
      </c>
      <c r="K79" s="2"/>
      <c r="L79" s="7">
        <f t="shared" si="38"/>
        <v>-20.57</v>
      </c>
      <c r="M79" s="2"/>
      <c r="N79" s="6">
        <f t="shared" si="39"/>
        <v>-1</v>
      </c>
      <c r="O79" s="11"/>
      <c r="P79" s="7"/>
      <c r="Q79" s="2"/>
      <c r="R79" s="6">
        <f t="shared" si="40"/>
        <v>0</v>
      </c>
      <c r="S79" s="2"/>
      <c r="T79" s="7">
        <v>20.57</v>
      </c>
      <c r="U79" s="2"/>
      <c r="V79" s="6">
        <f t="shared" si="41"/>
        <v>1.1308939421381662E-5</v>
      </c>
      <c r="W79" s="2"/>
      <c r="X79" s="7">
        <f t="shared" si="42"/>
        <v>-20.57</v>
      </c>
      <c r="Y79" s="2"/>
      <c r="Z79" s="6">
        <f t="shared" si="43"/>
        <v>-1</v>
      </c>
    </row>
    <row r="80" spans="1:26" s="27" customFormat="1" outlineLevel="1" collapsed="1" x14ac:dyDescent="0.25">
      <c r="A80" s="28"/>
      <c r="B80" s="14" t="str">
        <f>CONCATENATE("     ","Equipment Rental                                  ")</f>
        <v xml:space="preserve">     Equipment Rental                                  </v>
      </c>
      <c r="C80" s="14"/>
      <c r="D80" s="1">
        <f>SUM(OSRRefD22_5x_0)</f>
        <v>91.26</v>
      </c>
      <c r="E80" s="1"/>
      <c r="F80" s="5">
        <f t="shared" si="36"/>
        <v>6.2609129475830702E-5</v>
      </c>
      <c r="G80" s="1"/>
      <c r="H80" s="1">
        <f>SUM(OSRRefH22_5x_0)</f>
        <v>91.26</v>
      </c>
      <c r="I80" s="1"/>
      <c r="J80" s="5">
        <f t="shared" si="37"/>
        <v>5.3448369185772381E-5</v>
      </c>
      <c r="K80" s="1"/>
      <c r="L80" s="1">
        <f t="shared" si="38"/>
        <v>0</v>
      </c>
      <c r="M80" s="1"/>
      <c r="N80" s="5">
        <f t="shared" si="39"/>
        <v>0</v>
      </c>
      <c r="O80" s="14"/>
      <c r="P80" s="1">
        <f>SUM(OSRRefP22_5x_0)</f>
        <v>182.52</v>
      </c>
      <c r="Q80" s="1"/>
      <c r="R80" s="5">
        <f t="shared" si="40"/>
        <v>1.1889384636015011E-4</v>
      </c>
      <c r="S80" s="1"/>
      <c r="T80" s="1">
        <f>SUM(OSRRefT22_5x_0)</f>
        <v>182.52</v>
      </c>
      <c r="U80" s="1"/>
      <c r="V80" s="5">
        <f t="shared" si="41"/>
        <v>1.0034553345603213E-4</v>
      </c>
      <c r="W80" s="1"/>
      <c r="X80" s="1">
        <f t="shared" si="42"/>
        <v>0</v>
      </c>
      <c r="Y80" s="1"/>
      <c r="Z80" s="5">
        <f t="shared" si="43"/>
        <v>0</v>
      </c>
    </row>
    <row r="81" spans="1:26" s="24" customFormat="1" hidden="1" outlineLevel="2" x14ac:dyDescent="0.25">
      <c r="A81" s="29"/>
      <c r="B81" s="11" t="str">
        <f>CONCATENATE("          ", "6351", " - ", "EQUIPMENT RENTAL")</f>
        <v xml:space="preserve">          6351 - EQUIPMENT RENTAL</v>
      </c>
      <c r="C81" s="11"/>
      <c r="D81" s="7">
        <v>91.26</v>
      </c>
      <c r="E81" s="2"/>
      <c r="F81" s="6">
        <f t="shared" si="36"/>
        <v>6.2609129475830702E-5</v>
      </c>
      <c r="G81" s="2"/>
      <c r="H81" s="7">
        <v>91.26</v>
      </c>
      <c r="I81" s="2"/>
      <c r="J81" s="6">
        <f t="shared" si="37"/>
        <v>5.3448369185772381E-5</v>
      </c>
      <c r="K81" s="2"/>
      <c r="L81" s="7">
        <f t="shared" si="38"/>
        <v>0</v>
      </c>
      <c r="M81" s="2"/>
      <c r="N81" s="6">
        <f t="shared" si="39"/>
        <v>0</v>
      </c>
      <c r="O81" s="11"/>
      <c r="P81" s="7">
        <v>182.52</v>
      </c>
      <c r="Q81" s="2"/>
      <c r="R81" s="6">
        <f t="shared" si="40"/>
        <v>1.1889384636015011E-4</v>
      </c>
      <c r="S81" s="2"/>
      <c r="T81" s="7">
        <v>182.52</v>
      </c>
      <c r="U81" s="2"/>
      <c r="V81" s="6">
        <f t="shared" si="41"/>
        <v>1.0034553345603213E-4</v>
      </c>
      <c r="W81" s="2"/>
      <c r="X81" s="7">
        <f t="shared" si="42"/>
        <v>0</v>
      </c>
      <c r="Y81" s="2"/>
      <c r="Z81" s="6">
        <f t="shared" si="43"/>
        <v>0</v>
      </c>
    </row>
    <row r="82" spans="1:26" s="27" customFormat="1" outlineLevel="1" collapsed="1" x14ac:dyDescent="0.25">
      <c r="A82" s="28"/>
      <c r="B82" s="14" t="str">
        <f>CONCATENATE("     ","Freight out/Postage                               ")</f>
        <v xml:space="preserve">     Freight out/Postage                               </v>
      </c>
      <c r="C82" s="14"/>
      <c r="D82" s="1">
        <f>SUM(OSRRefD22_6x_0)</f>
        <v>299.74</v>
      </c>
      <c r="E82" s="1"/>
      <c r="F82" s="5">
        <f t="shared" si="36"/>
        <v>2.0563730516201507E-4</v>
      </c>
      <c r="G82" s="1"/>
      <c r="H82" s="1">
        <f>SUM(OSRRefH22_6x_0)</f>
        <v>843.5</v>
      </c>
      <c r="I82" s="1"/>
      <c r="J82" s="5">
        <f t="shared" si="37"/>
        <v>4.9401380022133469E-4</v>
      </c>
      <c r="K82" s="1"/>
      <c r="L82" s="1">
        <f t="shared" si="38"/>
        <v>-543.76</v>
      </c>
      <c r="M82" s="1"/>
      <c r="N82" s="5">
        <f t="shared" si="39"/>
        <v>-0.64464730290456429</v>
      </c>
      <c r="O82" s="14"/>
      <c r="P82" s="1">
        <f>SUM(OSRRefP22_6x_0)</f>
        <v>664.33</v>
      </c>
      <c r="Q82" s="1"/>
      <c r="R82" s="5">
        <f t="shared" si="40"/>
        <v>4.327457207562926E-4</v>
      </c>
      <c r="S82" s="1"/>
      <c r="T82" s="1">
        <f>SUM(OSRRefT22_6x_0)</f>
        <v>1223.54</v>
      </c>
      <c r="U82" s="1"/>
      <c r="V82" s="5">
        <f t="shared" si="41"/>
        <v>6.7267572871353024E-4</v>
      </c>
      <c r="W82" s="1"/>
      <c r="X82" s="1">
        <f t="shared" si="42"/>
        <v>-559.20999999999992</v>
      </c>
      <c r="Y82" s="1"/>
      <c r="Z82" s="5">
        <f t="shared" si="43"/>
        <v>-0.45704267943835097</v>
      </c>
    </row>
    <row r="83" spans="1:26" s="24" customFormat="1" hidden="1" outlineLevel="2" x14ac:dyDescent="0.25">
      <c r="A83" s="29"/>
      <c r="B83" s="11" t="str">
        <f>CONCATENATE("          ", "6305", " - ", "FREIGHT OUT")</f>
        <v xml:space="preserve">          6305 - FREIGHT OUT</v>
      </c>
      <c r="C83" s="11"/>
      <c r="D83" s="7">
        <v>299.74</v>
      </c>
      <c r="E83" s="2"/>
      <c r="F83" s="6">
        <f t="shared" si="36"/>
        <v>2.0563730516201507E-4</v>
      </c>
      <c r="G83" s="2"/>
      <c r="H83" s="7">
        <v>843.03</v>
      </c>
      <c r="I83" s="2"/>
      <c r="J83" s="6">
        <f t="shared" si="37"/>
        <v>4.9373853467764284E-4</v>
      </c>
      <c r="K83" s="2"/>
      <c r="L83" s="7">
        <f t="shared" si="38"/>
        <v>-543.29</v>
      </c>
      <c r="M83" s="2"/>
      <c r="N83" s="6">
        <f t="shared" si="39"/>
        <v>-0.64444918923407235</v>
      </c>
      <c r="O83" s="11"/>
      <c r="P83" s="7">
        <v>664.33</v>
      </c>
      <c r="Q83" s="2"/>
      <c r="R83" s="6">
        <f t="shared" si="40"/>
        <v>4.327457207562926E-4</v>
      </c>
      <c r="S83" s="2"/>
      <c r="T83" s="7">
        <v>1223.07</v>
      </c>
      <c r="U83" s="2"/>
      <c r="V83" s="6">
        <f t="shared" si="41"/>
        <v>6.7241733291731982E-4</v>
      </c>
      <c r="W83" s="2"/>
      <c r="X83" s="7">
        <f t="shared" si="42"/>
        <v>-558.7399999999999</v>
      </c>
      <c r="Y83" s="2"/>
      <c r="Z83" s="6">
        <f t="shared" si="43"/>
        <v>-0.45683403239389397</v>
      </c>
    </row>
    <row r="84" spans="1:26" s="24" customFormat="1" hidden="1" outlineLevel="2" x14ac:dyDescent="0.25">
      <c r="A84" s="29"/>
      <c r="B84" s="11" t="str">
        <f>CONCATENATE("          ", "6307", " - ", "POSTAGE")</f>
        <v xml:space="preserve">          6307 - POSTAGE</v>
      </c>
      <c r="C84" s="11"/>
      <c r="D84" s="7"/>
      <c r="E84" s="2"/>
      <c r="F84" s="6">
        <f t="shared" si="36"/>
        <v>0</v>
      </c>
      <c r="G84" s="2"/>
      <c r="H84" s="7">
        <v>0.47</v>
      </c>
      <c r="I84" s="2"/>
      <c r="J84" s="6">
        <f t="shared" si="37"/>
        <v>2.7526554369179286E-7</v>
      </c>
      <c r="K84" s="2"/>
      <c r="L84" s="7">
        <f t="shared" si="38"/>
        <v>-0.47</v>
      </c>
      <c r="M84" s="2"/>
      <c r="N84" s="6">
        <f t="shared" si="39"/>
        <v>-1</v>
      </c>
      <c r="O84" s="11"/>
      <c r="P84" s="7"/>
      <c r="Q84" s="2"/>
      <c r="R84" s="6">
        <f t="shared" si="40"/>
        <v>0</v>
      </c>
      <c r="S84" s="2"/>
      <c r="T84" s="7">
        <v>0.47</v>
      </c>
      <c r="U84" s="2"/>
      <c r="V84" s="6">
        <f t="shared" si="41"/>
        <v>2.5839579621047062E-7</v>
      </c>
      <c r="W84" s="2"/>
      <c r="X84" s="7">
        <f t="shared" si="42"/>
        <v>-0.47</v>
      </c>
      <c r="Y84" s="2"/>
      <c r="Z84" s="6">
        <f t="shared" si="43"/>
        <v>-1</v>
      </c>
    </row>
    <row r="85" spans="1:26" s="27" customFormat="1" outlineLevel="1" collapsed="1" x14ac:dyDescent="0.25">
      <c r="A85" s="28"/>
      <c r="B85" s="14" t="str">
        <f>CONCATENATE("     ","General                                           ")</f>
        <v xml:space="preserve">     General                                           </v>
      </c>
      <c r="C85" s="14"/>
      <c r="D85" s="1">
        <f>SUM(OSRRefD22_7x_0)</f>
        <v>0</v>
      </c>
      <c r="E85" s="1"/>
      <c r="F85" s="5">
        <f t="shared" ref="F85:F91" si="44">IF(D$12=0,0,D85/D$12)</f>
        <v>0</v>
      </c>
      <c r="G85" s="1"/>
      <c r="H85" s="1">
        <f>SUM(OSRRefH22_7x_0)</f>
        <v>52</v>
      </c>
      <c r="I85" s="1"/>
      <c r="J85" s="5">
        <f t="shared" ref="J85:J91" si="45">IF(H$12=0,0,H85/H$12)</f>
        <v>3.0454911216964317E-5</v>
      </c>
      <c r="K85" s="1"/>
      <c r="L85" s="1">
        <f t="shared" ref="L85:L91" si="46">+D85-H85</f>
        <v>-52</v>
      </c>
      <c r="M85" s="1"/>
      <c r="N85" s="5">
        <f t="shared" ref="N85:N91" si="47">IF(H85=0,0,L85/H85)</f>
        <v>-1</v>
      </c>
      <c r="O85" s="14"/>
      <c r="P85" s="1">
        <f>SUM(OSRRefP22_7x_0)</f>
        <v>7.84</v>
      </c>
      <c r="Q85" s="1"/>
      <c r="R85" s="5">
        <f t="shared" ref="R85:R91" si="48">IF(P$12=0,0,P85/P$12)</f>
        <v>5.1069896749045406E-6</v>
      </c>
      <c r="S85" s="1"/>
      <c r="T85" s="1">
        <f>SUM(OSRRefT22_7x_0)</f>
        <v>-576.58000000000004</v>
      </c>
      <c r="U85" s="1"/>
      <c r="V85" s="5">
        <f t="shared" ref="V85:V91" si="49">IF(T$12=0,0,T85/T$12)</f>
        <v>-3.1699116633836845E-4</v>
      </c>
      <c r="W85" s="1"/>
      <c r="X85" s="1">
        <f t="shared" ref="X85:X91" si="50">+P85-T85</f>
        <v>584.42000000000007</v>
      </c>
      <c r="Y85" s="1"/>
      <c r="Z85" s="5">
        <f t="shared" ref="Z85:Z91" si="51">IF(T85=0,0,X85/T85)</f>
        <v>-1.0135974192653232</v>
      </c>
    </row>
    <row r="86" spans="1:26" s="24" customFormat="1" hidden="1" outlineLevel="2" x14ac:dyDescent="0.25">
      <c r="A86" s="29"/>
      <c r="B86" s="11" t="str">
        <f>CONCATENATE("          ", "6279", " - ", "GENERAL EXPENSE")</f>
        <v xml:space="preserve">          6279 - GENERAL EXPENSE</v>
      </c>
      <c r="C86" s="11"/>
      <c r="D86" s="7"/>
      <c r="E86" s="2"/>
      <c r="F86" s="6">
        <f t="shared" si="44"/>
        <v>0</v>
      </c>
      <c r="G86" s="2"/>
      <c r="H86" s="7">
        <v>52</v>
      </c>
      <c r="I86" s="2"/>
      <c r="J86" s="6">
        <f t="shared" si="45"/>
        <v>3.0454911216964317E-5</v>
      </c>
      <c r="K86" s="2"/>
      <c r="L86" s="7">
        <f t="shared" si="46"/>
        <v>-52</v>
      </c>
      <c r="M86" s="2"/>
      <c r="N86" s="6">
        <f t="shared" si="47"/>
        <v>-1</v>
      </c>
      <c r="O86" s="11"/>
      <c r="P86" s="7">
        <v>7.84</v>
      </c>
      <c r="Q86" s="2"/>
      <c r="R86" s="6">
        <f t="shared" si="48"/>
        <v>5.1069896749045406E-6</v>
      </c>
      <c r="S86" s="2"/>
      <c r="T86" s="7">
        <v>-576.58000000000004</v>
      </c>
      <c r="U86" s="2"/>
      <c r="V86" s="6">
        <f t="shared" si="49"/>
        <v>-3.1699116633836845E-4</v>
      </c>
      <c r="W86" s="2"/>
      <c r="X86" s="7">
        <f t="shared" si="50"/>
        <v>584.42000000000007</v>
      </c>
      <c r="Y86" s="2"/>
      <c r="Z86" s="6">
        <f t="shared" si="51"/>
        <v>-1.0135974192653232</v>
      </c>
    </row>
    <row r="87" spans="1:26" s="27" customFormat="1" outlineLevel="1" collapsed="1" x14ac:dyDescent="0.25">
      <c r="A87" s="28"/>
      <c r="B87" s="14" t="str">
        <f>CONCATENATE("     ","Inventory Adjustment                              ")</f>
        <v xml:space="preserve">     Inventory Adjustment                              </v>
      </c>
      <c r="C87" s="14"/>
      <c r="D87" s="1">
        <f>SUM(OSRRefD22_8x_0)</f>
        <v>1000</v>
      </c>
      <c r="E87" s="1"/>
      <c r="F87" s="5">
        <f t="shared" si="44"/>
        <v>6.8605226250088435E-4</v>
      </c>
      <c r="G87" s="1"/>
      <c r="H87" s="1">
        <f>SUM(OSRRefH22_8x_0)</f>
        <v>6950</v>
      </c>
      <c r="I87" s="1"/>
      <c r="J87" s="5">
        <f t="shared" si="45"/>
        <v>4.0704160184211928E-3</v>
      </c>
      <c r="K87" s="1"/>
      <c r="L87" s="1">
        <f t="shared" si="46"/>
        <v>-5950</v>
      </c>
      <c r="M87" s="1"/>
      <c r="N87" s="5">
        <f t="shared" si="47"/>
        <v>-0.85611510791366907</v>
      </c>
      <c r="O87" s="14"/>
      <c r="P87" s="1">
        <f>SUM(OSRRefP22_8x_0)</f>
        <v>2000</v>
      </c>
      <c r="Q87" s="1"/>
      <c r="R87" s="5">
        <f t="shared" si="48"/>
        <v>1.3028034884960563E-3</v>
      </c>
      <c r="S87" s="1"/>
      <c r="T87" s="1">
        <f>SUM(OSRRefT22_8x_0)</f>
        <v>13900</v>
      </c>
      <c r="U87" s="1"/>
      <c r="V87" s="5">
        <f t="shared" si="49"/>
        <v>7.6419182283522166E-3</v>
      </c>
      <c r="W87" s="1"/>
      <c r="X87" s="1">
        <f t="shared" si="50"/>
        <v>-11900</v>
      </c>
      <c r="Y87" s="1"/>
      <c r="Z87" s="5">
        <f t="shared" si="51"/>
        <v>-0.85611510791366907</v>
      </c>
    </row>
    <row r="88" spans="1:26" s="24" customFormat="1" hidden="1" outlineLevel="2" x14ac:dyDescent="0.25">
      <c r="A88" s="29"/>
      <c r="B88" s="11" t="str">
        <f>CONCATENATE("          ", "6408", " - ", "INVENTORY ADJUSTMENT")</f>
        <v xml:space="preserve">          6408 - INVENTORY ADJUSTMENT</v>
      </c>
      <c r="C88" s="11"/>
      <c r="D88" s="7">
        <v>1000</v>
      </c>
      <c r="E88" s="2"/>
      <c r="F88" s="6">
        <f t="shared" si="44"/>
        <v>6.8605226250088435E-4</v>
      </c>
      <c r="G88" s="2"/>
      <c r="H88" s="7">
        <v>6950</v>
      </c>
      <c r="I88" s="2"/>
      <c r="J88" s="6">
        <f t="shared" si="45"/>
        <v>4.0704160184211928E-3</v>
      </c>
      <c r="K88" s="2"/>
      <c r="L88" s="7">
        <f t="shared" si="46"/>
        <v>-5950</v>
      </c>
      <c r="M88" s="2"/>
      <c r="N88" s="6">
        <f t="shared" si="47"/>
        <v>-0.85611510791366907</v>
      </c>
      <c r="O88" s="11"/>
      <c r="P88" s="7">
        <v>2000</v>
      </c>
      <c r="Q88" s="2"/>
      <c r="R88" s="6">
        <f t="shared" si="48"/>
        <v>1.3028034884960563E-3</v>
      </c>
      <c r="S88" s="2"/>
      <c r="T88" s="7">
        <v>13900</v>
      </c>
      <c r="U88" s="2"/>
      <c r="V88" s="6">
        <f t="shared" si="49"/>
        <v>7.6419182283522166E-3</v>
      </c>
      <c r="W88" s="2"/>
      <c r="X88" s="7">
        <f t="shared" si="50"/>
        <v>-11900</v>
      </c>
      <c r="Y88" s="2"/>
      <c r="Z88" s="6">
        <f t="shared" si="51"/>
        <v>-0.85611510791366907</v>
      </c>
    </row>
    <row r="89" spans="1:26" s="27" customFormat="1" outlineLevel="1" collapsed="1" x14ac:dyDescent="0.25">
      <c r="A89" s="28"/>
      <c r="B89" s="14" t="str">
        <f>CONCATENATE("     ","Repair and Maintenance                            ")</f>
        <v xml:space="preserve">     Repair and Maintenance                            </v>
      </c>
      <c r="C89" s="14"/>
      <c r="D89" s="1">
        <f>SUM(OSRRefD22_9x_0)</f>
        <v>28.96</v>
      </c>
      <c r="E89" s="1"/>
      <c r="F89" s="5">
        <f t="shared" si="44"/>
        <v>1.9868073522025609E-5</v>
      </c>
      <c r="G89" s="1"/>
      <c r="H89" s="1">
        <f>SUM(OSRRefH22_9x_0)</f>
        <v>107.38</v>
      </c>
      <c r="I89" s="1"/>
      <c r="J89" s="5">
        <f t="shared" si="45"/>
        <v>6.2889391663031313E-5</v>
      </c>
      <c r="K89" s="1"/>
      <c r="L89" s="1">
        <f t="shared" si="46"/>
        <v>-78.419999999999987</v>
      </c>
      <c r="M89" s="1"/>
      <c r="N89" s="5">
        <f t="shared" si="47"/>
        <v>-0.73030359471037432</v>
      </c>
      <c r="O89" s="14"/>
      <c r="P89" s="1">
        <f>SUM(OSRRefP22_9x_0)</f>
        <v>49.42</v>
      </c>
      <c r="Q89" s="1"/>
      <c r="R89" s="5">
        <f t="shared" si="48"/>
        <v>3.2192274200737554E-5</v>
      </c>
      <c r="S89" s="1"/>
      <c r="T89" s="1">
        <f>SUM(OSRRefT22_9x_0)</f>
        <v>224.45999999999998</v>
      </c>
      <c r="U89" s="1"/>
      <c r="V89" s="5">
        <f t="shared" si="49"/>
        <v>1.2340323493064304E-4</v>
      </c>
      <c r="W89" s="1"/>
      <c r="X89" s="1">
        <f t="shared" si="50"/>
        <v>-175.03999999999996</v>
      </c>
      <c r="Y89" s="1"/>
      <c r="Z89" s="5">
        <f t="shared" si="51"/>
        <v>-0.77982714069321923</v>
      </c>
    </row>
    <row r="90" spans="1:26" s="24" customFormat="1" hidden="1" outlineLevel="2" x14ac:dyDescent="0.25">
      <c r="A90" s="29"/>
      <c r="B90" s="11" t="str">
        <f>CONCATENATE("          ", "6373", " - ", "MAINTENANCE CONTRACTS")</f>
        <v xml:space="preserve">          6373 - MAINTENANCE CONTRACTS</v>
      </c>
      <c r="C90" s="11"/>
      <c r="D90" s="7">
        <v>28.96</v>
      </c>
      <c r="E90" s="2"/>
      <c r="F90" s="6">
        <f t="shared" si="44"/>
        <v>1.9868073522025609E-5</v>
      </c>
      <c r="G90" s="2"/>
      <c r="H90" s="7">
        <v>29.38</v>
      </c>
      <c r="I90" s="2"/>
      <c r="J90" s="6">
        <f t="shared" si="45"/>
        <v>1.7207024837584839E-5</v>
      </c>
      <c r="K90" s="2"/>
      <c r="L90" s="7">
        <f t="shared" si="46"/>
        <v>-0.41999999999999815</v>
      </c>
      <c r="M90" s="2"/>
      <c r="N90" s="6">
        <f t="shared" si="47"/>
        <v>-1.4295439074200073E-2</v>
      </c>
      <c r="O90" s="11"/>
      <c r="P90" s="7">
        <v>49.42</v>
      </c>
      <c r="Q90" s="2"/>
      <c r="R90" s="6">
        <f t="shared" si="48"/>
        <v>3.2192274200737554E-5</v>
      </c>
      <c r="S90" s="2"/>
      <c r="T90" s="7">
        <v>68.459999999999994</v>
      </c>
      <c r="U90" s="2"/>
      <c r="V90" s="6">
        <f t="shared" si="49"/>
        <v>3.7637821720359188E-5</v>
      </c>
      <c r="W90" s="2"/>
      <c r="X90" s="7">
        <f t="shared" si="50"/>
        <v>-19.039999999999992</v>
      </c>
      <c r="Y90" s="2"/>
      <c r="Z90" s="6">
        <f t="shared" si="51"/>
        <v>-0.27811860940695288</v>
      </c>
    </row>
    <row r="91" spans="1:26" s="24" customFormat="1" hidden="1" outlineLevel="2" x14ac:dyDescent="0.25">
      <c r="A91" s="29"/>
      <c r="B91" s="11" t="str">
        <f>CONCATENATE("          ", "6375", " - ", "OUTSIDE REPAIRS &amp; MAINTENANCE")</f>
        <v xml:space="preserve">          6375 - OUTSIDE REPAIRS &amp; MAINTENANCE</v>
      </c>
      <c r="C91" s="11"/>
      <c r="D91" s="7"/>
      <c r="E91" s="2"/>
      <c r="F91" s="6">
        <f t="shared" si="44"/>
        <v>0</v>
      </c>
      <c r="G91" s="2"/>
      <c r="H91" s="7">
        <v>78</v>
      </c>
      <c r="I91" s="2"/>
      <c r="J91" s="6">
        <f t="shared" si="45"/>
        <v>4.5682366825446477E-5</v>
      </c>
      <c r="K91" s="2"/>
      <c r="L91" s="7">
        <f t="shared" si="46"/>
        <v>-78</v>
      </c>
      <c r="M91" s="2"/>
      <c r="N91" s="6">
        <f t="shared" si="47"/>
        <v>-1</v>
      </c>
      <c r="O91" s="11"/>
      <c r="P91" s="7"/>
      <c r="Q91" s="2"/>
      <c r="R91" s="6">
        <f t="shared" si="48"/>
        <v>0</v>
      </c>
      <c r="S91" s="2"/>
      <c r="T91" s="7">
        <v>156</v>
      </c>
      <c r="U91" s="2"/>
      <c r="V91" s="6">
        <f t="shared" si="49"/>
        <v>8.5765413210283877E-5</v>
      </c>
      <c r="W91" s="2"/>
      <c r="X91" s="7">
        <f t="shared" si="50"/>
        <v>-156</v>
      </c>
      <c r="Y91" s="2"/>
      <c r="Z91" s="6">
        <f t="shared" si="51"/>
        <v>-1</v>
      </c>
    </row>
    <row r="92" spans="1:26" s="27" customFormat="1" outlineLevel="1" collapsed="1" x14ac:dyDescent="0.25">
      <c r="A92" s="28"/>
      <c r="B92" s="14" t="str">
        <f>CONCATENATE("     ","Subscriptions &amp; Dues                              ")</f>
        <v xml:space="preserve">     Subscriptions &amp; Dues                              </v>
      </c>
      <c r="C92" s="14"/>
      <c r="D92" s="1">
        <f>SUM(OSRRefD22_10x_0)</f>
        <v>250</v>
      </c>
      <c r="E92" s="1"/>
      <c r="F92" s="5">
        <f t="shared" ref="F92:F97" si="52">IF(D$12=0,0,D92/D$12)</f>
        <v>1.7151306562522109E-4</v>
      </c>
      <c r="G92" s="1"/>
      <c r="H92" s="1">
        <f>SUM(OSRRefH22_10x_0)</f>
        <v>272.10000000000002</v>
      </c>
      <c r="I92" s="1"/>
      <c r="J92" s="5">
        <f t="shared" ref="J92:J97" si="53">IF(H$12=0,0,H92/H$12)</f>
        <v>1.5936117965646137E-4</v>
      </c>
      <c r="K92" s="1"/>
      <c r="L92" s="1">
        <f t="shared" ref="L92:L97" si="54">+D92-H92</f>
        <v>-22.100000000000023</v>
      </c>
      <c r="M92" s="1"/>
      <c r="N92" s="5">
        <f t="shared" ref="N92:N97" si="55">IF(H92=0,0,L92/H92)</f>
        <v>-8.122013965453885E-2</v>
      </c>
      <c r="O92" s="14"/>
      <c r="P92" s="1">
        <f>SUM(OSRRefP22_10x_0)</f>
        <v>538.85</v>
      </c>
      <c r="Q92" s="1"/>
      <c r="R92" s="5">
        <f t="shared" ref="R92:R97" si="56">IF(P$12=0,0,P92/P$12)</f>
        <v>3.5100782988805001E-4</v>
      </c>
      <c r="S92" s="1"/>
      <c r="T92" s="1">
        <f>SUM(OSRRefT22_10x_0)</f>
        <v>522.1</v>
      </c>
      <c r="U92" s="1"/>
      <c r="V92" s="5">
        <f t="shared" ref="V92:V97" si="57">IF(T$12=0,0,T92/T$12)</f>
        <v>2.8703924510954621E-4</v>
      </c>
      <c r="W92" s="1"/>
      <c r="X92" s="1">
        <f t="shared" ref="X92:X97" si="58">+P92-T92</f>
        <v>16.75</v>
      </c>
      <c r="Y92" s="1"/>
      <c r="Z92" s="5">
        <f t="shared" ref="Z92:Z97" si="59">IF(T92=0,0,X92/T92)</f>
        <v>3.2081976632828961E-2</v>
      </c>
    </row>
    <row r="93" spans="1:26" s="24" customFormat="1" hidden="1" outlineLevel="2" x14ac:dyDescent="0.25">
      <c r="A93" s="29"/>
      <c r="B93" s="11" t="str">
        <f>CONCATENATE("          ", "6258", " - ", "MEMBERSHIP DUES")</f>
        <v xml:space="preserve">          6258 - MEMBERSHIP DUES</v>
      </c>
      <c r="C93" s="11"/>
      <c r="D93" s="7">
        <v>250</v>
      </c>
      <c r="E93" s="2"/>
      <c r="F93" s="6">
        <f t="shared" si="52"/>
        <v>1.7151306562522109E-4</v>
      </c>
      <c r="G93" s="2"/>
      <c r="H93" s="7">
        <v>272.10000000000002</v>
      </c>
      <c r="I93" s="2"/>
      <c r="J93" s="6">
        <f t="shared" si="53"/>
        <v>1.5936117965646137E-4</v>
      </c>
      <c r="K93" s="2"/>
      <c r="L93" s="7">
        <f t="shared" si="54"/>
        <v>-22.100000000000023</v>
      </c>
      <c r="M93" s="2"/>
      <c r="N93" s="6">
        <f t="shared" si="55"/>
        <v>-8.122013965453885E-2</v>
      </c>
      <c r="O93" s="11"/>
      <c r="P93" s="7">
        <v>538.85</v>
      </c>
      <c r="Q93" s="2"/>
      <c r="R93" s="6">
        <f t="shared" si="56"/>
        <v>3.5100782988805001E-4</v>
      </c>
      <c r="S93" s="2"/>
      <c r="T93" s="7">
        <v>522.1</v>
      </c>
      <c r="U93" s="2"/>
      <c r="V93" s="6">
        <f t="shared" si="57"/>
        <v>2.8703924510954621E-4</v>
      </c>
      <c r="W93" s="2"/>
      <c r="X93" s="7">
        <f t="shared" si="58"/>
        <v>16.75</v>
      </c>
      <c r="Y93" s="2"/>
      <c r="Z93" s="6">
        <f t="shared" si="59"/>
        <v>3.2081976632828961E-2</v>
      </c>
    </row>
    <row r="94" spans="1:26" s="27" customFormat="1" outlineLevel="1" collapsed="1" x14ac:dyDescent="0.25">
      <c r="A94" s="28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SUM(OSRRefD22_11x_0)</f>
        <v>6921.99</v>
      </c>
      <c r="E94" s="1"/>
      <c r="F94" s="5">
        <f t="shared" si="52"/>
        <v>4.748846900508496E-3</v>
      </c>
      <c r="G94" s="1"/>
      <c r="H94" s="1">
        <f>SUM(OSRRefH22_11x_0)</f>
        <v>2702.61</v>
      </c>
      <c r="I94" s="1"/>
      <c r="J94" s="5">
        <f t="shared" si="53"/>
        <v>1.5828413000784603E-3</v>
      </c>
      <c r="K94" s="1"/>
      <c r="L94" s="1">
        <f t="shared" si="54"/>
        <v>4219.3799999999992</v>
      </c>
      <c r="M94" s="1"/>
      <c r="N94" s="5">
        <f t="shared" si="55"/>
        <v>1.5612241499883441</v>
      </c>
      <c r="O94" s="14"/>
      <c r="P94" s="1">
        <f>SUM(OSRRefP22_11x_0)</f>
        <v>7199.55</v>
      </c>
      <c r="Q94" s="1"/>
      <c r="R94" s="5">
        <f t="shared" si="56"/>
        <v>4.6897994278008916E-3</v>
      </c>
      <c r="S94" s="1"/>
      <c r="T94" s="1">
        <f>SUM(OSRRefT22_11x_0)</f>
        <v>3875.3199999999997</v>
      </c>
      <c r="U94" s="1"/>
      <c r="V94" s="5">
        <f t="shared" si="57"/>
        <v>2.1305668020645979E-3</v>
      </c>
      <c r="W94" s="1"/>
      <c r="X94" s="1">
        <f t="shared" si="58"/>
        <v>3324.2300000000005</v>
      </c>
      <c r="Y94" s="1"/>
      <c r="Z94" s="5">
        <f t="shared" si="59"/>
        <v>0.85779496918964127</v>
      </c>
    </row>
    <row r="95" spans="1:26" s="24" customFormat="1" hidden="1" outlineLevel="2" x14ac:dyDescent="0.25">
      <c r="A95" s="29"/>
      <c r="B95" s="11" t="str">
        <f>CONCATENATE("          ", "6241", " - ", "OFFICE EXPENSE")</f>
        <v xml:space="preserve">          6241 - OFFICE EXPENSE</v>
      </c>
      <c r="C95" s="11"/>
      <c r="D95" s="7">
        <v>1943.91</v>
      </c>
      <c r="E95" s="2"/>
      <c r="F95" s="6">
        <f t="shared" si="52"/>
        <v>1.333623853598094E-3</v>
      </c>
      <c r="G95" s="2"/>
      <c r="H95" s="7">
        <v>81.17</v>
      </c>
      <c r="I95" s="2"/>
      <c r="J95" s="6">
        <f t="shared" si="53"/>
        <v>4.7538945066942189E-5</v>
      </c>
      <c r="K95" s="2"/>
      <c r="L95" s="7">
        <f t="shared" si="54"/>
        <v>1862.74</v>
      </c>
      <c r="M95" s="2"/>
      <c r="N95" s="6">
        <f t="shared" si="55"/>
        <v>22.948626339780706</v>
      </c>
      <c r="O95" s="11"/>
      <c r="P95" s="7">
        <v>2205.08</v>
      </c>
      <c r="Q95" s="2"/>
      <c r="R95" s="6">
        <f t="shared" si="56"/>
        <v>1.4363929582064418E-3</v>
      </c>
      <c r="S95" s="2"/>
      <c r="T95" s="7">
        <v>310.77999999999997</v>
      </c>
      <c r="U95" s="2"/>
      <c r="V95" s="6">
        <f t="shared" si="57"/>
        <v>1.7086009690700011E-4</v>
      </c>
      <c r="W95" s="2"/>
      <c r="X95" s="7">
        <f t="shared" si="58"/>
        <v>1894.3</v>
      </c>
      <c r="Y95" s="2"/>
      <c r="Z95" s="6">
        <f t="shared" si="59"/>
        <v>6.0953085784156</v>
      </c>
    </row>
    <row r="96" spans="1:26" s="24" customFormat="1" hidden="1" outlineLevel="2" x14ac:dyDescent="0.25">
      <c r="A96" s="29"/>
      <c r="B96" s="11" t="str">
        <f>CONCATENATE("          ", "6245", " - ", "PRINTING")</f>
        <v xml:space="preserve">          6245 - PRINTING</v>
      </c>
      <c r="C96" s="11"/>
      <c r="D96" s="7">
        <v>4978.08</v>
      </c>
      <c r="E96" s="2"/>
      <c r="F96" s="6">
        <f t="shared" si="52"/>
        <v>3.415223046910402E-3</v>
      </c>
      <c r="G96" s="2"/>
      <c r="H96" s="7">
        <v>502.52</v>
      </c>
      <c r="I96" s="2"/>
      <c r="J96" s="6">
        <f t="shared" si="53"/>
        <v>2.9431157662978673E-4</v>
      </c>
      <c r="K96" s="2"/>
      <c r="L96" s="7">
        <f t="shared" si="54"/>
        <v>4475.5599999999995</v>
      </c>
      <c r="M96" s="2"/>
      <c r="N96" s="6">
        <f t="shared" si="55"/>
        <v>8.9062325877577013</v>
      </c>
      <c r="O96" s="11"/>
      <c r="P96" s="7">
        <v>4978.08</v>
      </c>
      <c r="Q96" s="2"/>
      <c r="R96" s="6">
        <f t="shared" si="56"/>
        <v>3.2427299950062239E-3</v>
      </c>
      <c r="S96" s="2"/>
      <c r="T96" s="7">
        <v>509.8</v>
      </c>
      <c r="U96" s="2"/>
      <c r="V96" s="6">
        <f t="shared" si="57"/>
        <v>2.802769721448892E-4</v>
      </c>
      <c r="W96" s="2"/>
      <c r="X96" s="7">
        <f t="shared" si="58"/>
        <v>4468.28</v>
      </c>
      <c r="Y96" s="2"/>
      <c r="Z96" s="6">
        <f t="shared" si="59"/>
        <v>8.7647704982346006</v>
      </c>
    </row>
    <row r="97" spans="1:26" s="24" customFormat="1" hidden="1" outlineLevel="2" x14ac:dyDescent="0.25">
      <c r="A97" s="29"/>
      <c r="B97" s="11" t="str">
        <f>CONCATENATE("          ", "6247", " - ", "STORE SUPPLIES")</f>
        <v xml:space="preserve">          6247 - STORE SUPPLIES</v>
      </c>
      <c r="C97" s="11"/>
      <c r="D97" s="7"/>
      <c r="E97" s="2"/>
      <c r="F97" s="6">
        <f t="shared" si="52"/>
        <v>0</v>
      </c>
      <c r="G97" s="2"/>
      <c r="H97" s="7">
        <v>2118.92</v>
      </c>
      <c r="I97" s="2"/>
      <c r="J97" s="6">
        <f t="shared" si="53"/>
        <v>1.2409907783817314E-3</v>
      </c>
      <c r="K97" s="2"/>
      <c r="L97" s="7">
        <f t="shared" si="54"/>
        <v>-2118.92</v>
      </c>
      <c r="M97" s="2"/>
      <c r="N97" s="6">
        <f t="shared" si="55"/>
        <v>-1</v>
      </c>
      <c r="O97" s="11"/>
      <c r="P97" s="7">
        <v>16.39</v>
      </c>
      <c r="Q97" s="2"/>
      <c r="R97" s="6">
        <f t="shared" si="56"/>
        <v>1.0676474588225182E-5</v>
      </c>
      <c r="S97" s="2"/>
      <c r="T97" s="7">
        <v>3054.74</v>
      </c>
      <c r="U97" s="2"/>
      <c r="V97" s="6">
        <f t="shared" si="57"/>
        <v>1.6794297330127086E-3</v>
      </c>
      <c r="W97" s="2"/>
      <c r="X97" s="7">
        <f t="shared" si="58"/>
        <v>-3038.35</v>
      </c>
      <c r="Y97" s="2"/>
      <c r="Z97" s="6">
        <f t="shared" si="59"/>
        <v>-0.99463456791740057</v>
      </c>
    </row>
    <row r="98" spans="1:26" s="27" customFormat="1" outlineLevel="1" collapsed="1" x14ac:dyDescent="0.25">
      <c r="A98" s="28"/>
      <c r="B98" s="14" t="str">
        <f>CONCATENATE("     ","Telephone/Data Lines                              ")</f>
        <v xml:space="preserve">     Telephone/Data Lines                              </v>
      </c>
      <c r="C98" s="14"/>
      <c r="D98" s="1">
        <f>SUM(OSRRefD22_12x_0)</f>
        <v>830.15</v>
      </c>
      <c r="E98" s="1"/>
      <c r="F98" s="5">
        <f t="shared" ref="F98:F100" si="60">IF(D$12=0,0,D98/D$12)</f>
        <v>5.6952628571510912E-4</v>
      </c>
      <c r="G98" s="1"/>
      <c r="H98" s="1">
        <f>SUM(OSRRefH22_12x_0)</f>
        <v>1115.75</v>
      </c>
      <c r="I98" s="1"/>
      <c r="J98" s="5">
        <f t="shared" ref="J98:J100" si="61">IF(H$12=0,0,H98/H$12)</f>
        <v>6.5346283058322963E-4</v>
      </c>
      <c r="K98" s="1"/>
      <c r="L98" s="1">
        <f t="shared" ref="L98:L100" si="62">+D98-H98</f>
        <v>-285.60000000000002</v>
      </c>
      <c r="M98" s="1"/>
      <c r="N98" s="5">
        <f t="shared" ref="N98:N100" si="63">IF(H98=0,0,L98/H98)</f>
        <v>-0.25597131974008519</v>
      </c>
      <c r="O98" s="14"/>
      <c r="P98" s="1">
        <f>SUM(OSRRefP22_12x_0)</f>
        <v>1354.5</v>
      </c>
      <c r="Q98" s="1"/>
      <c r="R98" s="5">
        <f t="shared" ref="R98:R100" si="64">IF(P$12=0,0,P98/P$12)</f>
        <v>8.8232366258395414E-4</v>
      </c>
      <c r="S98" s="1"/>
      <c r="T98" s="1">
        <f>SUM(OSRRefT22_12x_0)</f>
        <v>1360.2</v>
      </c>
      <c r="U98" s="1"/>
      <c r="V98" s="5">
        <f t="shared" ref="V98:V100" si="65">IF(T$12=0,0,T98/T$12)</f>
        <v>7.4780842979889827E-4</v>
      </c>
      <c r="W98" s="1"/>
      <c r="X98" s="1">
        <f t="shared" ref="X98:X100" si="66">+P98-T98</f>
        <v>-5.7000000000000455</v>
      </c>
      <c r="Y98" s="1"/>
      <c r="Z98" s="5">
        <f t="shared" ref="Z98:Z100" si="67">IF(T98=0,0,X98/T98)</f>
        <v>-4.1905602117336023E-3</v>
      </c>
    </row>
    <row r="99" spans="1:26" s="24" customFormat="1" hidden="1" outlineLevel="2" x14ac:dyDescent="0.25">
      <c r="A99" s="29"/>
      <c r="B99" s="11" t="str">
        <f>CONCATENATE("          ", "6303", " - ", "DATA PHONE LINES")</f>
        <v xml:space="preserve">          6303 - DATA PHONE LINES</v>
      </c>
      <c r="C99" s="11"/>
      <c r="D99" s="7">
        <v>295</v>
      </c>
      <c r="E99" s="2"/>
      <c r="F99" s="6">
        <f t="shared" si="60"/>
        <v>2.0238541743776087E-4</v>
      </c>
      <c r="G99" s="2"/>
      <c r="H99" s="7">
        <v>590</v>
      </c>
      <c r="I99" s="2"/>
      <c r="J99" s="6">
        <f t="shared" si="61"/>
        <v>3.4554610803863361E-4</v>
      </c>
      <c r="K99" s="2"/>
      <c r="L99" s="7">
        <f t="shared" si="62"/>
        <v>-295</v>
      </c>
      <c r="M99" s="2"/>
      <c r="N99" s="6">
        <f t="shared" si="63"/>
        <v>-0.5</v>
      </c>
      <c r="O99" s="11"/>
      <c r="P99" s="7">
        <v>590</v>
      </c>
      <c r="Q99" s="2"/>
      <c r="R99" s="6">
        <f t="shared" si="64"/>
        <v>3.843270291063366E-4</v>
      </c>
      <c r="S99" s="2"/>
      <c r="T99" s="7">
        <v>590</v>
      </c>
      <c r="U99" s="2"/>
      <c r="V99" s="6">
        <f t="shared" si="65"/>
        <v>3.2436919098761209E-4</v>
      </c>
      <c r="W99" s="2"/>
      <c r="X99" s="7">
        <f t="shared" si="66"/>
        <v>0</v>
      </c>
      <c r="Y99" s="2"/>
      <c r="Z99" s="6">
        <f t="shared" si="67"/>
        <v>0</v>
      </c>
    </row>
    <row r="100" spans="1:26" s="24" customFormat="1" hidden="1" outlineLevel="2" x14ac:dyDescent="0.25">
      <c r="A100" s="29"/>
      <c r="B100" s="11" t="str">
        <f>CONCATENATE("          ", "6309", " - ", "TELEPHONE")</f>
        <v xml:space="preserve">          6309 - TELEPHONE</v>
      </c>
      <c r="C100" s="11"/>
      <c r="D100" s="7">
        <v>535.15</v>
      </c>
      <c r="E100" s="2"/>
      <c r="F100" s="6">
        <f t="shared" si="60"/>
        <v>3.671408682773482E-4</v>
      </c>
      <c r="G100" s="2"/>
      <c r="H100" s="7">
        <v>525.75</v>
      </c>
      <c r="I100" s="2"/>
      <c r="J100" s="6">
        <f t="shared" si="61"/>
        <v>3.0791672254459597E-4</v>
      </c>
      <c r="K100" s="2"/>
      <c r="L100" s="7">
        <f t="shared" si="62"/>
        <v>9.3999999999999773</v>
      </c>
      <c r="M100" s="2"/>
      <c r="N100" s="6">
        <f t="shared" si="63"/>
        <v>1.7879220161673755E-2</v>
      </c>
      <c r="O100" s="11"/>
      <c r="P100" s="7">
        <v>764.5</v>
      </c>
      <c r="Q100" s="2"/>
      <c r="R100" s="6">
        <f t="shared" si="64"/>
        <v>4.9799663347761748E-4</v>
      </c>
      <c r="S100" s="2"/>
      <c r="T100" s="7">
        <v>770.2</v>
      </c>
      <c r="U100" s="2"/>
      <c r="V100" s="6">
        <f t="shared" si="65"/>
        <v>4.2343923881128619E-4</v>
      </c>
      <c r="W100" s="2"/>
      <c r="X100" s="7">
        <f t="shared" si="66"/>
        <v>-5.7000000000000455</v>
      </c>
      <c r="Y100" s="2"/>
      <c r="Z100" s="6">
        <f t="shared" si="67"/>
        <v>-7.4006751493119255E-3</v>
      </c>
    </row>
    <row r="101" spans="1:26" s="27" customFormat="1" outlineLevel="1" collapsed="1" x14ac:dyDescent="0.25">
      <c r="A101" s="28"/>
      <c r="B101" s="14" t="str">
        <f>CONCATENATE("     ","Training                                          ")</f>
        <v xml:space="preserve">     Training                                          </v>
      </c>
      <c r="C101" s="14"/>
      <c r="D101" s="1">
        <f>SUM(OSRRefD22_13x_0)</f>
        <v>30.86</v>
      </c>
      <c r="E101" s="1"/>
      <c r="F101" s="5">
        <f t="shared" ref="F101:F104" si="68">IF(D$12=0,0,D101/D$12)</f>
        <v>2.117157282077729E-5</v>
      </c>
      <c r="G101" s="1"/>
      <c r="H101" s="1">
        <f>SUM(OSRRefH22_13x_0)</f>
        <v>0</v>
      </c>
      <c r="I101" s="1"/>
      <c r="J101" s="5">
        <f t="shared" ref="J101:J104" si="69">IF(H$12=0,0,H101/H$12)</f>
        <v>0</v>
      </c>
      <c r="K101" s="1"/>
      <c r="L101" s="1">
        <f t="shared" ref="L101:L104" si="70">+D101-H101</f>
        <v>30.86</v>
      </c>
      <c r="M101" s="1"/>
      <c r="N101" s="5">
        <f t="shared" ref="N101:N104" si="71">IF(H101=0,0,L101/H101)</f>
        <v>0</v>
      </c>
      <c r="O101" s="14"/>
      <c r="P101" s="1">
        <f>SUM(OSRRefP22_13x_0)</f>
        <v>547.47</v>
      </c>
      <c r="Q101" s="1"/>
      <c r="R101" s="5">
        <f t="shared" ref="R101:R104" si="72">IF(P$12=0,0,P101/P$12)</f>
        <v>3.5662291292346801E-4</v>
      </c>
      <c r="S101" s="1"/>
      <c r="T101" s="1">
        <f>SUM(OSRRefT22_13x_0)</f>
        <v>-1265.6600000000001</v>
      </c>
      <c r="U101" s="1"/>
      <c r="V101" s="5">
        <f t="shared" ref="V101:V104" si="73">IF(T$12=0,0,T101/T$12)</f>
        <v>-6.9583239028030695E-4</v>
      </c>
      <c r="W101" s="1"/>
      <c r="X101" s="1">
        <f t="shared" ref="X101:X104" si="74">+P101-T101</f>
        <v>1813.13</v>
      </c>
      <c r="Y101" s="1"/>
      <c r="Z101" s="5">
        <f t="shared" ref="Z101:Z104" si="75">IF(T101=0,0,X101/T101)</f>
        <v>-1.4325569268207892</v>
      </c>
    </row>
    <row r="102" spans="1:26" s="24" customFormat="1" hidden="1" outlineLevel="2" x14ac:dyDescent="0.25">
      <c r="A102" s="29"/>
      <c r="B102" s="11" t="str">
        <f>CONCATENATE("          ", "6376", " - ", "TRAINING")</f>
        <v xml:space="preserve">          6376 - TRAINING</v>
      </c>
      <c r="C102" s="11"/>
      <c r="D102" s="7">
        <v>30.86</v>
      </c>
      <c r="E102" s="2"/>
      <c r="F102" s="6">
        <f t="shared" si="68"/>
        <v>2.117157282077729E-5</v>
      </c>
      <c r="G102" s="2"/>
      <c r="H102" s="7"/>
      <c r="I102" s="2"/>
      <c r="J102" s="6">
        <f t="shared" si="69"/>
        <v>0</v>
      </c>
      <c r="K102" s="2"/>
      <c r="L102" s="7">
        <f t="shared" si="70"/>
        <v>30.86</v>
      </c>
      <c r="M102" s="2"/>
      <c r="N102" s="6">
        <f t="shared" si="71"/>
        <v>0</v>
      </c>
      <c r="O102" s="11"/>
      <c r="P102" s="7">
        <v>547.47</v>
      </c>
      <c r="Q102" s="2"/>
      <c r="R102" s="6">
        <f t="shared" si="72"/>
        <v>3.5662291292346801E-4</v>
      </c>
      <c r="S102" s="2"/>
      <c r="T102" s="7">
        <v>-1265.6600000000001</v>
      </c>
      <c r="U102" s="2"/>
      <c r="V102" s="6">
        <f t="shared" si="73"/>
        <v>-6.9583239028030695E-4</v>
      </c>
      <c r="W102" s="2"/>
      <c r="X102" s="7">
        <f t="shared" si="74"/>
        <v>1813.13</v>
      </c>
      <c r="Y102" s="2"/>
      <c r="Z102" s="6">
        <f t="shared" si="75"/>
        <v>-1.4325569268207892</v>
      </c>
    </row>
    <row r="103" spans="1:26" s="27" customFormat="1" outlineLevel="1" collapsed="1" x14ac:dyDescent="0.25">
      <c r="A103" s="28"/>
      <c r="B103" s="14" t="str">
        <f>CONCATENATE("     ","Travel                                            ")</f>
        <v xml:space="preserve">     Travel                                            </v>
      </c>
      <c r="C103" s="14"/>
      <c r="D103" s="1">
        <f>SUM(OSRRefD22_14x_0)</f>
        <v>0</v>
      </c>
      <c r="E103" s="1"/>
      <c r="F103" s="5">
        <f t="shared" si="68"/>
        <v>0</v>
      </c>
      <c r="G103" s="1"/>
      <c r="H103" s="1">
        <f>SUM(OSRRefH22_14x_0)</f>
        <v>103.48</v>
      </c>
      <c r="I103" s="1"/>
      <c r="J103" s="5">
        <f t="shared" si="69"/>
        <v>6.0605273321758997E-5</v>
      </c>
      <c r="K103" s="1"/>
      <c r="L103" s="1">
        <f t="shared" si="70"/>
        <v>-103.48</v>
      </c>
      <c r="M103" s="1"/>
      <c r="N103" s="5">
        <f t="shared" si="71"/>
        <v>-1</v>
      </c>
      <c r="O103" s="14"/>
      <c r="P103" s="1">
        <f>SUM(OSRRefP22_14x_0)</f>
        <v>0</v>
      </c>
      <c r="Q103" s="1"/>
      <c r="R103" s="5">
        <f t="shared" si="72"/>
        <v>0</v>
      </c>
      <c r="S103" s="1"/>
      <c r="T103" s="1">
        <f>SUM(OSRRefT22_14x_0)</f>
        <v>103.48</v>
      </c>
      <c r="U103" s="1"/>
      <c r="V103" s="5">
        <f t="shared" si="73"/>
        <v>5.6891057429488304E-5</v>
      </c>
      <c r="W103" s="1"/>
      <c r="X103" s="1">
        <f t="shared" si="74"/>
        <v>-103.48</v>
      </c>
      <c r="Y103" s="1"/>
      <c r="Z103" s="5">
        <f t="shared" si="75"/>
        <v>-1</v>
      </c>
    </row>
    <row r="104" spans="1:26" s="24" customFormat="1" hidden="1" outlineLevel="2" x14ac:dyDescent="0.25">
      <c r="A104" s="29"/>
      <c r="B104" s="11" t="str">
        <f>CONCATENATE("          ", "6292", " - ", "TRAVEL/CONFERENCE")</f>
        <v xml:space="preserve">          6292 - TRAVEL/CONFERENCE</v>
      </c>
      <c r="C104" s="11"/>
      <c r="D104" s="7"/>
      <c r="E104" s="2"/>
      <c r="F104" s="6">
        <f t="shared" si="68"/>
        <v>0</v>
      </c>
      <c r="G104" s="2"/>
      <c r="H104" s="7">
        <v>103.48</v>
      </c>
      <c r="I104" s="2"/>
      <c r="J104" s="6">
        <f t="shared" si="69"/>
        <v>6.0605273321758997E-5</v>
      </c>
      <c r="K104" s="2"/>
      <c r="L104" s="7">
        <f t="shared" si="70"/>
        <v>-103.48</v>
      </c>
      <c r="M104" s="2"/>
      <c r="N104" s="6">
        <f t="shared" si="71"/>
        <v>-1</v>
      </c>
      <c r="O104" s="11"/>
      <c r="P104" s="7"/>
      <c r="Q104" s="2"/>
      <c r="R104" s="6">
        <f t="shared" si="72"/>
        <v>0</v>
      </c>
      <c r="S104" s="2"/>
      <c r="T104" s="7">
        <v>103.48</v>
      </c>
      <c r="U104" s="2"/>
      <c r="V104" s="6">
        <f t="shared" si="73"/>
        <v>5.6891057429488304E-5</v>
      </c>
      <c r="W104" s="2"/>
      <c r="X104" s="7">
        <f t="shared" si="74"/>
        <v>-103.48</v>
      </c>
      <c r="Y104" s="2"/>
      <c r="Z104" s="6">
        <f t="shared" si="75"/>
        <v>-1</v>
      </c>
    </row>
    <row r="105" spans="1:26" s="62" customFormat="1" x14ac:dyDescent="0.25">
      <c r="A105" s="37"/>
      <c r="B105" s="37"/>
      <c r="C105" s="37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7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5" t="s">
        <v>0</v>
      </c>
      <c r="C106" s="10"/>
      <c r="D106" s="4">
        <f>SUM(OSRRefD25x_0)</f>
        <v>1899.3400000000001</v>
      </c>
      <c r="E106" s="4"/>
      <c r="F106" s="12">
        <f t="shared" ref="F106:F108" si="76">IF(D$12=0,0,D106/D$12)</f>
        <v>1.3030465042584297E-3</v>
      </c>
      <c r="G106" s="4"/>
      <c r="H106" s="4">
        <f>SUM(OSRRefH25x_0)</f>
        <v>5923.5199999999995</v>
      </c>
      <c r="I106" s="4"/>
      <c r="J106" s="12">
        <f t="shared" ref="J106:J108" si="77">IF(H$12=0,0,H106/H$12)</f>
        <v>3.4692360709983167E-3</v>
      </c>
      <c r="K106" s="4"/>
      <c r="L106" s="4">
        <f t="shared" ref="L106:L108" si="78">+D106-H106</f>
        <v>-4024.1799999999994</v>
      </c>
      <c r="M106" s="4"/>
      <c r="N106" s="12">
        <f t="shared" ref="N106:N108" si="79">IF(H106=0,0,L106/H106)</f>
        <v>-0.67935619361460753</v>
      </c>
      <c r="O106" s="10"/>
      <c r="P106" s="4">
        <f>SUM(OSRRefP25x_0)</f>
        <v>2326.1</v>
      </c>
      <c r="Q106" s="4"/>
      <c r="R106" s="12">
        <f t="shared" ref="R106:R108" si="80">IF(P$12=0,0,P106/P$12)</f>
        <v>1.5152255972953382E-3</v>
      </c>
      <c r="S106" s="4"/>
      <c r="T106" s="4">
        <f>SUM(OSRRefT25x_0)</f>
        <v>7225.5099999999993</v>
      </c>
      <c r="U106" s="4"/>
      <c r="V106" s="12">
        <f t="shared" ref="V106:V108" si="81">IF(T$12=0,0,T106/T$12)</f>
        <v>3.9724285308015269E-3</v>
      </c>
      <c r="W106" s="4"/>
      <c r="X106" s="4">
        <f t="shared" ref="X106:X108" si="82">+P106-T106</f>
        <v>-4899.41</v>
      </c>
      <c r="Y106" s="4"/>
      <c r="Z106" s="12">
        <f t="shared" ref="Z106:Z108" si="83">IF(T106=0,0,X106/T106)</f>
        <v>-0.67807116729476535</v>
      </c>
    </row>
    <row r="107" spans="1:26" s="24" customFormat="1" hidden="1" outlineLevel="1" x14ac:dyDescent="0.25">
      <c r="A107" s="50"/>
      <c r="B107" s="11" t="str">
        <f>CONCATENATE("          ", "9150", " - ", "MISC. INCOME")</f>
        <v xml:space="preserve">          9150 - MISC. INCOME</v>
      </c>
      <c r="C107" s="11"/>
      <c r="D107" s="2">
        <f>--1891.91</f>
        <v>1891.91</v>
      </c>
      <c r="E107" s="2"/>
      <c r="F107" s="21">
        <f t="shared" si="76"/>
        <v>1.297949135948048E-3</v>
      </c>
      <c r="G107" s="2"/>
      <c r="H107" s="2">
        <f>--5731.08</f>
        <v>5731.08</v>
      </c>
      <c r="I107" s="2"/>
      <c r="J107" s="21">
        <f t="shared" si="77"/>
        <v>3.3565294726407668E-3</v>
      </c>
      <c r="K107" s="2"/>
      <c r="L107" s="2">
        <f t="shared" si="78"/>
        <v>-3839.17</v>
      </c>
      <c r="M107" s="2"/>
      <c r="N107" s="21">
        <f t="shared" si="79"/>
        <v>-0.66988595517773264</v>
      </c>
      <c r="O107" s="11"/>
      <c r="P107" s="2">
        <f>--2318.67</f>
        <v>2318.67</v>
      </c>
      <c r="Q107" s="2"/>
      <c r="R107" s="21">
        <f t="shared" si="80"/>
        <v>1.5103856823355756E-3</v>
      </c>
      <c r="S107" s="2"/>
      <c r="T107" s="2">
        <f>--6260.73</f>
        <v>6260.73</v>
      </c>
      <c r="U107" s="2"/>
      <c r="V107" s="21">
        <f t="shared" si="81"/>
        <v>3.4420134323591058E-3</v>
      </c>
      <c r="W107" s="2"/>
      <c r="X107" s="2">
        <f t="shared" si="82"/>
        <v>-3942.0599999999995</v>
      </c>
      <c r="Y107" s="2"/>
      <c r="Z107" s="21">
        <f t="shared" si="83"/>
        <v>-0.62964861925047078</v>
      </c>
    </row>
    <row r="108" spans="1:26" s="24" customFormat="1" hidden="1" outlineLevel="1" x14ac:dyDescent="0.25">
      <c r="A108" s="50"/>
      <c r="B108" s="11" t="str">
        <f>CONCATENATE("          ", "9152", " - ", "MISC. INCOME")</f>
        <v xml:space="preserve">          9152 - MISC. INCOME</v>
      </c>
      <c r="C108" s="11"/>
      <c r="D108" s="2">
        <f>--7.43</f>
        <v>7.43</v>
      </c>
      <c r="E108" s="2"/>
      <c r="F108" s="21">
        <f t="shared" si="76"/>
        <v>5.0973683103815698E-6</v>
      </c>
      <c r="G108" s="2"/>
      <c r="H108" s="2">
        <f>--192.44</f>
        <v>192.44</v>
      </c>
      <c r="I108" s="2"/>
      <c r="J108" s="21">
        <f t="shared" si="77"/>
        <v>1.1270659835755026E-4</v>
      </c>
      <c r="K108" s="2"/>
      <c r="L108" s="2">
        <f t="shared" si="78"/>
        <v>-185.01</v>
      </c>
      <c r="M108" s="2"/>
      <c r="N108" s="21">
        <f t="shared" si="79"/>
        <v>-0.96139056329245476</v>
      </c>
      <c r="O108" s="11"/>
      <c r="P108" s="2">
        <f>--7.43</f>
        <v>7.43</v>
      </c>
      <c r="Q108" s="2"/>
      <c r="R108" s="21">
        <f t="shared" si="80"/>
        <v>4.8399149597628495E-6</v>
      </c>
      <c r="S108" s="2"/>
      <c r="T108" s="2">
        <f>--964.78</f>
        <v>964.78</v>
      </c>
      <c r="U108" s="2"/>
      <c r="V108" s="21">
        <f t="shared" si="81"/>
        <v>5.30415098442421E-4</v>
      </c>
      <c r="W108" s="2"/>
      <c r="X108" s="2">
        <f t="shared" si="82"/>
        <v>-957.35</v>
      </c>
      <c r="Y108" s="2"/>
      <c r="Z108" s="21">
        <f t="shared" si="83"/>
        <v>-0.9922987624121562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6" t="s">
        <v>3</v>
      </c>
      <c r="C110" s="26"/>
      <c r="D110" s="20">
        <f>+D54-D56+D106</f>
        <v>369234.57999999973</v>
      </c>
      <c r="E110" s="13"/>
      <c r="F110" s="19">
        <f>IF(D$12=0,0,D110/D$12)</f>
        <v>0.25331421900256357</v>
      </c>
      <c r="G110" s="13"/>
      <c r="H110" s="20">
        <f>+H54-H56+H106</f>
        <v>400370.61999999988</v>
      </c>
      <c r="I110" s="13"/>
      <c r="J110" s="19">
        <f>IF(H$12=0,0,H110/H$12)</f>
        <v>0.2344856093457876</v>
      </c>
      <c r="K110" s="15"/>
      <c r="L110" s="20">
        <f>+D110-H110</f>
        <v>-31136.040000000154</v>
      </c>
      <c r="M110" s="15"/>
      <c r="N110" s="19">
        <f>IF(H110=0,0,L110/H110)</f>
        <v>-7.7768044018814778E-2</v>
      </c>
      <c r="O110" s="25"/>
      <c r="P110" s="20">
        <f>+P54-P56+P106</f>
        <v>340918.56999999972</v>
      </c>
      <c r="Q110" s="13"/>
      <c r="R110" s="19">
        <f>IF(P$12=0,0,P110/P$12)</f>
        <v>0.22207495114454331</v>
      </c>
      <c r="S110" s="13"/>
      <c r="T110" s="20">
        <f>+T54-T56+T106</f>
        <v>382151.53999999992</v>
      </c>
      <c r="U110" s="13"/>
      <c r="V110" s="19">
        <f>IF(T$12=0,0,T110/T$12)</f>
        <v>0.21009862010927127</v>
      </c>
      <c r="W110" s="15"/>
      <c r="X110" s="20">
        <f>+P110-T110</f>
        <v>-41232.970000000205</v>
      </c>
      <c r="Y110" s="15"/>
      <c r="Z110" s="19">
        <f>IF(T110=0,0,X110/T110)</f>
        <v>-0.10789690916854663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1"/>
      <c r="B112" s="10" t="s">
        <v>13</v>
      </c>
      <c r="C112" s="10"/>
      <c r="D112" s="4">
        <v>175283.29</v>
      </c>
      <c r="E112" s="4"/>
      <c r="F112" s="12">
        <f>IF(D$12=0,0,D112/D$12)</f>
        <v>0.12025349768309863</v>
      </c>
      <c r="G112" s="4"/>
      <c r="H112" s="4">
        <v>162817.19</v>
      </c>
      <c r="I112" s="4"/>
      <c r="J112" s="12">
        <f>IF(H$12=0,0,H112/H$12)</f>
        <v>9.5357366654723288E-2</v>
      </c>
      <c r="K112" s="4"/>
      <c r="L112" s="4">
        <f>+D112-H112</f>
        <v>12466.100000000006</v>
      </c>
      <c r="M112" s="4"/>
      <c r="N112" s="12">
        <f>IF(H112=0,0,L112/H112)</f>
        <v>7.6565011348003281E-2</v>
      </c>
      <c r="O112" s="10"/>
      <c r="P112" s="4">
        <v>191405.32</v>
      </c>
      <c r="Q112" s="4"/>
      <c r="R112" s="12">
        <f>IF(P$12=0,0,P112/P$12)</f>
        <v>0.124681759306352</v>
      </c>
      <c r="S112" s="4"/>
      <c r="T112" s="4">
        <v>185702.64</v>
      </c>
      <c r="U112" s="4"/>
      <c r="V112" s="12">
        <f>IF(T$12=0,0,T112/T$12)</f>
        <v>0.10209527983231148</v>
      </c>
      <c r="W112" s="4"/>
      <c r="X112" s="4">
        <f>+P112-T112</f>
        <v>5702.679999999993</v>
      </c>
      <c r="Y112" s="4"/>
      <c r="Z112" s="12">
        <f>IF(T112=0,0,X112/T112)</f>
        <v>3.070866413099993E-2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4</v>
      </c>
      <c r="C114" s="26"/>
      <c r="D114" s="31">
        <f>+D110-D112</f>
        <v>193951.28999999972</v>
      </c>
      <c r="E114" s="13"/>
      <c r="F114" s="36">
        <f>IF(D$12=0,0,D114/D$12)</f>
        <v>0.13306072131946495</v>
      </c>
      <c r="G114" s="13"/>
      <c r="H114" s="31">
        <f>+H110-H112</f>
        <v>237553.42999999988</v>
      </c>
      <c r="I114" s="13"/>
      <c r="J114" s="36">
        <f>IF(H$12=0,0,H114/H$12)</f>
        <v>0.1391282426910643</v>
      </c>
      <c r="K114" s="15"/>
      <c r="L114" s="31">
        <f>D114-H114</f>
        <v>-43602.140000000159</v>
      </c>
      <c r="M114" s="15"/>
      <c r="N114" s="36">
        <f>IF(H114=0,0,L114/H114)</f>
        <v>-0.18354666569116759</v>
      </c>
      <c r="O114" s="25"/>
      <c r="P114" s="31">
        <f>+P110-P112</f>
        <v>149513.24999999971</v>
      </c>
      <c r="Q114" s="13"/>
      <c r="R114" s="36">
        <f>IF(P$12=0,0,P114/P$12)</f>
        <v>9.7393191838191312E-2</v>
      </c>
      <c r="S114" s="13"/>
      <c r="T114" s="31">
        <f>+T110-T112</f>
        <v>196448.89999999991</v>
      </c>
      <c r="U114" s="13"/>
      <c r="V114" s="36">
        <f>IF(T$12=0,0,T114/T$12)</f>
        <v>0.10800334027695979</v>
      </c>
      <c r="W114" s="15"/>
      <c r="X114" s="31">
        <f>P114-T114</f>
        <v>-46935.650000000198</v>
      </c>
      <c r="Y114" s="15"/>
      <c r="Z114" s="36">
        <f>IF(T114=0,0,X114/T114)</f>
        <v>-0.23892040118320959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6" t="s">
        <v>5</v>
      </c>
      <c r="C117" s="26"/>
      <c r="D117" s="32">
        <f>SUM(D114:D116)</f>
        <v>193951.28999999972</v>
      </c>
      <c r="E117" s="13"/>
      <c r="F117" s="30">
        <f>IF(D$12=0,0,D117/D$12)</f>
        <v>0.13306072131946495</v>
      </c>
      <c r="G117" s="13"/>
      <c r="H117" s="32">
        <f>SUM(H114:H116)</f>
        <v>237553.42999999988</v>
      </c>
      <c r="I117" s="13"/>
      <c r="J117" s="30">
        <f>IF(H$12=0,0,H117/H$12)</f>
        <v>0.1391282426910643</v>
      </c>
      <c r="K117" s="15"/>
      <c r="L117" s="32">
        <f>+D117-H117</f>
        <v>-43602.140000000159</v>
      </c>
      <c r="M117" s="15"/>
      <c r="N117" s="30">
        <f>IF(H117=0,0,L117/H117)</f>
        <v>-0.18354666569116759</v>
      </c>
      <c r="O117" s="25"/>
      <c r="P117" s="32">
        <f>SUM(P114:P116)</f>
        <v>149513.24999999971</v>
      </c>
      <c r="Q117" s="13"/>
      <c r="R117" s="30">
        <f>IF(P$12=0,0,P117/P$12)</f>
        <v>9.7393191838191312E-2</v>
      </c>
      <c r="S117" s="13"/>
      <c r="T117" s="32">
        <f>SUM(T114:T116)</f>
        <v>196448.89999999991</v>
      </c>
      <c r="U117" s="13"/>
      <c r="V117" s="30">
        <f>IF(T$12=0,0,T117/T$12)</f>
        <v>0.10800334027695979</v>
      </c>
      <c r="W117" s="15"/>
      <c r="X117" s="32">
        <f>+P117-T117</f>
        <v>-46935.650000000198</v>
      </c>
      <c r="Y117" s="15"/>
      <c r="Z117" s="30">
        <f>IF(T117=0,0,X117/T117)</f>
        <v>-0.23892040118320959</v>
      </c>
    </row>
    <row r="118" spans="1:26" ht="15.75" thickTop="1" x14ac:dyDescent="0.25">
      <c r="A118" s="9"/>
      <c r="C118" s="9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57">
        <v>43732.709685335649</v>
      </c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A120" s="9"/>
      <c r="B120" s="60" t="s">
        <v>313</v>
      </c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56"/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","324", " - ", "Textbook Rental")</f>
        <v>Department 324 - Textbook Rental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692067.47</v>
      </c>
      <c r="E12" s="4"/>
      <c r="F12" s="12"/>
      <c r="G12" s="4"/>
      <c r="H12" s="4">
        <f>SUM(OSRRefH13x_0)</f>
        <v>820130.71</v>
      </c>
      <c r="I12" s="4"/>
      <c r="J12" s="12"/>
      <c r="K12" s="4"/>
      <c r="L12" s="4">
        <f t="shared" ref="L12:L15" si="0">+D12-H12</f>
        <v>-128063.23999999999</v>
      </c>
      <c r="M12" s="4"/>
      <c r="N12" s="12">
        <f t="shared" ref="N12:N15" si="1">IF(H12=0,0,L12/H12)</f>
        <v>-0.15614979226908843</v>
      </c>
      <c r="O12" s="10"/>
      <c r="P12" s="4">
        <f>SUM(OSRRefP13x_0)</f>
        <v>706664.63</v>
      </c>
      <c r="Q12" s="4"/>
      <c r="R12" s="12"/>
      <c r="S12" s="4"/>
      <c r="T12" s="4">
        <f>SUM(OSRRefT13x_0)</f>
        <v>847034.08999999985</v>
      </c>
      <c r="U12" s="4"/>
      <c r="V12" s="12"/>
      <c r="W12" s="4"/>
      <c r="X12" s="4">
        <f t="shared" ref="X12:X15" si="2">+P12-T12</f>
        <v>-140369.45999999985</v>
      </c>
      <c r="Y12" s="4"/>
      <c r="Z12" s="12">
        <f t="shared" ref="Z12:Z15" si="3">IF(T12=0,0,X12/T12)</f>
        <v>-0.16571878470676413</v>
      </c>
    </row>
    <row r="13" spans="1:26" s="24" customFormat="1" hidden="1" outlineLevel="1" x14ac:dyDescent="0.25">
      <c r="A13" s="50"/>
      <c r="B13" s="11" t="str">
        <f>CONCATENATE("          ", "4001", " - ", "TAXABLE SALES-NEW TEXT")</f>
        <v xml:space="preserve">          4001 - TAXABLE SALES-NEW TEXT</v>
      </c>
      <c r="C13" s="11"/>
      <c r="D13" s="2">
        <f>--179739.63</f>
        <v>179739.63</v>
      </c>
      <c r="E13" s="2"/>
      <c r="F13" s="21"/>
      <c r="G13" s="2"/>
      <c r="H13" s="2">
        <f>--215759.29</f>
        <v>215759.29</v>
      </c>
      <c r="I13" s="2"/>
      <c r="J13" s="21"/>
      <c r="K13" s="2"/>
      <c r="L13" s="2">
        <f t="shared" si="0"/>
        <v>-36019.660000000003</v>
      </c>
      <c r="M13" s="2"/>
      <c r="N13" s="21">
        <f t="shared" si="1"/>
        <v>-0.16694372696536033</v>
      </c>
      <c r="O13" s="11"/>
      <c r="P13" s="2">
        <f>--182113.73</f>
        <v>182113.73</v>
      </c>
      <c r="Q13" s="2"/>
      <c r="R13" s="21"/>
      <c r="S13" s="2"/>
      <c r="T13" s="2">
        <f>--220030.14</f>
        <v>220030.14</v>
      </c>
      <c r="U13" s="2"/>
      <c r="V13" s="21"/>
      <c r="W13" s="2"/>
      <c r="X13" s="2">
        <f t="shared" si="2"/>
        <v>-37916.410000000003</v>
      </c>
      <c r="Y13" s="2"/>
      <c r="Z13" s="21">
        <f t="shared" si="3"/>
        <v>-0.17232370983357098</v>
      </c>
    </row>
    <row r="14" spans="1:26" s="24" customFormat="1" hidden="1" outlineLevel="1" x14ac:dyDescent="0.25">
      <c r="A14" s="50"/>
      <c r="B14" s="11" t="str">
        <f>CONCATENATE("          ", "4002", " - ", "TAXABLE SALES-USED TEXT")</f>
        <v xml:space="preserve">          4002 - TAXABLE SALES-USED TEXT</v>
      </c>
      <c r="C14" s="11"/>
      <c r="D14" s="2">
        <f>--251075.61</f>
        <v>251075.61</v>
      </c>
      <c r="E14" s="2"/>
      <c r="F14" s="21"/>
      <c r="G14" s="2"/>
      <c r="H14" s="2">
        <f>--304173.11</f>
        <v>304173.11</v>
      </c>
      <c r="I14" s="2"/>
      <c r="J14" s="21"/>
      <c r="K14" s="2"/>
      <c r="L14" s="2">
        <f t="shared" si="0"/>
        <v>-53097.5</v>
      </c>
      <c r="M14" s="2"/>
      <c r="N14" s="21">
        <f t="shared" si="1"/>
        <v>-0.17456342541258826</v>
      </c>
      <c r="O14" s="11"/>
      <c r="P14" s="2">
        <f>--259036.47</f>
        <v>259036.47</v>
      </c>
      <c r="Q14" s="2"/>
      <c r="R14" s="21"/>
      <c r="S14" s="2"/>
      <c r="T14" s="2">
        <f>--315944.79</f>
        <v>315944.78999999998</v>
      </c>
      <c r="U14" s="2"/>
      <c r="V14" s="21"/>
      <c r="W14" s="2"/>
      <c r="X14" s="2">
        <f t="shared" si="2"/>
        <v>-56908.319999999978</v>
      </c>
      <c r="Y14" s="2"/>
      <c r="Z14" s="21">
        <f t="shared" si="3"/>
        <v>-0.18012109014362915</v>
      </c>
    </row>
    <row r="15" spans="1:26" s="24" customFormat="1" hidden="1" outlineLevel="1" x14ac:dyDescent="0.25">
      <c r="A15" s="50"/>
      <c r="B15" s="11" t="str">
        <f>CONCATENATE("          ", "4100", " - ", "NON-TAXABLE SALES")</f>
        <v xml:space="preserve">          4100 - NON-TAXABLE SALES</v>
      </c>
      <c r="C15" s="11"/>
      <c r="D15" s="2">
        <f>--261252.23</f>
        <v>261252.23</v>
      </c>
      <c r="E15" s="2"/>
      <c r="F15" s="21"/>
      <c r="G15" s="2"/>
      <c r="H15" s="2">
        <f>--300198.31</f>
        <v>300198.31</v>
      </c>
      <c r="I15" s="2"/>
      <c r="J15" s="21"/>
      <c r="K15" s="2"/>
      <c r="L15" s="2">
        <f t="shared" si="0"/>
        <v>-38946.079999999987</v>
      </c>
      <c r="M15" s="2"/>
      <c r="N15" s="21">
        <f t="shared" si="1"/>
        <v>-0.12973450783250576</v>
      </c>
      <c r="O15" s="11"/>
      <c r="P15" s="2">
        <f>--265514.43</f>
        <v>265514.43</v>
      </c>
      <c r="Q15" s="2"/>
      <c r="R15" s="21"/>
      <c r="S15" s="2"/>
      <c r="T15" s="2">
        <f>--311059.16</f>
        <v>311059.15999999997</v>
      </c>
      <c r="U15" s="2"/>
      <c r="V15" s="21"/>
      <c r="W15" s="2"/>
      <c r="X15" s="2">
        <f t="shared" si="2"/>
        <v>-45544.729999999981</v>
      </c>
      <c r="Y15" s="2"/>
      <c r="Z15" s="21">
        <f t="shared" si="3"/>
        <v>-0.14641822475184457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522017.38</v>
      </c>
      <c r="E17" s="4"/>
      <c r="F17" s="12">
        <f t="shared" ref="F17:F19" si="4">IF(D$12=0,0,D17/D$12)</f>
        <v>0.75428683275634967</v>
      </c>
      <c r="G17" s="4"/>
      <c r="H17" s="4">
        <f>SUM(OSRRefH16x_0)</f>
        <v>598920.24</v>
      </c>
      <c r="I17" s="4"/>
      <c r="J17" s="12">
        <f t="shared" ref="J17:J19" si="5">IF(H$12=0,0,H17/H$12)</f>
        <v>0.73027412910802969</v>
      </c>
      <c r="K17" s="4"/>
      <c r="L17" s="4">
        <f t="shared" ref="L17:L19" si="6">+D17-H17</f>
        <v>-76902.859999999986</v>
      </c>
      <c r="M17" s="4"/>
      <c r="N17" s="12">
        <f t="shared" ref="N17:N19" si="7">IF(H17=0,0,L17/H17)</f>
        <v>-0.12840250648400192</v>
      </c>
      <c r="O17" s="10"/>
      <c r="P17" s="4">
        <f>SUM(OSRRefP16x_0)</f>
        <v>534720.98</v>
      </c>
      <c r="Q17" s="4"/>
      <c r="R17" s="12">
        <f t="shared" ref="R17:R19" si="8">IF(P$12=0,0,P17/P$12)</f>
        <v>0.75668281289244654</v>
      </c>
      <c r="S17" s="4"/>
      <c r="T17" s="4">
        <f>SUM(OSRRefT16x_0)</f>
        <v>618852.24</v>
      </c>
      <c r="U17" s="4"/>
      <c r="V17" s="12">
        <f t="shared" ref="V17:V19" si="9">IF(T$12=0,0,T17/T$12)</f>
        <v>0.73061078332750473</v>
      </c>
      <c r="W17" s="4"/>
      <c r="X17" s="4">
        <f t="shared" ref="X17:X19" si="10">+P17-T17</f>
        <v>-84131.260000000009</v>
      </c>
      <c r="Y17" s="4"/>
      <c r="Z17" s="12">
        <f t="shared" ref="Z17:Z19" si="11">IF(T17=0,0,X17/T17)</f>
        <v>-0.13594724970212602</v>
      </c>
    </row>
    <row r="18" spans="1:26" s="24" customFormat="1" hidden="1" outlineLevel="1" x14ac:dyDescent="0.25">
      <c r="A18" s="50"/>
      <c r="B18" s="11" t="str">
        <f>CONCATENATE("          ", "5001", " - ", "PURCHASES @ COST-NEW TEXT")</f>
        <v xml:space="preserve">          5001 - PURCHASES @ COST-NEW TEXT</v>
      </c>
      <c r="C18" s="11"/>
      <c r="D18" s="2">
        <v>215433.59</v>
      </c>
      <c r="E18" s="2"/>
      <c r="F18" s="21">
        <f t="shared" si="4"/>
        <v>0.31128986600107067</v>
      </c>
      <c r="G18" s="2"/>
      <c r="H18" s="2">
        <v>247317.27</v>
      </c>
      <c r="I18" s="2"/>
      <c r="J18" s="21">
        <f t="shared" si="5"/>
        <v>0.3015583576915441</v>
      </c>
      <c r="K18" s="2"/>
      <c r="L18" s="2">
        <f t="shared" si="6"/>
        <v>-31883.679999999993</v>
      </c>
      <c r="M18" s="2"/>
      <c r="N18" s="21">
        <f t="shared" si="7"/>
        <v>-0.12891813014109363</v>
      </c>
      <c r="O18" s="11"/>
      <c r="P18" s="2">
        <v>218228.1</v>
      </c>
      <c r="Q18" s="2"/>
      <c r="R18" s="21">
        <f t="shared" si="8"/>
        <v>0.30881423908254757</v>
      </c>
      <c r="S18" s="2"/>
      <c r="T18" s="2">
        <v>253017.11999999997</v>
      </c>
      <c r="U18" s="2"/>
      <c r="V18" s="21">
        <f t="shared" si="9"/>
        <v>0.29870948877630182</v>
      </c>
      <c r="W18" s="2"/>
      <c r="X18" s="2">
        <f t="shared" si="10"/>
        <v>-34789.01999999996</v>
      </c>
      <c r="Y18" s="2"/>
      <c r="Z18" s="21">
        <f t="shared" si="11"/>
        <v>-0.13749670378036066</v>
      </c>
    </row>
    <row r="19" spans="1:26" s="24" customFormat="1" hidden="1" outlineLevel="1" x14ac:dyDescent="0.25">
      <c r="A19" s="50"/>
      <c r="B19" s="11" t="str">
        <f>CONCATENATE("          ", "5002", " - ", "PURCHASES @ COST-USED TEXT")</f>
        <v xml:space="preserve">          5002 - PURCHASES @ COST-USED TEXT</v>
      </c>
      <c r="C19" s="11"/>
      <c r="D19" s="2">
        <v>306583.78999999998</v>
      </c>
      <c r="E19" s="2"/>
      <c r="F19" s="21">
        <f t="shared" si="4"/>
        <v>0.44299696675527894</v>
      </c>
      <c r="G19" s="2"/>
      <c r="H19" s="2">
        <v>351602.97000000003</v>
      </c>
      <c r="I19" s="2"/>
      <c r="J19" s="21">
        <f t="shared" si="5"/>
        <v>0.42871577141648559</v>
      </c>
      <c r="K19" s="2"/>
      <c r="L19" s="2">
        <f t="shared" si="6"/>
        <v>-45019.180000000051</v>
      </c>
      <c r="M19" s="2"/>
      <c r="N19" s="21">
        <f t="shared" si="7"/>
        <v>-0.12803981718356944</v>
      </c>
      <c r="O19" s="11"/>
      <c r="P19" s="2">
        <v>316492.88</v>
      </c>
      <c r="Q19" s="2"/>
      <c r="R19" s="21">
        <f t="shared" si="8"/>
        <v>0.44786857380989903</v>
      </c>
      <c r="S19" s="2"/>
      <c r="T19" s="2">
        <v>365835.12</v>
      </c>
      <c r="U19" s="2"/>
      <c r="V19" s="21">
        <f t="shared" si="9"/>
        <v>0.43190129455120285</v>
      </c>
      <c r="W19" s="2"/>
      <c r="X19" s="2">
        <f t="shared" si="10"/>
        <v>-49342.239999999991</v>
      </c>
      <c r="Y19" s="2"/>
      <c r="Z19" s="21">
        <f t="shared" si="11"/>
        <v>-0.13487562375094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0">
        <f>D12-D17</f>
        <v>170050.08999999997</v>
      </c>
      <c r="E21" s="13"/>
      <c r="F21" s="19">
        <f>IF(D$12=0,0,D21/D$12)</f>
        <v>0.24571316724365036</v>
      </c>
      <c r="G21" s="13"/>
      <c r="H21" s="20">
        <f>H12-H17</f>
        <v>221210.46999999997</v>
      </c>
      <c r="I21" s="13"/>
      <c r="J21" s="19">
        <f>IF(H$12=0,0,H21/H$12)</f>
        <v>0.26972587089197037</v>
      </c>
      <c r="K21" s="15"/>
      <c r="L21" s="20">
        <f>+D21-H21</f>
        <v>-51160.380000000005</v>
      </c>
      <c r="M21" s="15"/>
      <c r="N21" s="19">
        <f>IF(H21=0,0,L21/H21)</f>
        <v>-0.23127467700782883</v>
      </c>
      <c r="O21" s="25"/>
      <c r="P21" s="20">
        <f>P12-P17</f>
        <v>171943.65000000002</v>
      </c>
      <c r="Q21" s="13"/>
      <c r="R21" s="19">
        <f>IF(P$12=0,0,P21/P$12)</f>
        <v>0.24331718710755343</v>
      </c>
      <c r="S21" s="13"/>
      <c r="T21" s="20">
        <f>T12-T17</f>
        <v>228181.84999999986</v>
      </c>
      <c r="U21" s="13"/>
      <c r="V21" s="19">
        <f>IF(T$12=0,0,T21/T$12)</f>
        <v>0.26938921667249532</v>
      </c>
      <c r="W21" s="15"/>
      <c r="X21" s="20">
        <f>+P21-T21</f>
        <v>-56238.199999999837</v>
      </c>
      <c r="Y21" s="15"/>
      <c r="Z21" s="19">
        <f>IF(T21=0,0,X21/T21)</f>
        <v>-0.24646219670845806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2">
        <f>SUM(OSRRefD22x_0)</f>
        <v>0</v>
      </c>
      <c r="E23" s="22"/>
      <c r="F23" s="33">
        <f t="shared" ref="F23:F25" si="12">IF(D$12=0,0,D23/D$12)</f>
        <v>0</v>
      </c>
      <c r="G23" s="22"/>
      <c r="H23" s="22">
        <f>SUM(OSRRefH22x_0)</f>
        <v>45</v>
      </c>
      <c r="I23" s="22"/>
      <c r="J23" s="33">
        <f t="shared" ref="J23:J25" si="13">IF(H$12=0,0,H23/H$12)</f>
        <v>5.4869302479844956E-5</v>
      </c>
      <c r="K23" s="4"/>
      <c r="L23" s="22">
        <f t="shared" ref="L23:L25" si="14">+D23-H23</f>
        <v>-45</v>
      </c>
      <c r="M23" s="4"/>
      <c r="N23" s="33">
        <f t="shared" ref="N23:N25" si="15">IF(H23=0,0,L23/H23)</f>
        <v>-1</v>
      </c>
      <c r="O23" s="10"/>
      <c r="P23" s="22">
        <f>SUM(OSRRefP22x_0)</f>
        <v>0</v>
      </c>
      <c r="Q23" s="22"/>
      <c r="R23" s="33">
        <f t="shared" ref="R23:R25" si="16">IF(P$12=0,0,P23/P$12)</f>
        <v>0</v>
      </c>
      <c r="S23" s="22"/>
      <c r="T23" s="22">
        <f>SUM(OSRRefT22x_0)</f>
        <v>45</v>
      </c>
      <c r="U23" s="22"/>
      <c r="V23" s="33">
        <f t="shared" ref="V23:V25" si="17">IF(T$12=0,0,T23/T$12)</f>
        <v>5.3126551258403318E-5</v>
      </c>
      <c r="W23" s="4"/>
      <c r="X23" s="22">
        <f t="shared" ref="X23:X25" si="18">+P23-T23</f>
        <v>-45</v>
      </c>
      <c r="Y23" s="4"/>
      <c r="Z23" s="33">
        <f t="shared" ref="Z23:Z25" si="19">IF(T23=0,0,X23/T23)</f>
        <v>-1</v>
      </c>
    </row>
    <row r="24" spans="1:26" s="27" customFormat="1" outlineLevel="1" collapsed="1" x14ac:dyDescent="0.25">
      <c r="A24" s="28"/>
      <c r="B24" s="14" t="str">
        <f>CONCATENATE("     ","Supplies                                          ")</f>
        <v xml:space="preserve">     Supplies                                          </v>
      </c>
      <c r="C24" s="14"/>
      <c r="D24" s="1">
        <f>SUM(OSRRefD22_0x_0)</f>
        <v>0</v>
      </c>
      <c r="E24" s="1"/>
      <c r="F24" s="5">
        <f t="shared" si="12"/>
        <v>0</v>
      </c>
      <c r="G24" s="1"/>
      <c r="H24" s="1">
        <f>SUM(OSRRefH22_0x_0)</f>
        <v>45</v>
      </c>
      <c r="I24" s="1"/>
      <c r="J24" s="5">
        <f t="shared" si="13"/>
        <v>5.4869302479844956E-5</v>
      </c>
      <c r="K24" s="1"/>
      <c r="L24" s="1">
        <f t="shared" si="14"/>
        <v>-45</v>
      </c>
      <c r="M24" s="1"/>
      <c r="N24" s="5">
        <f t="shared" si="15"/>
        <v>-1</v>
      </c>
      <c r="O24" s="14"/>
      <c r="P24" s="1">
        <f>SUM(OSRRefP22_0x_0)</f>
        <v>0</v>
      </c>
      <c r="Q24" s="1"/>
      <c r="R24" s="5">
        <f t="shared" si="16"/>
        <v>0</v>
      </c>
      <c r="S24" s="1"/>
      <c r="T24" s="1">
        <f>SUM(OSRRefT22_0x_0)</f>
        <v>45</v>
      </c>
      <c r="U24" s="1"/>
      <c r="V24" s="5">
        <f t="shared" si="17"/>
        <v>5.3126551258403318E-5</v>
      </c>
      <c r="W24" s="1"/>
      <c r="X24" s="1">
        <f t="shared" si="18"/>
        <v>-45</v>
      </c>
      <c r="Y24" s="1"/>
      <c r="Z24" s="5">
        <f t="shared" si="19"/>
        <v>-1</v>
      </c>
    </row>
    <row r="25" spans="1:26" s="24" customFormat="1" hidden="1" outlineLevel="2" x14ac:dyDescent="0.25">
      <c r="A25" s="29"/>
      <c r="B25" s="11" t="str">
        <f>CONCATENATE("          ", "6241", " - ", "OFFICE EXPENSE")</f>
        <v xml:space="preserve">          6241 - OFFICE EXPENSE</v>
      </c>
      <c r="C25" s="11"/>
      <c r="D25" s="7"/>
      <c r="E25" s="2"/>
      <c r="F25" s="6">
        <f t="shared" si="12"/>
        <v>0</v>
      </c>
      <c r="G25" s="2"/>
      <c r="H25" s="7">
        <v>45</v>
      </c>
      <c r="I25" s="2"/>
      <c r="J25" s="6">
        <f t="shared" si="13"/>
        <v>5.4869302479844956E-5</v>
      </c>
      <c r="K25" s="2"/>
      <c r="L25" s="7">
        <f t="shared" si="14"/>
        <v>-45</v>
      </c>
      <c r="M25" s="2"/>
      <c r="N25" s="6">
        <f t="shared" si="15"/>
        <v>-1</v>
      </c>
      <c r="O25" s="11"/>
      <c r="P25" s="7"/>
      <c r="Q25" s="2"/>
      <c r="R25" s="6">
        <f t="shared" si="16"/>
        <v>0</v>
      </c>
      <c r="S25" s="2"/>
      <c r="T25" s="7">
        <v>45</v>
      </c>
      <c r="U25" s="2"/>
      <c r="V25" s="6">
        <f t="shared" si="17"/>
        <v>5.3126551258403318E-5</v>
      </c>
      <c r="W25" s="2"/>
      <c r="X25" s="7">
        <f t="shared" si="18"/>
        <v>-45</v>
      </c>
      <c r="Y25" s="2"/>
      <c r="Z25" s="6">
        <f t="shared" si="19"/>
        <v>-1</v>
      </c>
    </row>
    <row r="26" spans="1:26" s="62" customFormat="1" x14ac:dyDescent="0.25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5" t="s">
        <v>0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6" t="s">
        <v>3</v>
      </c>
      <c r="C29" s="26"/>
      <c r="D29" s="20">
        <f>+D21-D23+D27</f>
        <v>170050.08999999997</v>
      </c>
      <c r="E29" s="13"/>
      <c r="F29" s="19">
        <f>IF(D$12=0,0,D29/D$12)</f>
        <v>0.24571316724365036</v>
      </c>
      <c r="G29" s="13"/>
      <c r="H29" s="20">
        <f>+H21-H23+H27</f>
        <v>221165.46999999997</v>
      </c>
      <c r="I29" s="13"/>
      <c r="J29" s="19">
        <f>IF(H$12=0,0,H29/H$12)</f>
        <v>0.26967100158949053</v>
      </c>
      <c r="K29" s="15"/>
      <c r="L29" s="20">
        <f>+D29-H29</f>
        <v>-51115.380000000005</v>
      </c>
      <c r="M29" s="15"/>
      <c r="N29" s="19">
        <f>IF(H29=0,0,L29/H29)</f>
        <v>-0.23111826633696486</v>
      </c>
      <c r="O29" s="25"/>
      <c r="P29" s="20">
        <f>+P21-P23+P27</f>
        <v>171943.65000000002</v>
      </c>
      <c r="Q29" s="13"/>
      <c r="R29" s="19">
        <f>IF(P$12=0,0,P29/P$12)</f>
        <v>0.24331718710755343</v>
      </c>
      <c r="S29" s="13"/>
      <c r="T29" s="20">
        <f>+T21-T23+T27</f>
        <v>228136.84999999986</v>
      </c>
      <c r="U29" s="13"/>
      <c r="V29" s="19">
        <f>IF(T$12=0,0,T29/T$12)</f>
        <v>0.26933609012123694</v>
      </c>
      <c r="W29" s="15"/>
      <c r="X29" s="20">
        <f>+P29-T29</f>
        <v>-56193.199999999837</v>
      </c>
      <c r="Y29" s="15"/>
      <c r="Z29" s="19">
        <f>IF(T29=0,0,X29/T29)</f>
        <v>-0.24631356135582599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51"/>
      <c r="B31" s="10" t="s">
        <v>13</v>
      </c>
      <c r="C31" s="10"/>
      <c r="D31" s="4">
        <v>85073.010000000009</v>
      </c>
      <c r="E31" s="4"/>
      <c r="F31" s="12">
        <f>IF(D$12=0,0,D31/D$12)</f>
        <v>0.12292589044822468</v>
      </c>
      <c r="G31" s="4"/>
      <c r="H31" s="4">
        <v>80954.899999999994</v>
      </c>
      <c r="I31" s="4"/>
      <c r="J31" s="12">
        <f>IF(H$12=0,0,H31/H$12)</f>
        <v>9.870975322945777E-2</v>
      </c>
      <c r="K31" s="4"/>
      <c r="L31" s="4">
        <f>+D31-H31</f>
        <v>4118.1100000000151</v>
      </c>
      <c r="M31" s="4"/>
      <c r="N31" s="12">
        <f>IF(H31=0,0,L31/H31)</f>
        <v>5.0869187658807748E-2</v>
      </c>
      <c r="O31" s="10"/>
      <c r="P31" s="4">
        <v>88108.19</v>
      </c>
      <c r="Q31" s="4"/>
      <c r="R31" s="12">
        <f>IF(P$12=0,0,P31/P$12)</f>
        <v>0.12468176028563932</v>
      </c>
      <c r="S31" s="4"/>
      <c r="T31" s="4">
        <v>86478.18</v>
      </c>
      <c r="U31" s="4"/>
      <c r="V31" s="12">
        <f>IF(T$12=0,0,T31/T$12)</f>
        <v>0.10209527694452063</v>
      </c>
      <c r="W31" s="4"/>
      <c r="X31" s="4">
        <f>+P31-T31</f>
        <v>1630.0100000000093</v>
      </c>
      <c r="Y31" s="4"/>
      <c r="Z31" s="12">
        <f>IF(T31=0,0,X31/T31)</f>
        <v>1.8848800934524866E-2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6" t="s">
        <v>4</v>
      </c>
      <c r="C33" s="26"/>
      <c r="D33" s="31">
        <f>+D29-D31</f>
        <v>84977.079999999958</v>
      </c>
      <c r="E33" s="13"/>
      <c r="F33" s="36">
        <f>IF(D$12=0,0,D33/D$12)</f>
        <v>0.12278727679542568</v>
      </c>
      <c r="G33" s="13"/>
      <c r="H33" s="31">
        <f>+H29-H31</f>
        <v>140210.56999999998</v>
      </c>
      <c r="I33" s="13"/>
      <c r="J33" s="36">
        <f>IF(H$12=0,0,H33/H$12)</f>
        <v>0.17096124836003274</v>
      </c>
      <c r="K33" s="15"/>
      <c r="L33" s="31">
        <f>D33-H33</f>
        <v>-55233.49000000002</v>
      </c>
      <c r="M33" s="15"/>
      <c r="N33" s="36">
        <f>IF(H33=0,0,L33/H33)</f>
        <v>-0.39393242606459716</v>
      </c>
      <c r="O33" s="25"/>
      <c r="P33" s="31">
        <f>+P29-P31</f>
        <v>83835.460000000021</v>
      </c>
      <c r="Q33" s="13"/>
      <c r="R33" s="36">
        <f>IF(P$12=0,0,P33/P$12)</f>
        <v>0.11863542682191412</v>
      </c>
      <c r="S33" s="13"/>
      <c r="T33" s="31">
        <f>+T29-T31</f>
        <v>141658.66999999987</v>
      </c>
      <c r="U33" s="13"/>
      <c r="V33" s="36">
        <f>IF(T$12=0,0,T33/T$12)</f>
        <v>0.1672408131767163</v>
      </c>
      <c r="W33" s="15"/>
      <c r="X33" s="31">
        <f>P33-T33</f>
        <v>-57823.209999999846</v>
      </c>
      <c r="Y33" s="15"/>
      <c r="Z33" s="36">
        <f>IF(T33=0,0,X33/T33)</f>
        <v>-0.4081868762427312</v>
      </c>
    </row>
    <row r="34" spans="1:26" ht="15.75" thickTop="1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>
        <f>SUM(D33:D35)</f>
        <v>84977.079999999958</v>
      </c>
      <c r="E36" s="13"/>
      <c r="F36" s="30">
        <f>IF(D$12=0,0,D36/D$12)</f>
        <v>0.12278727679542568</v>
      </c>
      <c r="G36" s="13"/>
      <c r="H36" s="32">
        <f>SUM(H33:H35)</f>
        <v>140210.56999999998</v>
      </c>
      <c r="I36" s="13"/>
      <c r="J36" s="30">
        <f>IF(H$12=0,0,H36/H$12)</f>
        <v>0.17096124836003274</v>
      </c>
      <c r="K36" s="15"/>
      <c r="L36" s="32">
        <f>+D36-H36</f>
        <v>-55233.49000000002</v>
      </c>
      <c r="M36" s="15"/>
      <c r="N36" s="30">
        <f>IF(H36=0,0,L36/H36)</f>
        <v>-0.39393242606459716</v>
      </c>
      <c r="O36" s="25"/>
      <c r="P36" s="32">
        <f>SUM(P33:P35)</f>
        <v>83835.460000000021</v>
      </c>
      <c r="Q36" s="13"/>
      <c r="R36" s="30">
        <f>IF(P$12=0,0,P36/P$12)</f>
        <v>0.11863542682191412</v>
      </c>
      <c r="S36" s="13"/>
      <c r="T36" s="32">
        <f>SUM(T33:T35)</f>
        <v>141658.66999999987</v>
      </c>
      <c r="U36" s="13"/>
      <c r="V36" s="30">
        <f>IF(T$12=0,0,T36/T$12)</f>
        <v>0.1672408131767163</v>
      </c>
      <c r="W36" s="15"/>
      <c r="X36" s="32">
        <f>+P36-T36</f>
        <v>-57823.209999999846</v>
      </c>
      <c r="Y36" s="15"/>
      <c r="Z36" s="30">
        <f>IF(T36=0,0,X36/T36)</f>
        <v>-0.4081868762427312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>
        <v>43732.709876620371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s">
        <v>313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322624.52999999991</v>
      </c>
      <c r="E12" s="4"/>
      <c r="F12" s="12"/>
      <c r="G12" s="4"/>
      <c r="H12" s="4">
        <f>SUM(OSRRefH13x_0)</f>
        <v>276651.55000000005</v>
      </c>
      <c r="I12" s="4"/>
      <c r="J12" s="12"/>
      <c r="K12" s="4"/>
      <c r="L12" s="4">
        <f t="shared" ref="L12:L39" si="0">+D12-H12</f>
        <v>45972.979999999865</v>
      </c>
      <c r="M12" s="4"/>
      <c r="N12" s="12">
        <f t="shared" ref="N12:N39" si="1">IF(H12=0,0,L12/H12)</f>
        <v>0.16617647723282178</v>
      </c>
      <c r="O12" s="10"/>
      <c r="P12" s="4">
        <f>SUM(OSRRefP13x_0)</f>
        <v>554751.84</v>
      </c>
      <c r="Q12" s="4"/>
      <c r="R12" s="12"/>
      <c r="S12" s="4"/>
      <c r="T12" s="4">
        <f>SUM(OSRRefT13x_0)</f>
        <v>487426.65</v>
      </c>
      <c r="U12" s="4"/>
      <c r="V12" s="12"/>
      <c r="W12" s="4"/>
      <c r="X12" s="4">
        <f t="shared" ref="X12:X39" si="2">+P12-T12</f>
        <v>67325.189999999944</v>
      </c>
      <c r="Y12" s="4"/>
      <c r="Z12" s="12">
        <f t="shared" ref="Z12:Z39" si="3">IF(T12=0,0,X12/T12)</f>
        <v>0.1381237361559938</v>
      </c>
    </row>
    <row r="13" spans="1:26" s="24" customFormat="1" hidden="1" outlineLevel="1" x14ac:dyDescent="0.25">
      <c r="A13" s="50"/>
      <c r="B13" s="11" t="str">
        <f>CONCATENATE("          ", "4025", " - ", "TAXABLE SALES-TEST FORMS")</f>
        <v xml:space="preserve">          4025 - TAXABLE SALES-TEST FORMS</v>
      </c>
      <c r="C13" s="11"/>
      <c r="D13" s="2">
        <f>0</f>
        <v>0</v>
      </c>
      <c r="E13" s="2"/>
      <c r="F13" s="21"/>
      <c r="G13" s="2"/>
      <c r="H13" s="2">
        <f>--14.49</f>
        <v>14.49</v>
      </c>
      <c r="I13" s="2"/>
      <c r="J13" s="21"/>
      <c r="K13" s="2"/>
      <c r="L13" s="2">
        <f t="shared" si="0"/>
        <v>-14.49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f>--14.49</f>
        <v>14.49</v>
      </c>
      <c r="U13" s="2"/>
      <c r="V13" s="21"/>
      <c r="W13" s="2"/>
      <c r="X13" s="2">
        <f t="shared" si="2"/>
        <v>-14.49</v>
      </c>
      <c r="Y13" s="2"/>
      <c r="Z13" s="21">
        <f t="shared" si="3"/>
        <v>-1</v>
      </c>
    </row>
    <row r="14" spans="1:26" s="24" customFormat="1" hidden="1" outlineLevel="1" x14ac:dyDescent="0.25">
      <c r="A14" s="50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--26</f>
        <v>26</v>
      </c>
      <c r="E14" s="2"/>
      <c r="F14" s="21"/>
      <c r="G14" s="2"/>
      <c r="H14" s="2">
        <f>--18.83</f>
        <v>18.829999999999998</v>
      </c>
      <c r="I14" s="2"/>
      <c r="J14" s="21"/>
      <c r="K14" s="2"/>
      <c r="L14" s="2">
        <f t="shared" si="0"/>
        <v>7.1700000000000017</v>
      </c>
      <c r="M14" s="2"/>
      <c r="N14" s="21">
        <f t="shared" si="1"/>
        <v>0.3807753584705259</v>
      </c>
      <c r="O14" s="11"/>
      <c r="P14" s="2">
        <f>--64.56</f>
        <v>64.56</v>
      </c>
      <c r="Q14" s="2"/>
      <c r="R14" s="21"/>
      <c r="S14" s="2"/>
      <c r="T14" s="2">
        <f>--50.66</f>
        <v>50.66</v>
      </c>
      <c r="U14" s="2"/>
      <c r="V14" s="21"/>
      <c r="W14" s="2"/>
      <c r="X14" s="2">
        <f t="shared" si="2"/>
        <v>13.900000000000006</v>
      </c>
      <c r="Y14" s="2"/>
      <c r="Z14" s="21">
        <f t="shared" si="3"/>
        <v>0.27437820765890264</v>
      </c>
    </row>
    <row r="15" spans="1:26" s="24" customFormat="1" hidden="1" outlineLevel="1" x14ac:dyDescent="0.25">
      <c r="A15" s="50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--40.43</f>
        <v>40.43</v>
      </c>
      <c r="E15" s="2"/>
      <c r="F15" s="21"/>
      <c r="G15" s="2"/>
      <c r="H15" s="2">
        <f>--267.82</f>
        <v>267.82</v>
      </c>
      <c r="I15" s="2"/>
      <c r="J15" s="21"/>
      <c r="K15" s="2"/>
      <c r="L15" s="2">
        <f t="shared" si="0"/>
        <v>-227.39</v>
      </c>
      <c r="M15" s="2"/>
      <c r="N15" s="21">
        <f t="shared" si="1"/>
        <v>-0.8490404002688372</v>
      </c>
      <c r="O15" s="11"/>
      <c r="P15" s="2">
        <f>--40.43</f>
        <v>40.43</v>
      </c>
      <c r="Q15" s="2"/>
      <c r="R15" s="21"/>
      <c r="S15" s="2"/>
      <c r="T15" s="2">
        <f>--284.19</f>
        <v>284.19</v>
      </c>
      <c r="U15" s="2"/>
      <c r="V15" s="21"/>
      <c r="W15" s="2"/>
      <c r="X15" s="2">
        <f t="shared" si="2"/>
        <v>-243.76</v>
      </c>
      <c r="Y15" s="2"/>
      <c r="Z15" s="21">
        <f t="shared" si="3"/>
        <v>-0.85773602167563956</v>
      </c>
    </row>
    <row r="16" spans="1:26" s="24" customFormat="1" hidden="1" outlineLevel="1" x14ac:dyDescent="0.25">
      <c r="A16" s="50"/>
      <c r="B16" s="11" t="str">
        <f>CONCATENATE("          ", "4034", " - ", "TAXABLE SALES-SODA")</f>
        <v xml:space="preserve">          4034 - TAXABLE SALES-SODA</v>
      </c>
      <c r="C16" s="11"/>
      <c r="D16" s="2">
        <f>0</f>
        <v>0</v>
      </c>
      <c r="E16" s="2"/>
      <c r="F16" s="21"/>
      <c r="G16" s="2"/>
      <c r="H16" s="2">
        <f>--22.75</f>
        <v>22.75</v>
      </c>
      <c r="I16" s="2"/>
      <c r="J16" s="21"/>
      <c r="K16" s="2"/>
      <c r="L16" s="2">
        <f t="shared" si="0"/>
        <v>-22.75</v>
      </c>
      <c r="M16" s="2"/>
      <c r="N16" s="21">
        <f t="shared" si="1"/>
        <v>-1</v>
      </c>
      <c r="O16" s="11"/>
      <c r="P16" s="2">
        <f>0</f>
        <v>0</v>
      </c>
      <c r="Q16" s="2"/>
      <c r="R16" s="21"/>
      <c r="S16" s="2"/>
      <c r="T16" s="2">
        <f>--33.25</f>
        <v>33.25</v>
      </c>
      <c r="U16" s="2"/>
      <c r="V16" s="21"/>
      <c r="W16" s="2"/>
      <c r="X16" s="2">
        <f t="shared" si="2"/>
        <v>-33.25</v>
      </c>
      <c r="Y16" s="2"/>
      <c r="Z16" s="21">
        <f t="shared" si="3"/>
        <v>-1</v>
      </c>
    </row>
    <row r="17" spans="1:26" s="24" customFormat="1" hidden="1" outlineLevel="1" x14ac:dyDescent="0.25">
      <c r="A17" s="50"/>
      <c r="B17" s="11" t="str">
        <f>CONCATENATE("          ", "4040", " - ", "TAXABLE SALES-LOGO CLOTHING")</f>
        <v xml:space="preserve">          4040 - TAXABLE SALES-LOGO CLOTHING</v>
      </c>
      <c r="C17" s="11"/>
      <c r="D17" s="2">
        <f>--219441.66</f>
        <v>219441.66</v>
      </c>
      <c r="E17" s="2"/>
      <c r="F17" s="21"/>
      <c r="G17" s="2"/>
      <c r="H17" s="2">
        <f>--183864.69</f>
        <v>183864.69</v>
      </c>
      <c r="I17" s="2"/>
      <c r="J17" s="21"/>
      <c r="K17" s="2"/>
      <c r="L17" s="2">
        <f t="shared" si="0"/>
        <v>35576.97</v>
      </c>
      <c r="M17" s="2"/>
      <c r="N17" s="21">
        <f t="shared" si="1"/>
        <v>0.19349539055051843</v>
      </c>
      <c r="O17" s="11"/>
      <c r="P17" s="2">
        <f>--389753.68</f>
        <v>389753.68</v>
      </c>
      <c r="Q17" s="2"/>
      <c r="R17" s="21"/>
      <c r="S17" s="2"/>
      <c r="T17" s="2">
        <f>--329836.35</f>
        <v>329836.34999999998</v>
      </c>
      <c r="U17" s="2"/>
      <c r="V17" s="21"/>
      <c r="W17" s="2"/>
      <c r="X17" s="2">
        <f t="shared" si="2"/>
        <v>59917.330000000016</v>
      </c>
      <c r="Y17" s="2"/>
      <c r="Z17" s="21">
        <f t="shared" si="3"/>
        <v>0.18165775239751478</v>
      </c>
    </row>
    <row r="18" spans="1:26" s="24" customFormat="1" hidden="1" outlineLevel="1" x14ac:dyDescent="0.25">
      <c r="A18" s="50"/>
      <c r="B18" s="11" t="str">
        <f>CONCATENATE("          ", "4041", " - ", "TAXABLE SALES-LOGO GIFTS")</f>
        <v xml:space="preserve">          4041 - TAXABLE SALES-LOGO GIFTS</v>
      </c>
      <c r="C18" s="11"/>
      <c r="D18" s="2">
        <f>--46746.72</f>
        <v>46746.720000000001</v>
      </c>
      <c r="E18" s="2"/>
      <c r="F18" s="21"/>
      <c r="G18" s="2"/>
      <c r="H18" s="2">
        <f>--39438.92</f>
        <v>39438.92</v>
      </c>
      <c r="I18" s="2"/>
      <c r="J18" s="21"/>
      <c r="K18" s="2"/>
      <c r="L18" s="2">
        <f t="shared" si="0"/>
        <v>7307.8000000000029</v>
      </c>
      <c r="M18" s="2"/>
      <c r="N18" s="21">
        <f t="shared" si="1"/>
        <v>0.18529412063007819</v>
      </c>
      <c r="O18" s="11"/>
      <c r="P18" s="2">
        <f>--77324.61</f>
        <v>77324.61</v>
      </c>
      <c r="Q18" s="2"/>
      <c r="R18" s="21"/>
      <c r="S18" s="2"/>
      <c r="T18" s="2">
        <f>--69739.4</f>
        <v>69739.399999999994</v>
      </c>
      <c r="U18" s="2"/>
      <c r="V18" s="21"/>
      <c r="W18" s="2"/>
      <c r="X18" s="2">
        <f t="shared" si="2"/>
        <v>7585.2100000000064</v>
      </c>
      <c r="Y18" s="2"/>
      <c r="Z18" s="21">
        <f t="shared" si="3"/>
        <v>0.10876505963630326</v>
      </c>
    </row>
    <row r="19" spans="1:26" s="24" customFormat="1" hidden="1" outlineLevel="1" x14ac:dyDescent="0.25">
      <c r="A19" s="50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--36428.85</f>
        <v>36428.85</v>
      </c>
      <c r="E19" s="2"/>
      <c r="F19" s="21"/>
      <c r="G19" s="2"/>
      <c r="H19" s="2">
        <f>--21043.45</f>
        <v>21043.45</v>
      </c>
      <c r="I19" s="2"/>
      <c r="J19" s="21"/>
      <c r="K19" s="2"/>
      <c r="L19" s="2">
        <f t="shared" si="0"/>
        <v>15385.399999999998</v>
      </c>
      <c r="M19" s="2"/>
      <c r="N19" s="21">
        <f t="shared" si="1"/>
        <v>0.7311253620485233</v>
      </c>
      <c r="O19" s="11"/>
      <c r="P19" s="2">
        <f>--47961.98</f>
        <v>47961.98</v>
      </c>
      <c r="Q19" s="2"/>
      <c r="R19" s="21"/>
      <c r="S19" s="2"/>
      <c r="T19" s="2">
        <f>--30188.29</f>
        <v>30188.29</v>
      </c>
      <c r="U19" s="2"/>
      <c r="V19" s="21"/>
      <c r="W19" s="2"/>
      <c r="X19" s="2">
        <f t="shared" si="2"/>
        <v>17773.690000000002</v>
      </c>
      <c r="Y19" s="2"/>
      <c r="Z19" s="21">
        <f t="shared" si="3"/>
        <v>0.58876107258807975</v>
      </c>
    </row>
    <row r="20" spans="1:26" s="24" customFormat="1" hidden="1" outlineLevel="1" x14ac:dyDescent="0.25">
      <c r="A20" s="50"/>
      <c r="B20" s="11" t="str">
        <f>CONCATENATE("          ", "4043", " - ", "TAXABLE SALES-CARDS")</f>
        <v xml:space="preserve">          4043 - TAXABLE SALES-CARDS</v>
      </c>
      <c r="C20" s="11"/>
      <c r="D20" s="2">
        <f>--67.34</f>
        <v>67.34</v>
      </c>
      <c r="E20" s="2"/>
      <c r="F20" s="21"/>
      <c r="G20" s="2"/>
      <c r="H20" s="2">
        <f>--83.69</f>
        <v>83.69</v>
      </c>
      <c r="I20" s="2"/>
      <c r="J20" s="21"/>
      <c r="K20" s="2"/>
      <c r="L20" s="2">
        <f t="shared" si="0"/>
        <v>-16.349999999999994</v>
      </c>
      <c r="M20" s="2"/>
      <c r="N20" s="21">
        <f t="shared" si="1"/>
        <v>-0.19536384275301702</v>
      </c>
      <c r="O20" s="11"/>
      <c r="P20" s="2">
        <f>--108.19</f>
        <v>108.19</v>
      </c>
      <c r="Q20" s="2"/>
      <c r="R20" s="21"/>
      <c r="S20" s="2"/>
      <c r="T20" s="2">
        <f>--206.91</f>
        <v>206.91</v>
      </c>
      <c r="U20" s="2"/>
      <c r="V20" s="21"/>
      <c r="W20" s="2"/>
      <c r="X20" s="2">
        <f t="shared" si="2"/>
        <v>-98.72</v>
      </c>
      <c r="Y20" s="2"/>
      <c r="Z20" s="21">
        <f t="shared" si="3"/>
        <v>-0.47711565414914697</v>
      </c>
    </row>
    <row r="21" spans="1:26" s="24" customFormat="1" hidden="1" outlineLevel="1" x14ac:dyDescent="0.25">
      <c r="A21" s="50"/>
      <c r="B21" s="11" t="str">
        <f>CONCATENATE("          ", "4044", " - ", "TAXABLE SALES-ACCESSORIES")</f>
        <v xml:space="preserve">          4044 - TAXABLE SALES-ACCESSORIES</v>
      </c>
      <c r="C21" s="11"/>
      <c r="D21" s="2">
        <f>--19434.42</f>
        <v>19434.419999999998</v>
      </c>
      <c r="E21" s="2"/>
      <c r="F21" s="21"/>
      <c r="G21" s="2"/>
      <c r="H21" s="2">
        <f>--19647.94</f>
        <v>19647.939999999999</v>
      </c>
      <c r="I21" s="2"/>
      <c r="J21" s="21"/>
      <c r="K21" s="2"/>
      <c r="L21" s="2">
        <f t="shared" si="0"/>
        <v>-213.52000000000044</v>
      </c>
      <c r="M21" s="2"/>
      <c r="N21" s="21">
        <f t="shared" si="1"/>
        <v>-1.0867297029612288E-2</v>
      </c>
      <c r="O21" s="11"/>
      <c r="P21" s="2">
        <f>--21777.07</f>
        <v>21777.07</v>
      </c>
      <c r="Q21" s="2"/>
      <c r="R21" s="21"/>
      <c r="S21" s="2"/>
      <c r="T21" s="2">
        <f>--23405.78</f>
        <v>23405.78</v>
      </c>
      <c r="U21" s="2"/>
      <c r="V21" s="21"/>
      <c r="W21" s="2"/>
      <c r="X21" s="2">
        <f t="shared" si="2"/>
        <v>-1628.7099999999991</v>
      </c>
      <c r="Y21" s="2"/>
      <c r="Z21" s="21">
        <f t="shared" si="3"/>
        <v>-6.9585803164859239E-2</v>
      </c>
    </row>
    <row r="22" spans="1:26" s="24" customFormat="1" hidden="1" outlineLevel="1" x14ac:dyDescent="0.25">
      <c r="A22" s="50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--6103.32</f>
        <v>6103.32</v>
      </c>
      <c r="E22" s="2"/>
      <c r="F22" s="21"/>
      <c r="G22" s="2"/>
      <c r="H22" s="2">
        <f>--17649.91</f>
        <v>17649.91</v>
      </c>
      <c r="I22" s="2"/>
      <c r="J22" s="21"/>
      <c r="K22" s="2"/>
      <c r="L22" s="2">
        <f t="shared" si="0"/>
        <v>-11546.59</v>
      </c>
      <c r="M22" s="2"/>
      <c r="N22" s="21">
        <f t="shared" si="1"/>
        <v>-0.65420106958052482</v>
      </c>
      <c r="O22" s="11"/>
      <c r="P22" s="2">
        <f>--25524.04</f>
        <v>25524.04</v>
      </c>
      <c r="Q22" s="2"/>
      <c r="R22" s="21"/>
      <c r="S22" s="2"/>
      <c r="T22" s="2">
        <f>--42959.48</f>
        <v>42959.48</v>
      </c>
      <c r="U22" s="2"/>
      <c r="V22" s="21"/>
      <c r="W22" s="2"/>
      <c r="X22" s="2">
        <f t="shared" si="2"/>
        <v>-17435.440000000002</v>
      </c>
      <c r="Y22" s="2"/>
      <c r="Z22" s="21">
        <f t="shared" si="3"/>
        <v>-0.40585779902363811</v>
      </c>
    </row>
    <row r="23" spans="1:26" s="24" customFormat="1" hidden="1" outlineLevel="1" x14ac:dyDescent="0.25">
      <c r="A23" s="50"/>
      <c r="B23" s="11" t="str">
        <f>CONCATENATE("          ", "4092", " - ", "TAXABLE SALES-GRAD MERCH")</f>
        <v xml:space="preserve">          4092 - TAXABLE SALES-GRAD MERCH</v>
      </c>
      <c r="C23" s="11"/>
      <c r="D23" s="2">
        <f>-39.95</f>
        <v>-39.950000000000003</v>
      </c>
      <c r="E23" s="2"/>
      <c r="F23" s="21"/>
      <c r="G23" s="2"/>
      <c r="H23" s="2">
        <f>0</f>
        <v>0</v>
      </c>
      <c r="I23" s="2"/>
      <c r="J23" s="21"/>
      <c r="K23" s="2"/>
      <c r="L23" s="2">
        <f t="shared" si="0"/>
        <v>-39.950000000000003</v>
      </c>
      <c r="M23" s="2"/>
      <c r="N23" s="21">
        <f t="shared" si="1"/>
        <v>0</v>
      </c>
      <c r="O23" s="11"/>
      <c r="P23" s="2">
        <f>-39.95</f>
        <v>-39.950000000000003</v>
      </c>
      <c r="Q23" s="2"/>
      <c r="R23" s="21"/>
      <c r="S23" s="2"/>
      <c r="T23" s="2">
        <f>0</f>
        <v>0</v>
      </c>
      <c r="U23" s="2"/>
      <c r="V23" s="21"/>
      <c r="W23" s="2"/>
      <c r="X23" s="2">
        <f t="shared" si="2"/>
        <v>-39.950000000000003</v>
      </c>
      <c r="Y23" s="2"/>
      <c r="Z23" s="21">
        <f t="shared" si="3"/>
        <v>0</v>
      </c>
    </row>
    <row r="24" spans="1:26" s="24" customFormat="1" hidden="1" outlineLevel="1" x14ac:dyDescent="0.25">
      <c r="A24" s="50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>--5.94</f>
        <v>5.94</v>
      </c>
      <c r="E24" s="2"/>
      <c r="F24" s="21"/>
      <c r="G24" s="2"/>
      <c r="H24" s="2">
        <f>--4.95</f>
        <v>4.95</v>
      </c>
      <c r="I24" s="2"/>
      <c r="J24" s="21"/>
      <c r="K24" s="2"/>
      <c r="L24" s="2">
        <f t="shared" si="0"/>
        <v>0.99000000000000021</v>
      </c>
      <c r="M24" s="2"/>
      <c r="N24" s="21">
        <f t="shared" si="1"/>
        <v>0.20000000000000004</v>
      </c>
      <c r="O24" s="11"/>
      <c r="P24" s="2">
        <f>--16.83</f>
        <v>16.829999999999998</v>
      </c>
      <c r="Q24" s="2"/>
      <c r="R24" s="21"/>
      <c r="S24" s="2"/>
      <c r="T24" s="2">
        <f>--10.89</f>
        <v>10.89</v>
      </c>
      <c r="U24" s="2"/>
      <c r="V24" s="21"/>
      <c r="W24" s="2"/>
      <c r="X24" s="2">
        <f t="shared" si="2"/>
        <v>5.9399999999999977</v>
      </c>
      <c r="Y24" s="2"/>
      <c r="Z24" s="21">
        <f t="shared" si="3"/>
        <v>0.54545454545454519</v>
      </c>
    </row>
    <row r="25" spans="1:26" s="24" customFormat="1" hidden="1" outlineLevel="1" x14ac:dyDescent="0.25">
      <c r="A25" s="50"/>
      <c r="B25" s="11" t="str">
        <f>CONCATENATE("          ", "4137", " - ", "NON-TAXABLE SALES-WATER")</f>
        <v xml:space="preserve">          4137 - NON-TAXABLE SALES-WATER</v>
      </c>
      <c r="C25" s="11"/>
      <c r="D25" s="2">
        <f>--31.5</f>
        <v>31.5</v>
      </c>
      <c r="E25" s="2"/>
      <c r="F25" s="21"/>
      <c r="G25" s="2"/>
      <c r="H25" s="2">
        <f>--13.5</f>
        <v>13.5</v>
      </c>
      <c r="I25" s="2"/>
      <c r="J25" s="21"/>
      <c r="K25" s="2"/>
      <c r="L25" s="2">
        <f t="shared" si="0"/>
        <v>18</v>
      </c>
      <c r="M25" s="2"/>
      <c r="N25" s="21">
        <f t="shared" si="1"/>
        <v>1.3333333333333333</v>
      </c>
      <c r="O25" s="11"/>
      <c r="P25" s="2">
        <f>--54</f>
        <v>54</v>
      </c>
      <c r="Q25" s="2"/>
      <c r="R25" s="21"/>
      <c r="S25" s="2"/>
      <c r="T25" s="2">
        <f>--36</f>
        <v>36</v>
      </c>
      <c r="U25" s="2"/>
      <c r="V25" s="21"/>
      <c r="W25" s="2"/>
      <c r="X25" s="2">
        <f t="shared" si="2"/>
        <v>18</v>
      </c>
      <c r="Y25" s="2"/>
      <c r="Z25" s="21">
        <f t="shared" si="3"/>
        <v>0.5</v>
      </c>
    </row>
    <row r="26" spans="1:26" s="24" customFormat="1" hidden="1" outlineLevel="1" x14ac:dyDescent="0.25">
      <c r="A26" s="50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--1979.29</f>
        <v>1979.29</v>
      </c>
      <c r="E26" s="2"/>
      <c r="F26" s="21"/>
      <c r="G26" s="2"/>
      <c r="H26" s="2">
        <f>--3444.26</f>
        <v>3444.26</v>
      </c>
      <c r="I26" s="2"/>
      <c r="J26" s="21"/>
      <c r="K26" s="2"/>
      <c r="L26" s="2">
        <f t="shared" si="0"/>
        <v>-1464.9700000000003</v>
      </c>
      <c r="M26" s="2"/>
      <c r="N26" s="21">
        <f t="shared" si="1"/>
        <v>-0.42533664705916513</v>
      </c>
      <c r="O26" s="11"/>
      <c r="P26" s="2">
        <f>--5142.96</f>
        <v>5142.96</v>
      </c>
      <c r="Q26" s="2"/>
      <c r="R26" s="21"/>
      <c r="S26" s="2"/>
      <c r="T26" s="2">
        <f>--5257.81</f>
        <v>5257.81</v>
      </c>
      <c r="U26" s="2"/>
      <c r="V26" s="21"/>
      <c r="W26" s="2"/>
      <c r="X26" s="2">
        <f t="shared" si="2"/>
        <v>-114.85000000000036</v>
      </c>
      <c r="Y26" s="2"/>
      <c r="Z26" s="21">
        <f t="shared" si="3"/>
        <v>-2.1843695378874543E-2</v>
      </c>
    </row>
    <row r="27" spans="1:26" s="24" customFormat="1" hidden="1" outlineLevel="1" x14ac:dyDescent="0.25">
      <c r="A27" s="50"/>
      <c r="B27" s="11" t="str">
        <f>CONCATENATE("          ", "4141", " - ", "NON-TAXABLE SALES-LOGO GIFTS")</f>
        <v xml:space="preserve">          4141 - NON-TAXABLE SALES-LOGO GIFTS</v>
      </c>
      <c r="C27" s="11"/>
      <c r="D27" s="2">
        <f>--262.7</f>
        <v>262.7</v>
      </c>
      <c r="E27" s="2"/>
      <c r="F27" s="21"/>
      <c r="G27" s="2"/>
      <c r="H27" s="2">
        <f>--150.1</f>
        <v>150.1</v>
      </c>
      <c r="I27" s="2"/>
      <c r="J27" s="21"/>
      <c r="K27" s="2"/>
      <c r="L27" s="2">
        <f t="shared" si="0"/>
        <v>112.6</v>
      </c>
      <c r="M27" s="2"/>
      <c r="N27" s="21">
        <f t="shared" si="1"/>
        <v>0.75016655562958023</v>
      </c>
      <c r="O27" s="11"/>
      <c r="P27" s="2">
        <f>--516.9</f>
        <v>516.9</v>
      </c>
      <c r="Q27" s="2"/>
      <c r="R27" s="21"/>
      <c r="S27" s="2"/>
      <c r="T27" s="2">
        <f>--335.75</f>
        <v>335.75</v>
      </c>
      <c r="U27" s="2"/>
      <c r="V27" s="21"/>
      <c r="W27" s="2"/>
      <c r="X27" s="2">
        <f t="shared" si="2"/>
        <v>181.14999999999998</v>
      </c>
      <c r="Y27" s="2"/>
      <c r="Z27" s="21">
        <f t="shared" si="3"/>
        <v>0.53953834698436332</v>
      </c>
    </row>
    <row r="28" spans="1:26" s="24" customFormat="1" hidden="1" outlineLevel="1" x14ac:dyDescent="0.25">
      <c r="A28" s="50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--176.66</f>
        <v>176.66</v>
      </c>
      <c r="E28" s="2"/>
      <c r="F28" s="21"/>
      <c r="G28" s="2"/>
      <c r="H28" s="2">
        <f>--81.54</f>
        <v>81.540000000000006</v>
      </c>
      <c r="I28" s="2"/>
      <c r="J28" s="21"/>
      <c r="K28" s="2"/>
      <c r="L28" s="2">
        <f t="shared" si="0"/>
        <v>95.11999999999999</v>
      </c>
      <c r="M28" s="2"/>
      <c r="N28" s="21">
        <f t="shared" si="1"/>
        <v>1.1665440274711796</v>
      </c>
      <c r="O28" s="11"/>
      <c r="P28" s="2">
        <f>--408.1</f>
        <v>408.1</v>
      </c>
      <c r="Q28" s="2"/>
      <c r="R28" s="21"/>
      <c r="S28" s="2"/>
      <c r="T28" s="2">
        <f>--88.49</f>
        <v>88.49</v>
      </c>
      <c r="U28" s="2"/>
      <c r="V28" s="21"/>
      <c r="W28" s="2"/>
      <c r="X28" s="2">
        <f t="shared" si="2"/>
        <v>319.61</v>
      </c>
      <c r="Y28" s="2"/>
      <c r="Z28" s="21">
        <f t="shared" si="3"/>
        <v>3.6118205446943161</v>
      </c>
    </row>
    <row r="29" spans="1:26" s="24" customFormat="1" hidden="1" outlineLevel="1" x14ac:dyDescent="0.25">
      <c r="A29" s="50"/>
      <c r="B29" s="11" t="str">
        <f>CONCATENATE("          ", "4144", " - ", "NON-TAXABLE SALES-ACCESSORIES")</f>
        <v xml:space="preserve">          4144 - NON-TAXABLE SALES-ACCESSORIES</v>
      </c>
      <c r="C29" s="11"/>
      <c r="D29" s="2">
        <f>--117.86</f>
        <v>117.86</v>
      </c>
      <c r="E29" s="2"/>
      <c r="F29" s="21"/>
      <c r="G29" s="2"/>
      <c r="H29" s="2">
        <f>--39.95</f>
        <v>39.950000000000003</v>
      </c>
      <c r="I29" s="2"/>
      <c r="J29" s="21"/>
      <c r="K29" s="2"/>
      <c r="L29" s="2">
        <f t="shared" si="0"/>
        <v>77.91</v>
      </c>
      <c r="M29" s="2"/>
      <c r="N29" s="21">
        <f t="shared" si="1"/>
        <v>1.9501877346683352</v>
      </c>
      <c r="O29" s="11"/>
      <c r="P29" s="2">
        <f>--139.76</f>
        <v>139.76</v>
      </c>
      <c r="Q29" s="2"/>
      <c r="R29" s="21"/>
      <c r="S29" s="2"/>
      <c r="T29" s="2">
        <f>--84.9</f>
        <v>84.9</v>
      </c>
      <c r="U29" s="2"/>
      <c r="V29" s="21"/>
      <c r="W29" s="2"/>
      <c r="X29" s="2">
        <f t="shared" si="2"/>
        <v>54.859999999999985</v>
      </c>
      <c r="Y29" s="2"/>
      <c r="Z29" s="21">
        <f t="shared" si="3"/>
        <v>0.64617196702002333</v>
      </c>
    </row>
    <row r="30" spans="1:26" s="24" customFormat="1" hidden="1" outlineLevel="1" x14ac:dyDescent="0.25">
      <c r="A30" s="50"/>
      <c r="B30" s="11" t="str">
        <f>CONCATENATE("          ", "4145", " - ", "NON-TAXABLE SALES-SPECIAL ORDE")</f>
        <v xml:space="preserve">          4145 - NON-TAXABLE SALES-SPECIAL ORDE</v>
      </c>
      <c r="C30" s="11"/>
      <c r="D30" s="2">
        <f>--90</f>
        <v>90</v>
      </c>
      <c r="E30" s="2"/>
      <c r="F30" s="21"/>
      <c r="G30" s="2"/>
      <c r="H30" s="2">
        <f>--141.9</f>
        <v>141.9</v>
      </c>
      <c r="I30" s="2"/>
      <c r="J30" s="21"/>
      <c r="K30" s="2"/>
      <c r="L30" s="2">
        <f t="shared" si="0"/>
        <v>-51.900000000000006</v>
      </c>
      <c r="M30" s="2"/>
      <c r="N30" s="21">
        <f t="shared" si="1"/>
        <v>-0.36575052854122625</v>
      </c>
      <c r="O30" s="11"/>
      <c r="P30" s="2">
        <f>--90</f>
        <v>90</v>
      </c>
      <c r="Q30" s="2"/>
      <c r="R30" s="21"/>
      <c r="S30" s="2"/>
      <c r="T30" s="2">
        <f>--201.75</f>
        <v>201.75</v>
      </c>
      <c r="U30" s="2"/>
      <c r="V30" s="21"/>
      <c r="W30" s="2"/>
      <c r="X30" s="2">
        <f t="shared" si="2"/>
        <v>-111.75</v>
      </c>
      <c r="Y30" s="2"/>
      <c r="Z30" s="21">
        <f t="shared" si="3"/>
        <v>-0.55390334572490707</v>
      </c>
    </row>
    <row r="31" spans="1:26" s="24" customFormat="1" hidden="1" outlineLevel="1" x14ac:dyDescent="0.25">
      <c r="A31" s="50"/>
      <c r="B31" s="11" t="str">
        <f>CONCATENATE("          ", "4227", " - ", "SALES RETURN TAXABLE-SCHOOL SU")</f>
        <v xml:space="preserve">          4227 - SALES RETURN TAXABLE-SCHOOL SU</v>
      </c>
      <c r="C31" s="11"/>
      <c r="D31" s="2">
        <f>0</f>
        <v>0</v>
      </c>
      <c r="E31" s="2"/>
      <c r="F31" s="21"/>
      <c r="G31" s="2"/>
      <c r="H31" s="2">
        <f>-4.99</f>
        <v>-4.99</v>
      </c>
      <c r="I31" s="2"/>
      <c r="J31" s="21"/>
      <c r="K31" s="2"/>
      <c r="L31" s="2">
        <f t="shared" si="0"/>
        <v>4.99</v>
      </c>
      <c r="M31" s="2"/>
      <c r="N31" s="21">
        <f t="shared" si="1"/>
        <v>-1</v>
      </c>
      <c r="O31" s="11"/>
      <c r="P31" s="2">
        <f>0</f>
        <v>0</v>
      </c>
      <c r="Q31" s="2"/>
      <c r="R31" s="21"/>
      <c r="S31" s="2"/>
      <c r="T31" s="2">
        <f>-4.99</f>
        <v>-4.99</v>
      </c>
      <c r="U31" s="2"/>
      <c r="V31" s="21"/>
      <c r="W31" s="2"/>
      <c r="X31" s="2">
        <f t="shared" si="2"/>
        <v>4.99</v>
      </c>
      <c r="Y31" s="2"/>
      <c r="Z31" s="21">
        <f t="shared" si="3"/>
        <v>-1</v>
      </c>
    </row>
    <row r="32" spans="1:26" s="24" customFormat="1" hidden="1" outlineLevel="1" x14ac:dyDescent="0.25">
      <c r="A32" s="50"/>
      <c r="B32" s="11" t="str">
        <f>CONCATENATE("          ", "4240", " - ", "SALES RETURN TAXABLE-LOGO CLOT")</f>
        <v xml:space="preserve">          4240 - SALES RETURN TAXABLE-LOGO CLOT</v>
      </c>
      <c r="C32" s="11"/>
      <c r="D32" s="2">
        <f>-6807.65</f>
        <v>-6807.65</v>
      </c>
      <c r="E32" s="2"/>
      <c r="F32" s="21"/>
      <c r="G32" s="2"/>
      <c r="H32" s="2">
        <f>-6341.85</f>
        <v>-6341.85</v>
      </c>
      <c r="I32" s="2"/>
      <c r="J32" s="21"/>
      <c r="K32" s="2"/>
      <c r="L32" s="2">
        <f t="shared" si="0"/>
        <v>-465.79999999999927</v>
      </c>
      <c r="M32" s="2"/>
      <c r="N32" s="21">
        <f t="shared" si="1"/>
        <v>7.3448599383460544E-2</v>
      </c>
      <c r="O32" s="11"/>
      <c r="P32" s="2">
        <f>-11254.49</f>
        <v>-11254.49</v>
      </c>
      <c r="Q32" s="2"/>
      <c r="R32" s="21"/>
      <c r="S32" s="2"/>
      <c r="T32" s="2">
        <f>-11571.8</f>
        <v>-11571.8</v>
      </c>
      <c r="U32" s="2"/>
      <c r="V32" s="21"/>
      <c r="W32" s="2"/>
      <c r="X32" s="2">
        <f t="shared" si="2"/>
        <v>317.30999999999949</v>
      </c>
      <c r="Y32" s="2"/>
      <c r="Z32" s="21">
        <f t="shared" si="3"/>
        <v>-2.7420971672514172E-2</v>
      </c>
    </row>
    <row r="33" spans="1:26" s="24" customFormat="1" hidden="1" outlineLevel="1" x14ac:dyDescent="0.25">
      <c r="A33" s="50"/>
      <c r="B33" s="11" t="str">
        <f>CONCATENATE("          ", "4241", " - ", "SALES RETURN TAXABLE-LOGO GIFT")</f>
        <v xml:space="preserve">          4241 - SALES RETURN TAXABLE-LOGO GIFT</v>
      </c>
      <c r="C33" s="11"/>
      <c r="D33" s="2">
        <f>-518.16</f>
        <v>-518.16</v>
      </c>
      <c r="E33" s="2"/>
      <c r="F33" s="21"/>
      <c r="G33" s="2"/>
      <c r="H33" s="2">
        <f>-708.25</f>
        <v>-708.25</v>
      </c>
      <c r="I33" s="2"/>
      <c r="J33" s="21"/>
      <c r="K33" s="2"/>
      <c r="L33" s="2">
        <f t="shared" si="0"/>
        <v>190.09000000000003</v>
      </c>
      <c r="M33" s="2"/>
      <c r="N33" s="21">
        <f t="shared" si="1"/>
        <v>-0.26839392869749384</v>
      </c>
      <c r="O33" s="11"/>
      <c r="P33" s="2">
        <f>-1226.31</f>
        <v>-1226.31</v>
      </c>
      <c r="Q33" s="2"/>
      <c r="R33" s="21"/>
      <c r="S33" s="2"/>
      <c r="T33" s="2">
        <f>-1183.31</f>
        <v>-1183.31</v>
      </c>
      <c r="U33" s="2"/>
      <c r="V33" s="21"/>
      <c r="W33" s="2"/>
      <c r="X33" s="2">
        <f t="shared" si="2"/>
        <v>-43</v>
      </c>
      <c r="Y33" s="2"/>
      <c r="Z33" s="21">
        <f t="shared" si="3"/>
        <v>3.6338744707642125E-2</v>
      </c>
    </row>
    <row r="34" spans="1:26" s="24" customFormat="1" hidden="1" outlineLevel="1" x14ac:dyDescent="0.25">
      <c r="A34" s="50"/>
      <c r="B34" s="11" t="str">
        <f>CONCATENATE("          ", "4242", " - ", "SALES RETURN TAXABLE-EVERYDAY")</f>
        <v xml:space="preserve">          4242 - SALES RETURN TAXABLE-EVERYDAY</v>
      </c>
      <c r="C34" s="11"/>
      <c r="D34" s="2">
        <f>-450.83</f>
        <v>-450.83</v>
      </c>
      <c r="E34" s="2"/>
      <c r="F34" s="21"/>
      <c r="G34" s="2"/>
      <c r="H34" s="2">
        <f>-261.05</f>
        <v>-261.05</v>
      </c>
      <c r="I34" s="2"/>
      <c r="J34" s="21"/>
      <c r="K34" s="2"/>
      <c r="L34" s="2">
        <f t="shared" si="0"/>
        <v>-189.77999999999997</v>
      </c>
      <c r="M34" s="2"/>
      <c r="N34" s="21">
        <f t="shared" si="1"/>
        <v>0.72698716720934675</v>
      </c>
      <c r="O34" s="11"/>
      <c r="P34" s="2">
        <f>-808.61</f>
        <v>-808.61</v>
      </c>
      <c r="Q34" s="2"/>
      <c r="R34" s="21"/>
      <c r="S34" s="2"/>
      <c r="T34" s="2">
        <f>-421.79</f>
        <v>-421.79</v>
      </c>
      <c r="U34" s="2"/>
      <c r="V34" s="21"/>
      <c r="W34" s="2"/>
      <c r="X34" s="2">
        <f t="shared" si="2"/>
        <v>-386.82</v>
      </c>
      <c r="Y34" s="2"/>
      <c r="Z34" s="21">
        <f t="shared" si="3"/>
        <v>0.917091443609379</v>
      </c>
    </row>
    <row r="35" spans="1:26" s="24" customFormat="1" hidden="1" outlineLevel="1" x14ac:dyDescent="0.25">
      <c r="A35" s="50"/>
      <c r="B35" s="11" t="str">
        <f>CONCATENATE("          ", "4244", " - ", "SALES RETURN TAXABLE-ACCESSORI")</f>
        <v xml:space="preserve">          4244 - SALES RETURN TAXABLE-ACCESSORI</v>
      </c>
      <c r="C35" s="11"/>
      <c r="D35" s="2">
        <f>-443.68</f>
        <v>-443.68</v>
      </c>
      <c r="E35" s="2"/>
      <c r="F35" s="21"/>
      <c r="G35" s="2"/>
      <c r="H35" s="2">
        <f>-1614.36</f>
        <v>-1614.36</v>
      </c>
      <c r="I35" s="2"/>
      <c r="J35" s="21"/>
      <c r="K35" s="2"/>
      <c r="L35" s="2">
        <f t="shared" si="0"/>
        <v>1170.6799999999998</v>
      </c>
      <c r="M35" s="2"/>
      <c r="N35" s="21">
        <f t="shared" si="1"/>
        <v>-0.72516662950023536</v>
      </c>
      <c r="O35" s="11"/>
      <c r="P35" s="2">
        <f>-550.47</f>
        <v>-550.47</v>
      </c>
      <c r="Q35" s="2"/>
      <c r="R35" s="21"/>
      <c r="S35" s="2"/>
      <c r="T35" s="2">
        <f>-1759.26</f>
        <v>-1759.26</v>
      </c>
      <c r="U35" s="2"/>
      <c r="V35" s="21"/>
      <c r="W35" s="2"/>
      <c r="X35" s="2">
        <f t="shared" si="2"/>
        <v>1208.79</v>
      </c>
      <c r="Y35" s="2"/>
      <c r="Z35" s="21">
        <f t="shared" si="3"/>
        <v>-0.68710139490467581</v>
      </c>
    </row>
    <row r="36" spans="1:26" s="24" customFormat="1" hidden="1" outlineLevel="1" x14ac:dyDescent="0.25">
      <c r="A36" s="50"/>
      <c r="B36" s="11" t="str">
        <f>CONCATENATE("          ", "4245", " - ", "SALES RETURN TAXABLE-SPECIAL O")</f>
        <v xml:space="preserve">          4245 - SALES RETURN TAXABLE-SPECIAL O</v>
      </c>
      <c r="C36" s="11"/>
      <c r="D36" s="2">
        <f>-19.98</f>
        <v>-19.98</v>
      </c>
      <c r="E36" s="2"/>
      <c r="F36" s="21"/>
      <c r="G36" s="2"/>
      <c r="H36" s="2">
        <f>-154.9</f>
        <v>-154.9</v>
      </c>
      <c r="I36" s="2"/>
      <c r="J36" s="21"/>
      <c r="K36" s="2"/>
      <c r="L36" s="2">
        <f t="shared" si="0"/>
        <v>134.92000000000002</v>
      </c>
      <c r="M36" s="2"/>
      <c r="N36" s="21">
        <f t="shared" si="1"/>
        <v>-0.87101355713363471</v>
      </c>
      <c r="O36" s="11"/>
      <c r="P36" s="2">
        <f>-19.98</f>
        <v>-19.98</v>
      </c>
      <c r="Q36" s="2"/>
      <c r="R36" s="21"/>
      <c r="S36" s="2"/>
      <c r="T36" s="2">
        <f>-174.85</f>
        <v>-174.85</v>
      </c>
      <c r="U36" s="2"/>
      <c r="V36" s="21"/>
      <c r="W36" s="2"/>
      <c r="X36" s="2">
        <f t="shared" si="2"/>
        <v>154.87</v>
      </c>
      <c r="Y36" s="2"/>
      <c r="Z36" s="21">
        <f t="shared" si="3"/>
        <v>-0.88573062625107235</v>
      </c>
    </row>
    <row r="37" spans="1:26" s="24" customFormat="1" hidden="1" outlineLevel="1" x14ac:dyDescent="0.25">
      <c r="A37" s="50"/>
      <c r="B37" s="11" t="str">
        <f>CONCATENATE("          ", "4295", " - ", "SALES RETURN TAXABLE-CUSTOMER")</f>
        <v xml:space="preserve">          4295 - SALES RETURN TAXABLE-CUSTOMER</v>
      </c>
      <c r="C37" s="11"/>
      <c r="D37" s="2">
        <f>--0.99</f>
        <v>0.99</v>
      </c>
      <c r="E37" s="2"/>
      <c r="F37" s="21"/>
      <c r="G37" s="2"/>
      <c r="H37" s="2">
        <f>0</f>
        <v>0</v>
      </c>
      <c r="I37" s="2"/>
      <c r="J37" s="21"/>
      <c r="K37" s="2"/>
      <c r="L37" s="2">
        <f t="shared" si="0"/>
        <v>0.99</v>
      </c>
      <c r="M37" s="2"/>
      <c r="N37" s="21">
        <f t="shared" si="1"/>
        <v>0</v>
      </c>
      <c r="O37" s="11"/>
      <c r="P37" s="2">
        <f>--0.99</f>
        <v>0.99</v>
      </c>
      <c r="Q37" s="2"/>
      <c r="R37" s="21"/>
      <c r="S37" s="2"/>
      <c r="T37" s="2">
        <f>0</f>
        <v>0</v>
      </c>
      <c r="U37" s="2"/>
      <c r="V37" s="21"/>
      <c r="W37" s="2"/>
      <c r="X37" s="2">
        <f t="shared" si="2"/>
        <v>0.99</v>
      </c>
      <c r="Y37" s="2"/>
      <c r="Z37" s="21">
        <f t="shared" si="3"/>
        <v>0</v>
      </c>
    </row>
    <row r="38" spans="1:26" s="24" customFormat="1" hidden="1" outlineLevel="1" x14ac:dyDescent="0.25">
      <c r="A38" s="50"/>
      <c r="B38" s="11" t="str">
        <f>CONCATENATE("          ", "4340", " - ", "SALES RETURN NON TAXABLE-LOGO")</f>
        <v xml:space="preserve">          4340 - SALES RETURN NON TAXABLE-LOGO</v>
      </c>
      <c r="C38" s="11"/>
      <c r="D38" s="2">
        <f>-44.95</f>
        <v>-44.95</v>
      </c>
      <c r="E38" s="2"/>
      <c r="F38" s="21"/>
      <c r="G38" s="2"/>
      <c r="H38" s="2">
        <f>-191.74</f>
        <v>-191.74</v>
      </c>
      <c r="I38" s="2"/>
      <c r="J38" s="21"/>
      <c r="K38" s="2"/>
      <c r="L38" s="2">
        <f t="shared" si="0"/>
        <v>146.79000000000002</v>
      </c>
      <c r="M38" s="2"/>
      <c r="N38" s="21">
        <f t="shared" si="1"/>
        <v>-0.76556795660790666</v>
      </c>
      <c r="O38" s="11"/>
      <c r="P38" s="2">
        <f>-268.5</f>
        <v>-268.5</v>
      </c>
      <c r="Q38" s="2"/>
      <c r="R38" s="21"/>
      <c r="S38" s="2"/>
      <c r="T38" s="2">
        <f>-191.74</f>
        <v>-191.74</v>
      </c>
      <c r="U38" s="2"/>
      <c r="V38" s="21"/>
      <c r="W38" s="2"/>
      <c r="X38" s="2">
        <f t="shared" si="2"/>
        <v>-76.759999999999991</v>
      </c>
      <c r="Y38" s="2"/>
      <c r="Z38" s="21">
        <f t="shared" si="3"/>
        <v>0.4003337853343068</v>
      </c>
    </row>
    <row r="39" spans="1:26" s="24" customFormat="1" hidden="1" outlineLevel="1" x14ac:dyDescent="0.25">
      <c r="A39" s="50"/>
      <c r="B39" s="11" t="str">
        <f>CONCATENATE("          ", "4341", " - ", "SALES RETURN NON TAXABLE-LOGO")</f>
        <v xml:space="preserve">          4341 - SALES RETURN NON TAXABLE-LOGO</v>
      </c>
      <c r="C39" s="11"/>
      <c r="D39" s="2">
        <f>-3.95</f>
        <v>-3.95</v>
      </c>
      <c r="E39" s="2"/>
      <c r="F39" s="21"/>
      <c r="G39" s="2"/>
      <c r="H39" s="2">
        <f>0</f>
        <v>0</v>
      </c>
      <c r="I39" s="2"/>
      <c r="J39" s="21"/>
      <c r="K39" s="2"/>
      <c r="L39" s="2">
        <f t="shared" si="0"/>
        <v>-3.95</v>
      </c>
      <c r="M39" s="2"/>
      <c r="N39" s="21">
        <f t="shared" si="1"/>
        <v>0</v>
      </c>
      <c r="O39" s="11"/>
      <c r="P39" s="2">
        <f>-3.95</f>
        <v>-3.95</v>
      </c>
      <c r="Q39" s="2"/>
      <c r="R39" s="21"/>
      <c r="S39" s="2"/>
      <c r="T39" s="2">
        <f>0</f>
        <v>0</v>
      </c>
      <c r="U39" s="2"/>
      <c r="V39" s="21"/>
      <c r="W39" s="2"/>
      <c r="X39" s="2">
        <f t="shared" si="2"/>
        <v>-3.95</v>
      </c>
      <c r="Y39" s="2"/>
      <c r="Z39" s="21">
        <f t="shared" si="3"/>
        <v>0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5" t="s">
        <v>8</v>
      </c>
      <c r="C41" s="10"/>
      <c r="D41" s="4">
        <f>SUM(OSRRefD16x_0)</f>
        <v>145243.32999999996</v>
      </c>
      <c r="E41" s="4"/>
      <c r="F41" s="12">
        <f t="shared" ref="F41:F62" si="4">IF(D$12=0,0,D41/D$12)</f>
        <v>0.45019307738317355</v>
      </c>
      <c r="G41" s="4"/>
      <c r="H41" s="4">
        <f>SUM(OSRRefH16x_0)</f>
        <v>127583.13999999998</v>
      </c>
      <c r="I41" s="4"/>
      <c r="J41" s="12">
        <f t="shared" ref="J41:J62" si="5">IF(H$12=0,0,H41/H$12)</f>
        <v>0.46116907712969607</v>
      </c>
      <c r="K41" s="4"/>
      <c r="L41" s="4">
        <f t="shared" ref="L41:L62" si="6">+D41-H41</f>
        <v>17660.189999999973</v>
      </c>
      <c r="M41" s="4"/>
      <c r="N41" s="12">
        <f t="shared" ref="N41:N62" si="7">IF(H41=0,0,L41/H41)</f>
        <v>0.13842103274774376</v>
      </c>
      <c r="O41" s="10"/>
      <c r="P41" s="4">
        <f>SUM(OSRRefP16x_0)</f>
        <v>252616.67000000004</v>
      </c>
      <c r="Q41" s="4"/>
      <c r="R41" s="12">
        <f t="shared" ref="R41:R62" si="8">IF(P$12=0,0,P41/P$12)</f>
        <v>0.45536878255329455</v>
      </c>
      <c r="S41" s="4"/>
      <c r="T41" s="4">
        <f>SUM(OSRRefT16x_0)</f>
        <v>226724.97</v>
      </c>
      <c r="U41" s="4"/>
      <c r="V41" s="12">
        <f t="shared" ref="V41:V62" si="9">IF(T$12=0,0,T41/T$12)</f>
        <v>0.4651468482488596</v>
      </c>
      <c r="W41" s="4"/>
      <c r="X41" s="4">
        <f t="shared" ref="X41:X62" si="10">+P41-T41</f>
        <v>25891.700000000041</v>
      </c>
      <c r="Y41" s="4"/>
      <c r="Z41" s="12">
        <f t="shared" ref="Z41:Z62" si="11">IF(T41=0,0,X41/T41)</f>
        <v>0.11419871397490995</v>
      </c>
    </row>
    <row r="42" spans="1:26" s="24" customFormat="1" hidden="1" outlineLevel="1" x14ac:dyDescent="0.25">
      <c r="A42" s="50"/>
      <c r="B42" s="11" t="str">
        <f>CONCATENATE("          ", "5025", " - ", "PURCHASES @ COST-TEST FORMS")</f>
        <v xml:space="preserve">          5025 - PURCHASES @ COST-TEST FORMS</v>
      </c>
      <c r="C42" s="11"/>
      <c r="D42" s="2"/>
      <c r="E42" s="2"/>
      <c r="F42" s="21">
        <f t="shared" si="4"/>
        <v>0</v>
      </c>
      <c r="G42" s="2"/>
      <c r="H42" s="2"/>
      <c r="I42" s="2"/>
      <c r="J42" s="21">
        <f t="shared" si="5"/>
        <v>0</v>
      </c>
      <c r="K42" s="2"/>
      <c r="L42" s="2">
        <f t="shared" si="6"/>
        <v>0</v>
      </c>
      <c r="M42" s="2"/>
      <c r="N42" s="21">
        <f t="shared" si="7"/>
        <v>0</v>
      </c>
      <c r="O42" s="11"/>
      <c r="P42" s="2"/>
      <c r="Q42" s="2"/>
      <c r="R42" s="21">
        <f t="shared" si="8"/>
        <v>0</v>
      </c>
      <c r="S42" s="2"/>
      <c r="T42" s="2">
        <v>15</v>
      </c>
      <c r="U42" s="2"/>
      <c r="V42" s="21">
        <f t="shared" si="9"/>
        <v>3.077386105170901E-5</v>
      </c>
      <c r="W42" s="2"/>
      <c r="X42" s="2">
        <f t="shared" si="10"/>
        <v>-15</v>
      </c>
      <c r="Y42" s="2"/>
      <c r="Z42" s="21">
        <f t="shared" si="11"/>
        <v>-1</v>
      </c>
    </row>
    <row r="43" spans="1:26" s="24" customFormat="1" hidden="1" outlineLevel="1" x14ac:dyDescent="0.25">
      <c r="A43" s="50"/>
      <c r="B43" s="11" t="str">
        <f>CONCATENATE("          ", "5026", " - ", "PURCHASES @ COST-WRITING INSTR")</f>
        <v xml:space="preserve">          5026 - PURCHASES @ COST-WRITING INSTR</v>
      </c>
      <c r="C43" s="11"/>
      <c r="D43" s="2">
        <v>21.1</v>
      </c>
      <c r="E43" s="2"/>
      <c r="F43" s="21">
        <f t="shared" si="4"/>
        <v>6.5401102637793873E-5</v>
      </c>
      <c r="G43" s="2"/>
      <c r="H43" s="2">
        <v>35.4</v>
      </c>
      <c r="I43" s="2"/>
      <c r="J43" s="21">
        <f t="shared" si="5"/>
        <v>1.2795879871267663E-4</v>
      </c>
      <c r="K43" s="2"/>
      <c r="L43" s="2">
        <f t="shared" si="6"/>
        <v>-14.299999999999997</v>
      </c>
      <c r="M43" s="2"/>
      <c r="N43" s="21">
        <f t="shared" si="7"/>
        <v>-0.40395480225988695</v>
      </c>
      <c r="O43" s="11"/>
      <c r="P43" s="2">
        <v>-53.62</v>
      </c>
      <c r="Q43" s="2"/>
      <c r="R43" s="21">
        <f t="shared" si="8"/>
        <v>-9.6655830830592654E-5</v>
      </c>
      <c r="S43" s="2"/>
      <c r="T43" s="2">
        <v>205.86</v>
      </c>
      <c r="U43" s="2"/>
      <c r="V43" s="21">
        <f t="shared" si="9"/>
        <v>4.2234046907365448E-4</v>
      </c>
      <c r="W43" s="2"/>
      <c r="X43" s="2">
        <f t="shared" si="10"/>
        <v>-259.48</v>
      </c>
      <c r="Y43" s="2"/>
      <c r="Z43" s="21">
        <f t="shared" si="11"/>
        <v>-1.2604682794131934</v>
      </c>
    </row>
    <row r="44" spans="1:26" s="24" customFormat="1" hidden="1" outlineLevel="1" x14ac:dyDescent="0.25">
      <c r="A44" s="50"/>
      <c r="B44" s="11" t="str">
        <f>CONCATENATE("          ", "5027", " - ", "PURCHASES @ COST-SCHOOL SUPPLI")</f>
        <v xml:space="preserve">          5027 - PURCHASES @ COST-SCHOOL SUPPLI</v>
      </c>
      <c r="C44" s="11"/>
      <c r="D44" s="2">
        <v>62.2</v>
      </c>
      <c r="E44" s="2"/>
      <c r="F44" s="21">
        <f t="shared" si="4"/>
        <v>1.9279377175690894E-4</v>
      </c>
      <c r="G44" s="2"/>
      <c r="H44" s="2">
        <v>265.32</v>
      </c>
      <c r="I44" s="2"/>
      <c r="J44" s="21">
        <f t="shared" si="5"/>
        <v>9.5904035238551875E-4</v>
      </c>
      <c r="K44" s="2"/>
      <c r="L44" s="2">
        <f t="shared" si="6"/>
        <v>-203.12</v>
      </c>
      <c r="M44" s="2"/>
      <c r="N44" s="21">
        <f t="shared" si="7"/>
        <v>-0.76556610884969101</v>
      </c>
      <c r="O44" s="11"/>
      <c r="P44" s="2">
        <v>63.52</v>
      </c>
      <c r="Q44" s="2"/>
      <c r="R44" s="21">
        <f t="shared" si="8"/>
        <v>1.1450164816037385E-4</v>
      </c>
      <c r="S44" s="2"/>
      <c r="T44" s="2">
        <v>614.86</v>
      </c>
      <c r="U44" s="2"/>
      <c r="V44" s="21">
        <f t="shared" si="9"/>
        <v>1.2614410804169202E-3</v>
      </c>
      <c r="W44" s="2"/>
      <c r="X44" s="2">
        <f t="shared" si="10"/>
        <v>-551.34</v>
      </c>
      <c r="Y44" s="2"/>
      <c r="Z44" s="21">
        <f t="shared" si="11"/>
        <v>-0.8966919298702144</v>
      </c>
    </row>
    <row r="45" spans="1:26" s="24" customFormat="1" hidden="1" outlineLevel="1" x14ac:dyDescent="0.25">
      <c r="A45" s="50"/>
      <c r="B45" s="11" t="str">
        <f>CONCATENATE("          ", "5034", " - ", "PURCHASES @ COST-SODA")</f>
        <v xml:space="preserve">          5034 - PURCHASES @ COST-SODA</v>
      </c>
      <c r="C45" s="11"/>
      <c r="D45" s="2"/>
      <c r="E45" s="2"/>
      <c r="F45" s="21">
        <f t="shared" si="4"/>
        <v>0</v>
      </c>
      <c r="G45" s="2"/>
      <c r="H45" s="2"/>
      <c r="I45" s="2"/>
      <c r="J45" s="21">
        <f t="shared" si="5"/>
        <v>0</v>
      </c>
      <c r="K45" s="2"/>
      <c r="L45" s="2">
        <f t="shared" si="6"/>
        <v>0</v>
      </c>
      <c r="M45" s="2"/>
      <c r="N45" s="21">
        <f t="shared" si="7"/>
        <v>0</v>
      </c>
      <c r="O45" s="11"/>
      <c r="P45" s="2"/>
      <c r="Q45" s="2"/>
      <c r="R45" s="21">
        <f t="shared" si="8"/>
        <v>0</v>
      </c>
      <c r="S45" s="2"/>
      <c r="T45" s="2">
        <v>-9.24</v>
      </c>
      <c r="U45" s="2"/>
      <c r="V45" s="21">
        <f t="shared" si="9"/>
        <v>-1.895669840785275E-5</v>
      </c>
      <c r="W45" s="2"/>
      <c r="X45" s="2">
        <f t="shared" si="10"/>
        <v>9.24</v>
      </c>
      <c r="Y45" s="2"/>
      <c r="Z45" s="21">
        <f t="shared" si="11"/>
        <v>-1</v>
      </c>
    </row>
    <row r="46" spans="1:26" s="24" customFormat="1" hidden="1" outlineLevel="1" x14ac:dyDescent="0.25">
      <c r="A46" s="50"/>
      <c r="B46" s="11" t="str">
        <f>CONCATENATE("          ", "5037", " - ", "PURCHASES @ COST-WATER")</f>
        <v xml:space="preserve">          5037 - PURCHASES @ COST-WATER</v>
      </c>
      <c r="C46" s="11"/>
      <c r="D46" s="2">
        <v>12.72</v>
      </c>
      <c r="E46" s="2"/>
      <c r="F46" s="21">
        <f t="shared" si="4"/>
        <v>3.9426636282120286E-5</v>
      </c>
      <c r="G46" s="2"/>
      <c r="H46" s="2"/>
      <c r="I46" s="2"/>
      <c r="J46" s="21">
        <f t="shared" si="5"/>
        <v>0</v>
      </c>
      <c r="K46" s="2"/>
      <c r="L46" s="2">
        <f t="shared" si="6"/>
        <v>12.72</v>
      </c>
      <c r="M46" s="2"/>
      <c r="N46" s="21">
        <f t="shared" si="7"/>
        <v>0</v>
      </c>
      <c r="O46" s="11"/>
      <c r="P46" s="2">
        <v>29.76</v>
      </c>
      <c r="Q46" s="2"/>
      <c r="R46" s="21">
        <f t="shared" si="8"/>
        <v>5.3645608458008904E-5</v>
      </c>
      <c r="S46" s="2"/>
      <c r="T46" s="2"/>
      <c r="U46" s="2"/>
      <c r="V46" s="21">
        <f t="shared" si="9"/>
        <v>0</v>
      </c>
      <c r="W46" s="2"/>
      <c r="X46" s="2">
        <f t="shared" si="10"/>
        <v>29.76</v>
      </c>
      <c r="Y46" s="2"/>
      <c r="Z46" s="21">
        <f t="shared" si="11"/>
        <v>0</v>
      </c>
    </row>
    <row r="47" spans="1:26" s="24" customFormat="1" hidden="1" outlineLevel="1" x14ac:dyDescent="0.25">
      <c r="A47" s="50"/>
      <c r="B47" s="11" t="str">
        <f>CONCATENATE("          ", "5040", " - ", "PURCHASES @ COST-LOGO CLOTHING")</f>
        <v xml:space="preserve">          5040 - PURCHASES @ COST-LOGO CLOTHING</v>
      </c>
      <c r="C47" s="11"/>
      <c r="D47" s="2">
        <v>106647.4</v>
      </c>
      <c r="E47" s="2"/>
      <c r="F47" s="21">
        <f t="shared" si="4"/>
        <v>0.33056196935800269</v>
      </c>
      <c r="G47" s="2"/>
      <c r="H47" s="2">
        <v>88746.85</v>
      </c>
      <c r="I47" s="2"/>
      <c r="J47" s="21">
        <f t="shared" si="5"/>
        <v>0.32078927445011601</v>
      </c>
      <c r="K47" s="2"/>
      <c r="L47" s="2">
        <f t="shared" si="6"/>
        <v>17900.549999999988</v>
      </c>
      <c r="M47" s="2"/>
      <c r="N47" s="21">
        <f t="shared" si="7"/>
        <v>0.20170349708186811</v>
      </c>
      <c r="O47" s="11"/>
      <c r="P47" s="2">
        <v>185568.97</v>
      </c>
      <c r="Q47" s="2"/>
      <c r="R47" s="21">
        <f t="shared" si="8"/>
        <v>0.33450807481774197</v>
      </c>
      <c r="S47" s="2"/>
      <c r="T47" s="2">
        <v>168247.22</v>
      </c>
      <c r="U47" s="2"/>
      <c r="V47" s="21">
        <f t="shared" si="9"/>
        <v>0.34517443804108783</v>
      </c>
      <c r="W47" s="2"/>
      <c r="X47" s="2">
        <f t="shared" si="10"/>
        <v>17321.75</v>
      </c>
      <c r="Y47" s="2"/>
      <c r="Z47" s="21">
        <f t="shared" si="11"/>
        <v>0.10295415282344636</v>
      </c>
    </row>
    <row r="48" spans="1:26" s="24" customFormat="1" hidden="1" outlineLevel="1" x14ac:dyDescent="0.25">
      <c r="A48" s="50"/>
      <c r="B48" s="11" t="str">
        <f>CONCATENATE("          ", "5041", " - ", "PURCHASES @ COST-LOGO GIFTS")</f>
        <v xml:space="preserve">          5041 - PURCHASES @ COST-LOGO GIFTS</v>
      </c>
      <c r="C48" s="11"/>
      <c r="D48" s="2">
        <v>16578.89</v>
      </c>
      <c r="E48" s="2"/>
      <c r="F48" s="21">
        <f t="shared" si="4"/>
        <v>5.1387568081075558E-2</v>
      </c>
      <c r="G48" s="2"/>
      <c r="H48" s="2">
        <v>18758.96</v>
      </c>
      <c r="I48" s="2"/>
      <c r="J48" s="21">
        <f t="shared" si="5"/>
        <v>6.7807174765512776E-2</v>
      </c>
      <c r="K48" s="2"/>
      <c r="L48" s="2">
        <f t="shared" si="6"/>
        <v>-2180.0699999999997</v>
      </c>
      <c r="M48" s="2"/>
      <c r="N48" s="21">
        <f t="shared" si="7"/>
        <v>-0.11621486478994571</v>
      </c>
      <c r="O48" s="11"/>
      <c r="P48" s="2">
        <v>28529.16</v>
      </c>
      <c r="Q48" s="2"/>
      <c r="R48" s="21">
        <f t="shared" si="8"/>
        <v>5.1426886659808109E-2</v>
      </c>
      <c r="S48" s="2"/>
      <c r="T48" s="2">
        <v>40854.899999999994</v>
      </c>
      <c r="U48" s="2"/>
      <c r="V48" s="21">
        <f t="shared" si="9"/>
        <v>8.3817534392097742E-2</v>
      </c>
      <c r="W48" s="2"/>
      <c r="X48" s="2">
        <f t="shared" si="10"/>
        <v>-12325.739999999994</v>
      </c>
      <c r="Y48" s="2"/>
      <c r="Z48" s="21">
        <f t="shared" si="11"/>
        <v>-0.30169551265576455</v>
      </c>
    </row>
    <row r="49" spans="1:26" s="24" customFormat="1" hidden="1" outlineLevel="1" x14ac:dyDescent="0.25">
      <c r="A49" s="50"/>
      <c r="B49" s="11" t="str">
        <f>CONCATENATE("          ", "5042", " - ", "PURCHASES @ COST-EVERYDAY GIFT")</f>
        <v xml:space="preserve">          5042 - PURCHASES @ COST-EVERYDAY GIFT</v>
      </c>
      <c r="C49" s="11"/>
      <c r="D49" s="2">
        <v>15979.86</v>
      </c>
      <c r="E49" s="2"/>
      <c r="F49" s="21">
        <f t="shared" si="4"/>
        <v>4.9530827677610273E-2</v>
      </c>
      <c r="G49" s="2"/>
      <c r="H49" s="2">
        <v>18833.41</v>
      </c>
      <c r="I49" s="2"/>
      <c r="J49" s="21">
        <f t="shared" si="5"/>
        <v>6.8076285854895793E-2</v>
      </c>
      <c r="K49" s="2"/>
      <c r="L49" s="2">
        <f t="shared" si="6"/>
        <v>-2853.5499999999993</v>
      </c>
      <c r="M49" s="2"/>
      <c r="N49" s="21">
        <f t="shared" si="7"/>
        <v>-0.15151531241554234</v>
      </c>
      <c r="O49" s="11"/>
      <c r="P49" s="2">
        <v>23732.22</v>
      </c>
      <c r="Q49" s="2"/>
      <c r="R49" s="21">
        <f t="shared" si="8"/>
        <v>4.2779885146482802E-2</v>
      </c>
      <c r="S49" s="2"/>
      <c r="T49" s="2">
        <v>23533.83</v>
      </c>
      <c r="U49" s="2"/>
      <c r="V49" s="21">
        <f t="shared" si="9"/>
        <v>4.8281787628969404E-2</v>
      </c>
      <c r="W49" s="2"/>
      <c r="X49" s="2">
        <f t="shared" si="10"/>
        <v>198.38999999999942</v>
      </c>
      <c r="Y49" s="2"/>
      <c r="Z49" s="21">
        <f t="shared" si="11"/>
        <v>8.429992058241239E-3</v>
      </c>
    </row>
    <row r="50" spans="1:26" s="24" customFormat="1" hidden="1" outlineLevel="1" x14ac:dyDescent="0.25">
      <c r="A50" s="50"/>
      <c r="B50" s="11" t="str">
        <f>CONCATENATE("          ", "5043", " - ", "PURCHASES @ COST-CARDS")</f>
        <v xml:space="preserve">          5043 - PURCHASES @ COST-CARDS</v>
      </c>
      <c r="C50" s="11"/>
      <c r="D50" s="2">
        <v>15.24</v>
      </c>
      <c r="E50" s="2"/>
      <c r="F50" s="21">
        <f t="shared" si="4"/>
        <v>4.7237573658766752E-5</v>
      </c>
      <c r="G50" s="2"/>
      <c r="H50" s="2">
        <v>-6.92</v>
      </c>
      <c r="I50" s="2"/>
      <c r="J50" s="21">
        <f t="shared" si="5"/>
        <v>-2.5013414889596673E-5</v>
      </c>
      <c r="K50" s="2"/>
      <c r="L50" s="2">
        <f t="shared" si="6"/>
        <v>22.16</v>
      </c>
      <c r="M50" s="2"/>
      <c r="N50" s="21">
        <f t="shared" si="7"/>
        <v>-3.2023121387283235</v>
      </c>
      <c r="O50" s="11"/>
      <c r="P50" s="2">
        <v>513.5</v>
      </c>
      <c r="Q50" s="2"/>
      <c r="R50" s="21">
        <f t="shared" si="8"/>
        <v>9.2563911099420603E-4</v>
      </c>
      <c r="S50" s="2"/>
      <c r="T50" s="2">
        <v>463.81</v>
      </c>
      <c r="U50" s="2"/>
      <c r="V50" s="21">
        <f t="shared" si="9"/>
        <v>9.5154829962621043E-4</v>
      </c>
      <c r="W50" s="2"/>
      <c r="X50" s="2">
        <f t="shared" si="10"/>
        <v>49.69</v>
      </c>
      <c r="Y50" s="2"/>
      <c r="Z50" s="21">
        <f t="shared" si="11"/>
        <v>0.10713438692568077</v>
      </c>
    </row>
    <row r="51" spans="1:26" s="24" customFormat="1" hidden="1" outlineLevel="1" x14ac:dyDescent="0.25">
      <c r="A51" s="50"/>
      <c r="B51" s="11" t="str">
        <f>CONCATENATE("          ", "5044", " - ", "PURCHASES @ COST-ACCESSORIES")</f>
        <v xml:space="preserve">          5044 - PURCHASES @ COST-ACCESSORIES</v>
      </c>
      <c r="C51" s="11"/>
      <c r="D51" s="2">
        <v>13249.12</v>
      </c>
      <c r="E51" s="2"/>
      <c r="F51" s="21">
        <f t="shared" si="4"/>
        <v>4.1066685164950122E-2</v>
      </c>
      <c r="G51" s="2"/>
      <c r="H51" s="2">
        <v>2132.59</v>
      </c>
      <c r="I51" s="2"/>
      <c r="J51" s="21">
        <f t="shared" si="5"/>
        <v>7.7085778120527422E-3</v>
      </c>
      <c r="K51" s="2"/>
      <c r="L51" s="2">
        <f t="shared" si="6"/>
        <v>11116.53</v>
      </c>
      <c r="M51" s="2"/>
      <c r="N51" s="21">
        <f t="shared" si="7"/>
        <v>5.212689734079218</v>
      </c>
      <c r="O51" s="11"/>
      <c r="P51" s="2">
        <v>18088.12</v>
      </c>
      <c r="Q51" s="2"/>
      <c r="R51" s="21">
        <f t="shared" si="8"/>
        <v>3.2605786399915321E-2</v>
      </c>
      <c r="S51" s="2"/>
      <c r="T51" s="2">
        <v>8195.59</v>
      </c>
      <c r="U51" s="2"/>
      <c r="V51" s="21">
        <f t="shared" si="9"/>
        <v>1.6813996526451724E-2</v>
      </c>
      <c r="W51" s="2"/>
      <c r="X51" s="2">
        <f t="shared" si="10"/>
        <v>9892.5299999999988</v>
      </c>
      <c r="Y51" s="2"/>
      <c r="Z51" s="21">
        <f t="shared" si="11"/>
        <v>1.2070552577666769</v>
      </c>
    </row>
    <row r="52" spans="1:26" s="24" customFormat="1" hidden="1" outlineLevel="1" x14ac:dyDescent="0.25">
      <c r="A52" s="50"/>
      <c r="B52" s="11" t="str">
        <f>CONCATENATE("          ", "5045", " - ", "PURCHASES @ COST-SPECIAL ORDER")</f>
        <v xml:space="preserve">          5045 - PURCHASES @ COST-SPECIAL ORDER</v>
      </c>
      <c r="C52" s="11"/>
      <c r="D52" s="2">
        <v>4152.78</v>
      </c>
      <c r="E52" s="2"/>
      <c r="F52" s="21">
        <f t="shared" si="4"/>
        <v>1.2871866872615052E-2</v>
      </c>
      <c r="G52" s="2"/>
      <c r="H52" s="2">
        <v>11385.67</v>
      </c>
      <c r="I52" s="2"/>
      <c r="J52" s="21">
        <f t="shared" si="5"/>
        <v>4.1155272760987599E-2</v>
      </c>
      <c r="K52" s="2"/>
      <c r="L52" s="2">
        <f t="shared" si="6"/>
        <v>-7232.89</v>
      </c>
      <c r="M52" s="2"/>
      <c r="N52" s="21">
        <f t="shared" si="7"/>
        <v>-0.6352625712847817</v>
      </c>
      <c r="O52" s="11"/>
      <c r="P52" s="2">
        <v>20145.63</v>
      </c>
      <c r="Q52" s="2"/>
      <c r="R52" s="21">
        <f t="shared" si="8"/>
        <v>3.6314669997309069E-2</v>
      </c>
      <c r="S52" s="2"/>
      <c r="T52" s="2">
        <v>30009.980000000003</v>
      </c>
      <c r="U52" s="2"/>
      <c r="V52" s="21">
        <f t="shared" si="9"/>
        <v>6.1568196978971097E-2</v>
      </c>
      <c r="W52" s="2"/>
      <c r="X52" s="2">
        <f t="shared" si="10"/>
        <v>-9864.3500000000022</v>
      </c>
      <c r="Y52" s="2"/>
      <c r="Z52" s="21">
        <f t="shared" si="11"/>
        <v>-0.32870231836209157</v>
      </c>
    </row>
    <row r="53" spans="1:26" s="24" customFormat="1" hidden="1" outlineLevel="1" x14ac:dyDescent="0.25">
      <c r="A53" s="50"/>
      <c r="B53" s="11" t="str">
        <f>CONCATENATE("          ", "5083", " - ", "PURCHASES @ COST-COMPUTER EQUI")</f>
        <v xml:space="preserve">          5083 - PURCHASES @ COST-COMPUTER EQUI</v>
      </c>
      <c r="C53" s="11"/>
      <c r="D53" s="2">
        <v>39.950000000000003</v>
      </c>
      <c r="E53" s="2"/>
      <c r="F53" s="21">
        <f t="shared" si="4"/>
        <v>1.2382815404643911E-4</v>
      </c>
      <c r="G53" s="2"/>
      <c r="H53" s="2">
        <v>15.8</v>
      </c>
      <c r="I53" s="2"/>
      <c r="J53" s="21">
        <f t="shared" si="5"/>
        <v>5.7111554227691833E-5</v>
      </c>
      <c r="K53" s="2"/>
      <c r="L53" s="2">
        <f t="shared" si="6"/>
        <v>24.150000000000002</v>
      </c>
      <c r="M53" s="2"/>
      <c r="N53" s="21">
        <f t="shared" si="7"/>
        <v>1.528481012658228</v>
      </c>
      <c r="O53" s="11"/>
      <c r="P53" s="2">
        <v>39.950000000000003</v>
      </c>
      <c r="Q53" s="2"/>
      <c r="R53" s="21">
        <f t="shared" si="8"/>
        <v>7.2014182053005909E-5</v>
      </c>
      <c r="S53" s="2"/>
      <c r="T53" s="2">
        <v>15.8</v>
      </c>
      <c r="U53" s="2"/>
      <c r="V53" s="21">
        <f t="shared" si="9"/>
        <v>3.2415133641133493E-5</v>
      </c>
      <c r="W53" s="2"/>
      <c r="X53" s="2">
        <f t="shared" si="10"/>
        <v>24.150000000000002</v>
      </c>
      <c r="Y53" s="2"/>
      <c r="Z53" s="21">
        <f t="shared" si="11"/>
        <v>1.528481012658228</v>
      </c>
    </row>
    <row r="54" spans="1:26" s="24" customFormat="1" hidden="1" outlineLevel="1" x14ac:dyDescent="0.25">
      <c r="A54" s="50"/>
      <c r="B54" s="11" t="str">
        <f>CONCATENATE("          ", "5095", " - ", "PURCHASES @ COST-CUSTOMER SERV")</f>
        <v xml:space="preserve">          5095 - PURCHASES @ COST-CUSTOMER SERV</v>
      </c>
      <c r="C54" s="11"/>
      <c r="D54" s="2"/>
      <c r="E54" s="2"/>
      <c r="F54" s="21">
        <f t="shared" si="4"/>
        <v>0</v>
      </c>
      <c r="G54" s="2"/>
      <c r="H54" s="2"/>
      <c r="I54" s="2"/>
      <c r="J54" s="21">
        <f t="shared" si="5"/>
        <v>0</v>
      </c>
      <c r="K54" s="2"/>
      <c r="L54" s="2">
        <f t="shared" si="6"/>
        <v>0</v>
      </c>
      <c r="M54" s="2"/>
      <c r="N54" s="21">
        <f t="shared" si="7"/>
        <v>0</v>
      </c>
      <c r="O54" s="11"/>
      <c r="P54" s="2">
        <v>-11.85</v>
      </c>
      <c r="Q54" s="2"/>
      <c r="R54" s="21">
        <f t="shared" si="8"/>
        <v>-2.1360902561404753E-5</v>
      </c>
      <c r="S54" s="2"/>
      <c r="T54" s="2"/>
      <c r="U54" s="2"/>
      <c r="V54" s="21">
        <f t="shared" si="9"/>
        <v>0</v>
      </c>
      <c r="W54" s="2"/>
      <c r="X54" s="2">
        <f t="shared" si="10"/>
        <v>-11.85</v>
      </c>
      <c r="Y54" s="2"/>
      <c r="Z54" s="21">
        <f t="shared" si="11"/>
        <v>0</v>
      </c>
    </row>
    <row r="55" spans="1:26" s="24" customFormat="1" hidden="1" outlineLevel="1" x14ac:dyDescent="0.25">
      <c r="A55" s="50"/>
      <c r="B55" s="11" t="str">
        <f>CONCATENATE("          ", "5200", " - ", "PURCHASES OFFSET")</f>
        <v xml:space="preserve">          5200 - PURCHASES OFFSET</v>
      </c>
      <c r="C55" s="11"/>
      <c r="D55" s="2">
        <v>-159285</v>
      </c>
      <c r="E55" s="2"/>
      <c r="F55" s="21">
        <f t="shared" si="4"/>
        <v>-0.49371633334886234</v>
      </c>
      <c r="G55" s="2"/>
      <c r="H55" s="2">
        <v>-143849</v>
      </c>
      <c r="I55" s="2"/>
      <c r="J55" s="21">
        <f t="shared" si="5"/>
        <v>-0.51996455468982539</v>
      </c>
      <c r="K55" s="2"/>
      <c r="L55" s="2">
        <f t="shared" si="6"/>
        <v>-15436</v>
      </c>
      <c r="M55" s="2"/>
      <c r="N55" s="21">
        <f t="shared" si="7"/>
        <v>0.10730696772309853</v>
      </c>
      <c r="O55" s="11"/>
      <c r="P55" s="2">
        <v>-280154</v>
      </c>
      <c r="Q55" s="2"/>
      <c r="R55" s="21">
        <f t="shared" si="8"/>
        <v>-0.50500778870783014</v>
      </c>
      <c r="S55" s="2"/>
      <c r="T55" s="2">
        <v>-278040</v>
      </c>
      <c r="U55" s="2"/>
      <c r="V55" s="21">
        <f t="shared" si="9"/>
        <v>-0.57042428845447823</v>
      </c>
      <c r="W55" s="2"/>
      <c r="X55" s="2">
        <f t="shared" si="10"/>
        <v>-2114</v>
      </c>
      <c r="Y55" s="2"/>
      <c r="Z55" s="21">
        <f t="shared" si="11"/>
        <v>7.6032225579053371E-3</v>
      </c>
    </row>
    <row r="56" spans="1:26" s="24" customFormat="1" hidden="1" outlineLevel="1" x14ac:dyDescent="0.25">
      <c r="A56" s="50"/>
      <c r="B56" s="11" t="str">
        <f>CONCATENATE("          ", "5300", " - ", "COG$ OFFSET")</f>
        <v xml:space="preserve">          5300 - COG$ OFFSET</v>
      </c>
      <c r="C56" s="11"/>
      <c r="D56" s="2">
        <v>145245</v>
      </c>
      <c r="E56" s="2"/>
      <c r="F56" s="21">
        <f t="shared" si="4"/>
        <v>0.45019825367897487</v>
      </c>
      <c r="G56" s="2"/>
      <c r="H56" s="2">
        <v>127582.00000000001</v>
      </c>
      <c r="I56" s="2"/>
      <c r="J56" s="21">
        <f t="shared" si="5"/>
        <v>0.46116495642261895</v>
      </c>
      <c r="K56" s="2"/>
      <c r="L56" s="2">
        <f t="shared" si="6"/>
        <v>17662.999999999985</v>
      </c>
      <c r="M56" s="2"/>
      <c r="N56" s="21">
        <f t="shared" si="7"/>
        <v>0.13844429464971536</v>
      </c>
      <c r="O56" s="11"/>
      <c r="P56" s="2">
        <v>252618</v>
      </c>
      <c r="Q56" s="2"/>
      <c r="R56" s="21">
        <f t="shared" si="8"/>
        <v>0.45537118002168325</v>
      </c>
      <c r="S56" s="2"/>
      <c r="T56" s="2">
        <v>226725</v>
      </c>
      <c r="U56" s="2"/>
      <c r="V56" s="21">
        <f t="shared" si="9"/>
        <v>0.46514690979658169</v>
      </c>
      <c r="W56" s="2"/>
      <c r="X56" s="2">
        <f t="shared" si="10"/>
        <v>25893</v>
      </c>
      <c r="Y56" s="2"/>
      <c r="Z56" s="21">
        <f t="shared" si="11"/>
        <v>0.11420443268276546</v>
      </c>
    </row>
    <row r="57" spans="1:26" s="24" customFormat="1" hidden="1" outlineLevel="1" x14ac:dyDescent="0.25">
      <c r="A57" s="50"/>
      <c r="B57" s="11" t="str">
        <f>CONCATENATE("          ", "5540", " - ", "FREIGHT-IN-LOGO CLOTHING")</f>
        <v xml:space="preserve">          5540 - FREIGHT-IN-LOGO CLOTHING</v>
      </c>
      <c r="C57" s="11"/>
      <c r="D57" s="2">
        <v>1936.72</v>
      </c>
      <c r="E57" s="2"/>
      <c r="F57" s="21">
        <f t="shared" si="4"/>
        <v>6.0030153317852195E-3</v>
      </c>
      <c r="G57" s="2"/>
      <c r="H57" s="2">
        <v>1830.62</v>
      </c>
      <c r="I57" s="2"/>
      <c r="J57" s="21">
        <f t="shared" si="5"/>
        <v>6.6170603417909628E-3</v>
      </c>
      <c r="K57" s="2"/>
      <c r="L57" s="2">
        <f t="shared" si="6"/>
        <v>106.10000000000014</v>
      </c>
      <c r="M57" s="2"/>
      <c r="N57" s="21">
        <f t="shared" si="7"/>
        <v>5.7958505861402228E-2</v>
      </c>
      <c r="O57" s="11"/>
      <c r="P57" s="2">
        <v>2331.94</v>
      </c>
      <c r="Q57" s="2"/>
      <c r="R57" s="21">
        <f t="shared" si="8"/>
        <v>4.2035732589909038E-3</v>
      </c>
      <c r="S57" s="2"/>
      <c r="T57" s="2">
        <v>2920.15</v>
      </c>
      <c r="U57" s="2"/>
      <c r="V57" s="21">
        <f t="shared" si="9"/>
        <v>5.9909526900098712E-3</v>
      </c>
      <c r="W57" s="2"/>
      <c r="X57" s="2">
        <f t="shared" si="10"/>
        <v>-588.21</v>
      </c>
      <c r="Y57" s="2"/>
      <c r="Z57" s="21">
        <f t="shared" si="11"/>
        <v>-0.20143143331678168</v>
      </c>
    </row>
    <row r="58" spans="1:26" s="24" customFormat="1" hidden="1" outlineLevel="1" x14ac:dyDescent="0.25">
      <c r="A58" s="50"/>
      <c r="B58" s="11" t="str">
        <f>CONCATENATE("          ", "5541", " - ", "FREIGHT-IN-LOGO GIFTS")</f>
        <v xml:space="preserve">          5541 - FREIGHT-IN-LOGO GIFTS</v>
      </c>
      <c r="C58" s="11"/>
      <c r="D58" s="2">
        <v>405.92</v>
      </c>
      <c r="E58" s="2"/>
      <c r="F58" s="21">
        <f t="shared" si="4"/>
        <v>1.2581808333048952E-3</v>
      </c>
      <c r="G58" s="2"/>
      <c r="H58" s="2">
        <v>456.13</v>
      </c>
      <c r="I58" s="2"/>
      <c r="J58" s="21">
        <f t="shared" si="5"/>
        <v>1.6487527360681692E-3</v>
      </c>
      <c r="K58" s="2"/>
      <c r="L58" s="2">
        <f t="shared" si="6"/>
        <v>-50.20999999999998</v>
      </c>
      <c r="M58" s="2"/>
      <c r="N58" s="21">
        <f t="shared" si="7"/>
        <v>-0.11007826716067784</v>
      </c>
      <c r="O58" s="11"/>
      <c r="P58" s="2">
        <v>720.41</v>
      </c>
      <c r="Q58" s="2"/>
      <c r="R58" s="21">
        <f t="shared" si="8"/>
        <v>1.2986166931866327E-3</v>
      </c>
      <c r="S58" s="2"/>
      <c r="T58" s="2">
        <v>1241.53</v>
      </c>
      <c r="U58" s="2"/>
      <c r="V58" s="21">
        <f t="shared" si="9"/>
        <v>2.547111447435219E-3</v>
      </c>
      <c r="W58" s="2"/>
      <c r="X58" s="2">
        <f t="shared" si="10"/>
        <v>-521.12</v>
      </c>
      <c r="Y58" s="2"/>
      <c r="Z58" s="21">
        <f t="shared" si="11"/>
        <v>-0.41974015931954928</v>
      </c>
    </row>
    <row r="59" spans="1:26" s="24" customFormat="1" hidden="1" outlineLevel="1" x14ac:dyDescent="0.25">
      <c r="A59" s="50"/>
      <c r="B59" s="11" t="str">
        <f>CONCATENATE("          ", "5542", " - ", "FREIGHT-IN-EVERYDAY GIFTS")</f>
        <v xml:space="preserve">          5542 - FREIGHT-IN-EVERYDAY GIFTS</v>
      </c>
      <c r="C59" s="11"/>
      <c r="D59" s="2">
        <v>83.05</v>
      </c>
      <c r="E59" s="2"/>
      <c r="F59" s="21">
        <f t="shared" si="4"/>
        <v>2.5741997981368629E-4</v>
      </c>
      <c r="G59" s="2"/>
      <c r="H59" s="2">
        <v>422.79</v>
      </c>
      <c r="I59" s="2"/>
      <c r="J59" s="21">
        <f t="shared" si="5"/>
        <v>1.5282401273370779E-3</v>
      </c>
      <c r="K59" s="2"/>
      <c r="L59" s="2">
        <f t="shared" si="6"/>
        <v>-339.74</v>
      </c>
      <c r="M59" s="2"/>
      <c r="N59" s="21">
        <f t="shared" si="7"/>
        <v>-0.8035667825634476</v>
      </c>
      <c r="O59" s="11"/>
      <c r="P59" s="2">
        <v>112.77</v>
      </c>
      <c r="Q59" s="2"/>
      <c r="R59" s="21">
        <f t="shared" si="8"/>
        <v>2.0328008285650751E-4</v>
      </c>
      <c r="S59" s="2"/>
      <c r="T59" s="2">
        <v>422.79</v>
      </c>
      <c r="U59" s="2"/>
      <c r="V59" s="21">
        <f t="shared" si="9"/>
        <v>8.6739204760347014E-4</v>
      </c>
      <c r="W59" s="2"/>
      <c r="X59" s="2">
        <f t="shared" si="10"/>
        <v>-310.02000000000004</v>
      </c>
      <c r="Y59" s="2"/>
      <c r="Z59" s="21">
        <f t="shared" si="11"/>
        <v>-0.73327183708223942</v>
      </c>
    </row>
    <row r="60" spans="1:26" s="24" customFormat="1" hidden="1" outlineLevel="1" x14ac:dyDescent="0.25">
      <c r="A60" s="50"/>
      <c r="B60" s="11" t="str">
        <f>CONCATENATE("          ", "5543", " - ", "FREIGHT-IN-CARDS")</f>
        <v xml:space="preserve">          5543 - FREIGHT-IN-CARDS</v>
      </c>
      <c r="C60" s="11"/>
      <c r="D60" s="2">
        <v>4.58</v>
      </c>
      <c r="E60" s="2"/>
      <c r="F60" s="21">
        <f t="shared" si="4"/>
        <v>1.4196068724222555E-5</v>
      </c>
      <c r="G60" s="2"/>
      <c r="H60" s="2"/>
      <c r="I60" s="2"/>
      <c r="J60" s="21">
        <f t="shared" si="5"/>
        <v>0</v>
      </c>
      <c r="K60" s="2"/>
      <c r="L60" s="2">
        <f t="shared" si="6"/>
        <v>4.58</v>
      </c>
      <c r="M60" s="2"/>
      <c r="N60" s="21">
        <f t="shared" si="7"/>
        <v>0</v>
      </c>
      <c r="O60" s="11"/>
      <c r="P60" s="2">
        <v>4.58</v>
      </c>
      <c r="Q60" s="2"/>
      <c r="R60" s="21">
        <f t="shared" si="8"/>
        <v>8.2559437747876599E-6</v>
      </c>
      <c r="S60" s="2"/>
      <c r="T60" s="2"/>
      <c r="U60" s="2"/>
      <c r="V60" s="21">
        <f t="shared" si="9"/>
        <v>0</v>
      </c>
      <c r="W60" s="2"/>
      <c r="X60" s="2">
        <f t="shared" si="10"/>
        <v>4.58</v>
      </c>
      <c r="Y60" s="2"/>
      <c r="Z60" s="21">
        <f t="shared" si="11"/>
        <v>0</v>
      </c>
    </row>
    <row r="61" spans="1:26" s="24" customFormat="1" hidden="1" outlineLevel="1" x14ac:dyDescent="0.25">
      <c r="A61" s="50"/>
      <c r="B61" s="11" t="str">
        <f>CONCATENATE("          ", "5544", " - ", "FREIGHT-IN-ACCESSORIES")</f>
        <v xml:space="preserve">          5544 - FREIGHT-IN-ACCESSORIES</v>
      </c>
      <c r="C61" s="11"/>
      <c r="D61" s="2">
        <v>84.93</v>
      </c>
      <c r="E61" s="2"/>
      <c r="F61" s="21">
        <f t="shared" si="4"/>
        <v>2.632471870629305E-4</v>
      </c>
      <c r="G61" s="2"/>
      <c r="H61" s="2">
        <v>123.59</v>
      </c>
      <c r="I61" s="2"/>
      <c r="J61" s="21">
        <f t="shared" si="5"/>
        <v>4.4673525234179955E-4</v>
      </c>
      <c r="K61" s="2"/>
      <c r="L61" s="2">
        <f t="shared" si="6"/>
        <v>-38.659999999999997</v>
      </c>
      <c r="M61" s="2"/>
      <c r="N61" s="21">
        <f t="shared" si="7"/>
        <v>-0.31280847965045711</v>
      </c>
      <c r="O61" s="11"/>
      <c r="P61" s="2">
        <v>101.66</v>
      </c>
      <c r="Q61" s="2"/>
      <c r="R61" s="21">
        <f t="shared" si="8"/>
        <v>1.8325311007530862E-4</v>
      </c>
      <c r="S61" s="2"/>
      <c r="T61" s="2">
        <v>152.85</v>
      </c>
      <c r="U61" s="2"/>
      <c r="V61" s="21">
        <f t="shared" si="9"/>
        <v>3.1358564411691482E-4</v>
      </c>
      <c r="W61" s="2"/>
      <c r="X61" s="2">
        <f t="shared" si="10"/>
        <v>-51.19</v>
      </c>
      <c r="Y61" s="2"/>
      <c r="Z61" s="21">
        <f t="shared" si="11"/>
        <v>-0.33490350016355902</v>
      </c>
    </row>
    <row r="62" spans="1:26" s="24" customFormat="1" hidden="1" outlineLevel="1" x14ac:dyDescent="0.25">
      <c r="A62" s="50"/>
      <c r="B62" s="11" t="str">
        <f>CONCATENATE("          ", "5545", " - ", "FREIGHT-IN-SPECIAL ORDERS")</f>
        <v xml:space="preserve">          5545 - FREIGHT-IN-SPECIAL ORDERS</v>
      </c>
      <c r="C62" s="11"/>
      <c r="D62" s="2">
        <v>8.8699999999999992</v>
      </c>
      <c r="E62" s="2"/>
      <c r="F62" s="21">
        <f t="shared" si="4"/>
        <v>2.7493259734465949E-5</v>
      </c>
      <c r="G62" s="2"/>
      <c r="H62" s="2">
        <v>849.93</v>
      </c>
      <c r="I62" s="2"/>
      <c r="J62" s="21">
        <f t="shared" si="5"/>
        <v>3.0722040053634248E-3</v>
      </c>
      <c r="K62" s="2"/>
      <c r="L62" s="2">
        <f t="shared" si="6"/>
        <v>-841.06</v>
      </c>
      <c r="M62" s="2"/>
      <c r="N62" s="21">
        <f t="shared" si="7"/>
        <v>-0.9895638464344122</v>
      </c>
      <c r="O62" s="11"/>
      <c r="P62" s="2">
        <v>235.95</v>
      </c>
      <c r="Q62" s="2"/>
      <c r="R62" s="21">
        <f t="shared" si="8"/>
        <v>4.253253130264516E-4</v>
      </c>
      <c r="S62" s="2"/>
      <c r="T62" s="2">
        <v>1155.04</v>
      </c>
      <c r="U62" s="2"/>
      <c r="V62" s="21">
        <f t="shared" si="9"/>
        <v>2.3696693646110649E-3</v>
      </c>
      <c r="W62" s="2"/>
      <c r="X62" s="2">
        <f t="shared" si="10"/>
        <v>-919.08999999999992</v>
      </c>
      <c r="Y62" s="2"/>
      <c r="Z62" s="21">
        <f t="shared" si="11"/>
        <v>-0.79572136029921037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6" t="s">
        <v>6</v>
      </c>
      <c r="C64" s="26"/>
      <c r="D64" s="20">
        <f>D12-D41</f>
        <v>177381.19999999995</v>
      </c>
      <c r="E64" s="13"/>
      <c r="F64" s="19">
        <f>IF(D$12=0,0,D64/D$12)</f>
        <v>0.5498069226168264</v>
      </c>
      <c r="G64" s="13"/>
      <c r="H64" s="20">
        <f>H12-H41</f>
        <v>149068.41000000006</v>
      </c>
      <c r="I64" s="13"/>
      <c r="J64" s="19">
        <f>IF(H$12=0,0,H64/H$12)</f>
        <v>0.53883092287030399</v>
      </c>
      <c r="K64" s="15"/>
      <c r="L64" s="20">
        <f>+D64-H64</f>
        <v>28312.789999999892</v>
      </c>
      <c r="M64" s="15"/>
      <c r="N64" s="19">
        <f>IF(H64=0,0,L64/H64)</f>
        <v>0.18993152204413988</v>
      </c>
      <c r="O64" s="25"/>
      <c r="P64" s="20">
        <f>P12-P41</f>
        <v>302135.16999999993</v>
      </c>
      <c r="Q64" s="13"/>
      <c r="R64" s="19">
        <f>IF(P$12=0,0,P64/P$12)</f>
        <v>0.5446312174467054</v>
      </c>
      <c r="S64" s="13"/>
      <c r="T64" s="20">
        <f>T12-T41</f>
        <v>260701.68000000002</v>
      </c>
      <c r="U64" s="13"/>
      <c r="V64" s="19">
        <f>IF(T$12=0,0,T64/T$12)</f>
        <v>0.53485315175114045</v>
      </c>
      <c r="W64" s="15"/>
      <c r="X64" s="20">
        <f>+P64-T64</f>
        <v>41433.489999999903</v>
      </c>
      <c r="Y64" s="15"/>
      <c r="Z64" s="19">
        <f>IF(T64=0,0,X64/T64)</f>
        <v>0.15893065974872084</v>
      </c>
    </row>
    <row r="65" spans="1:26" x14ac:dyDescent="0.25">
      <c r="A65" s="9"/>
      <c r="B65" s="10"/>
      <c r="C65" s="9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5" t="s">
        <v>9</v>
      </c>
      <c r="C66" s="10"/>
      <c r="D66" s="22">
        <f>SUM(OSRRefD22x_0)</f>
        <v>87664.199999999983</v>
      </c>
      <c r="E66" s="22"/>
      <c r="F66" s="33">
        <f t="shared" ref="F66:F75" si="12">IF(D$12=0,0,D66/D$12)</f>
        <v>0.27172205411659184</v>
      </c>
      <c r="G66" s="22"/>
      <c r="H66" s="22">
        <f>SUM(OSRRefH22x_0)</f>
        <v>68058.930000000008</v>
      </c>
      <c r="I66" s="22"/>
      <c r="J66" s="33">
        <f t="shared" ref="J66:J75" si="13">IF(H$12=0,0,H66/H$12)</f>
        <v>0.24600957413757485</v>
      </c>
      <c r="K66" s="4"/>
      <c r="L66" s="22">
        <f t="shared" ref="L66:L75" si="14">+D66-H66</f>
        <v>19605.269999999975</v>
      </c>
      <c r="M66" s="4"/>
      <c r="N66" s="33">
        <f t="shared" ref="N66:N75" si="15">IF(H66=0,0,L66/H66)</f>
        <v>0.2880631535053515</v>
      </c>
      <c r="O66" s="10"/>
      <c r="P66" s="22">
        <f>SUM(OSRRefP22x_0)</f>
        <v>171838.49000000005</v>
      </c>
      <c r="Q66" s="22"/>
      <c r="R66" s="33">
        <f t="shared" ref="R66:R75" si="16">IF(P$12=0,0,P66/P$12)</f>
        <v>0.30975740431974064</v>
      </c>
      <c r="S66" s="22"/>
      <c r="T66" s="22">
        <f>SUM(OSRRefT22x_0)</f>
        <v>149355.99999999997</v>
      </c>
      <c r="U66" s="22"/>
      <c r="V66" s="33">
        <f t="shared" ref="V66:V75" si="17">IF(T$12=0,0,T66/T$12)</f>
        <v>0.30641738608260333</v>
      </c>
      <c r="W66" s="4"/>
      <c r="X66" s="22">
        <f t="shared" ref="X66:X75" si="18">+P66-T66</f>
        <v>22482.490000000078</v>
      </c>
      <c r="Y66" s="4"/>
      <c r="Z66" s="33">
        <f t="shared" ref="Z66:Z75" si="19">IF(T66=0,0,X66/T66)</f>
        <v>0.15052954015908354</v>
      </c>
    </row>
    <row r="67" spans="1:26" s="27" customFormat="1" outlineLevel="1" collapsed="1" x14ac:dyDescent="0.25">
      <c r="A67" s="28"/>
      <c r="B67" s="14" t="str">
        <f>CONCATENATE("     ","*Benefits                                         ")</f>
        <v xml:space="preserve">     *Benefits                                         </v>
      </c>
      <c r="C67" s="14"/>
      <c r="D67" s="1">
        <f>SUM(OSRRefD22_0x_0)</f>
        <v>9200.4699999999993</v>
      </c>
      <c r="E67" s="1"/>
      <c r="F67" s="5">
        <f t="shared" si="12"/>
        <v>2.8517577383220059E-2</v>
      </c>
      <c r="G67" s="1"/>
      <c r="H67" s="1">
        <f>SUM(OSRRefH22_0x_0)</f>
        <v>7793.92</v>
      </c>
      <c r="I67" s="1"/>
      <c r="J67" s="5">
        <f t="shared" si="13"/>
        <v>2.817233447634759E-2</v>
      </c>
      <c r="K67" s="1"/>
      <c r="L67" s="1">
        <f t="shared" si="14"/>
        <v>1406.5499999999993</v>
      </c>
      <c r="M67" s="1"/>
      <c r="N67" s="5">
        <f t="shared" si="15"/>
        <v>0.18046759525373615</v>
      </c>
      <c r="O67" s="14"/>
      <c r="P67" s="1">
        <f>SUM(OSRRefP22_0x_0)</f>
        <v>19257.28</v>
      </c>
      <c r="Q67" s="1"/>
      <c r="R67" s="5">
        <f t="shared" si="16"/>
        <v>3.4713323348328148E-2</v>
      </c>
      <c r="S67" s="1"/>
      <c r="T67" s="1">
        <f>SUM(OSRRefT22_0x_0)</f>
        <v>17260.07</v>
      </c>
      <c r="U67" s="1"/>
      <c r="V67" s="5">
        <f t="shared" si="17"/>
        <v>3.5410599728184743E-2</v>
      </c>
      <c r="W67" s="1"/>
      <c r="X67" s="1">
        <f t="shared" si="18"/>
        <v>1997.2099999999991</v>
      </c>
      <c r="Y67" s="1"/>
      <c r="Z67" s="5">
        <f t="shared" si="19"/>
        <v>0.11571274044659142</v>
      </c>
    </row>
    <row r="68" spans="1:26" s="24" customFormat="1" hidden="1" outlineLevel="2" x14ac:dyDescent="0.25">
      <c r="A68" s="29"/>
      <c r="B68" s="11" t="str">
        <f>CONCATENATE("          ", "6111", " - ", "F.I.C.A.")</f>
        <v xml:space="preserve">          6111 - F.I.C.A.</v>
      </c>
      <c r="C68" s="11"/>
      <c r="D68" s="7">
        <v>2709.09</v>
      </c>
      <c r="E68" s="2"/>
      <c r="F68" s="6">
        <f t="shared" si="12"/>
        <v>8.3970366419441229E-3</v>
      </c>
      <c r="G68" s="2"/>
      <c r="H68" s="7">
        <v>2203.87</v>
      </c>
      <c r="I68" s="2"/>
      <c r="J68" s="6">
        <f t="shared" si="13"/>
        <v>7.9662304440369109E-3</v>
      </c>
      <c r="K68" s="2"/>
      <c r="L68" s="7">
        <f t="shared" si="14"/>
        <v>505.22000000000025</v>
      </c>
      <c r="M68" s="2"/>
      <c r="N68" s="6">
        <f t="shared" si="15"/>
        <v>0.22924219668129259</v>
      </c>
      <c r="O68" s="11"/>
      <c r="P68" s="7">
        <v>5045.38</v>
      </c>
      <c r="Q68" s="2"/>
      <c r="R68" s="6">
        <f t="shared" si="16"/>
        <v>9.0948413979122632E-3</v>
      </c>
      <c r="S68" s="2"/>
      <c r="T68" s="7">
        <v>4323.53</v>
      </c>
      <c r="U68" s="2"/>
      <c r="V68" s="6">
        <f t="shared" si="17"/>
        <v>8.8701140981930302E-3</v>
      </c>
      <c r="W68" s="2"/>
      <c r="X68" s="7">
        <f t="shared" si="18"/>
        <v>721.85000000000036</v>
      </c>
      <c r="Y68" s="2"/>
      <c r="Z68" s="6">
        <f t="shared" si="19"/>
        <v>0.16695848068592109</v>
      </c>
    </row>
    <row r="69" spans="1:26" s="24" customFormat="1" hidden="1" outlineLevel="2" x14ac:dyDescent="0.25">
      <c r="A69" s="29"/>
      <c r="B69" s="11" t="str">
        <f>CONCATENATE("          ", "6112", " - ", "COMPENSATION INSURANCE")</f>
        <v xml:space="preserve">          6112 - COMPENSATION INSURANCE</v>
      </c>
      <c r="C69" s="11"/>
      <c r="D69" s="7">
        <v>730.21</v>
      </c>
      <c r="E69" s="2"/>
      <c r="F69" s="6">
        <f t="shared" si="12"/>
        <v>2.2633430880162776E-3</v>
      </c>
      <c r="G69" s="2"/>
      <c r="H69" s="7">
        <v>340.28</v>
      </c>
      <c r="I69" s="2"/>
      <c r="J69" s="6">
        <f t="shared" si="13"/>
        <v>1.2299949159872768E-3</v>
      </c>
      <c r="K69" s="2"/>
      <c r="L69" s="7">
        <f t="shared" si="14"/>
        <v>389.93000000000006</v>
      </c>
      <c r="M69" s="2"/>
      <c r="N69" s="6">
        <f t="shared" si="15"/>
        <v>1.1459092512048903</v>
      </c>
      <c r="O69" s="11"/>
      <c r="P69" s="7">
        <v>1275.47</v>
      </c>
      <c r="Q69" s="2"/>
      <c r="R69" s="6">
        <f t="shared" si="16"/>
        <v>2.2991721848096983E-3</v>
      </c>
      <c r="S69" s="2"/>
      <c r="T69" s="7">
        <v>840.29</v>
      </c>
      <c r="U69" s="2"/>
      <c r="V69" s="6">
        <f t="shared" si="17"/>
        <v>1.7239311802093708E-3</v>
      </c>
      <c r="W69" s="2"/>
      <c r="X69" s="7">
        <f t="shared" si="18"/>
        <v>435.18000000000006</v>
      </c>
      <c r="Y69" s="2"/>
      <c r="Z69" s="6">
        <f t="shared" si="19"/>
        <v>0.51789263230551363</v>
      </c>
    </row>
    <row r="70" spans="1:26" s="24" customFormat="1" hidden="1" outlineLevel="2" x14ac:dyDescent="0.25">
      <c r="A70" s="29"/>
      <c r="B70" s="11" t="str">
        <f>CONCATENATE("          ", "6113", " - ", "GROUP INSURANCE")</f>
        <v xml:space="preserve">          6113 - GROUP INSURANCE</v>
      </c>
      <c r="C70" s="11"/>
      <c r="D70" s="7">
        <v>3252.74</v>
      </c>
      <c r="E70" s="2"/>
      <c r="F70" s="6">
        <f t="shared" si="12"/>
        <v>1.0082122397822635E-2</v>
      </c>
      <c r="G70" s="2"/>
      <c r="H70" s="7">
        <v>2841.46</v>
      </c>
      <c r="I70" s="2"/>
      <c r="J70" s="6">
        <f t="shared" si="13"/>
        <v>1.0270898536444127E-2</v>
      </c>
      <c r="K70" s="2"/>
      <c r="L70" s="7">
        <f t="shared" si="14"/>
        <v>411.27999999999975</v>
      </c>
      <c r="M70" s="2"/>
      <c r="N70" s="6">
        <f t="shared" si="15"/>
        <v>0.14474249153604124</v>
      </c>
      <c r="O70" s="11"/>
      <c r="P70" s="7">
        <v>6037.83</v>
      </c>
      <c r="Q70" s="2"/>
      <c r="R70" s="6">
        <f t="shared" si="16"/>
        <v>1.088383952002755E-2</v>
      </c>
      <c r="S70" s="2"/>
      <c r="T70" s="7">
        <v>3906.67</v>
      </c>
      <c r="U70" s="2"/>
      <c r="V70" s="6">
        <f t="shared" si="17"/>
        <v>8.0148879836586685E-3</v>
      </c>
      <c r="W70" s="2"/>
      <c r="X70" s="7">
        <f t="shared" si="18"/>
        <v>2131.16</v>
      </c>
      <c r="Y70" s="2"/>
      <c r="Z70" s="6">
        <f t="shared" si="19"/>
        <v>0.54551830587175265</v>
      </c>
    </row>
    <row r="71" spans="1:26" s="24" customFormat="1" hidden="1" outlineLevel="2" x14ac:dyDescent="0.25">
      <c r="A71" s="29"/>
      <c r="B71" s="11" t="str">
        <f>CONCATENATE("          ", "6114", " - ", "STATE UNEMPLOYMENT INSURANCE")</f>
        <v xml:space="preserve">          6114 - STATE UNEMPLOYMENT INSURANCE</v>
      </c>
      <c r="C71" s="11"/>
      <c r="D71" s="7">
        <v>91.19</v>
      </c>
      <c r="E71" s="2"/>
      <c r="F71" s="6">
        <f t="shared" si="12"/>
        <v>2.82650547371584E-4</v>
      </c>
      <c r="G71" s="2"/>
      <c r="H71" s="7">
        <v>74.34</v>
      </c>
      <c r="I71" s="2"/>
      <c r="J71" s="6">
        <f t="shared" si="13"/>
        <v>2.6871347729662091E-4</v>
      </c>
      <c r="K71" s="2"/>
      <c r="L71" s="7">
        <f t="shared" si="14"/>
        <v>16.849999999999994</v>
      </c>
      <c r="M71" s="2"/>
      <c r="N71" s="6">
        <f t="shared" si="15"/>
        <v>0.2266612859833198</v>
      </c>
      <c r="O71" s="11"/>
      <c r="P71" s="7">
        <v>165.8</v>
      </c>
      <c r="Q71" s="2"/>
      <c r="R71" s="6">
        <f t="shared" si="16"/>
        <v>2.9887237507855767E-4</v>
      </c>
      <c r="S71" s="2"/>
      <c r="T71" s="7">
        <v>183.59</v>
      </c>
      <c r="U71" s="2"/>
      <c r="V71" s="6">
        <f t="shared" si="17"/>
        <v>3.7665154336555045E-4</v>
      </c>
      <c r="W71" s="2"/>
      <c r="X71" s="7">
        <f t="shared" si="18"/>
        <v>-17.789999999999992</v>
      </c>
      <c r="Y71" s="2"/>
      <c r="Z71" s="6">
        <f t="shared" si="19"/>
        <v>-9.6900702652649884E-2</v>
      </c>
    </row>
    <row r="72" spans="1:26" s="24" customFormat="1" hidden="1" outlineLevel="2" x14ac:dyDescent="0.25">
      <c r="A72" s="29"/>
      <c r="B72" s="11" t="str">
        <f>CONCATENATE("          ", "6115", " - ", "P.E.R.S.")</f>
        <v xml:space="preserve">          6115 - P.E.R.S.</v>
      </c>
      <c r="C72" s="11"/>
      <c r="D72" s="7">
        <v>902.12</v>
      </c>
      <c r="E72" s="2"/>
      <c r="F72" s="6">
        <f t="shared" si="12"/>
        <v>2.7961915977064741E-3</v>
      </c>
      <c r="G72" s="2"/>
      <c r="H72" s="7">
        <v>822.3</v>
      </c>
      <c r="I72" s="2"/>
      <c r="J72" s="6">
        <f t="shared" si="13"/>
        <v>2.9723310785715815E-3</v>
      </c>
      <c r="K72" s="2"/>
      <c r="L72" s="7">
        <f t="shared" si="14"/>
        <v>79.82000000000005</v>
      </c>
      <c r="M72" s="2"/>
      <c r="N72" s="6">
        <f t="shared" si="15"/>
        <v>9.7069196157120341E-2</v>
      </c>
      <c r="O72" s="11"/>
      <c r="P72" s="7">
        <v>1728.05</v>
      </c>
      <c r="Q72" s="2"/>
      <c r="R72" s="6">
        <f t="shared" si="16"/>
        <v>3.1149964279523616E-3</v>
      </c>
      <c r="S72" s="2"/>
      <c r="T72" s="7">
        <v>2043.79</v>
      </c>
      <c r="U72" s="2"/>
      <c r="V72" s="6">
        <f t="shared" si="17"/>
        <v>4.1930206319248237E-3</v>
      </c>
      <c r="W72" s="2"/>
      <c r="X72" s="7">
        <f t="shared" si="18"/>
        <v>-315.74</v>
      </c>
      <c r="Y72" s="2"/>
      <c r="Z72" s="6">
        <f t="shared" si="19"/>
        <v>-0.15448749626918618</v>
      </c>
    </row>
    <row r="73" spans="1:26" s="24" customFormat="1" hidden="1" outlineLevel="2" x14ac:dyDescent="0.25">
      <c r="A73" s="29"/>
      <c r="B73" s="11" t="str">
        <f>CONCATENATE("          ", "6118", " - ", "VACATION")</f>
        <v xml:space="preserve">          6118 - VACATION</v>
      </c>
      <c r="C73" s="11"/>
      <c r="D73" s="7">
        <v>753.6</v>
      </c>
      <c r="E73" s="2"/>
      <c r="F73" s="6">
        <f t="shared" si="12"/>
        <v>2.3358422250161826E-3</v>
      </c>
      <c r="G73" s="2"/>
      <c r="H73" s="7">
        <v>731.66</v>
      </c>
      <c r="I73" s="2"/>
      <c r="J73" s="6">
        <f t="shared" si="13"/>
        <v>2.6446987193818354E-3</v>
      </c>
      <c r="K73" s="2"/>
      <c r="L73" s="7">
        <f t="shared" si="14"/>
        <v>21.940000000000055</v>
      </c>
      <c r="M73" s="2"/>
      <c r="N73" s="6">
        <f t="shared" si="15"/>
        <v>2.998660580050851E-2</v>
      </c>
      <c r="O73" s="11"/>
      <c r="P73" s="7">
        <v>1906.76</v>
      </c>
      <c r="Q73" s="2"/>
      <c r="R73" s="6">
        <f t="shared" si="16"/>
        <v>3.4371404698720783E-3</v>
      </c>
      <c r="S73" s="2"/>
      <c r="T73" s="7">
        <v>2692.17</v>
      </c>
      <c r="U73" s="2"/>
      <c r="V73" s="6">
        <f t="shared" si="17"/>
        <v>5.5232310338386298E-3</v>
      </c>
      <c r="W73" s="2"/>
      <c r="X73" s="7">
        <f t="shared" si="18"/>
        <v>-785.41000000000008</v>
      </c>
      <c r="Y73" s="2"/>
      <c r="Z73" s="6">
        <f t="shared" si="19"/>
        <v>-0.2917386346330284</v>
      </c>
    </row>
    <row r="74" spans="1:26" s="24" customFormat="1" hidden="1" outlineLevel="2" x14ac:dyDescent="0.25">
      <c r="A74" s="29"/>
      <c r="B74" s="11" t="str">
        <f>CONCATENATE("          ", "6119", " - ", "SICK LEAVE")</f>
        <v xml:space="preserve">          6119 - SICK LEAVE</v>
      </c>
      <c r="C74" s="11"/>
      <c r="D74" s="7">
        <v>465.7</v>
      </c>
      <c r="E74" s="2"/>
      <c r="F74" s="6">
        <f t="shared" si="12"/>
        <v>1.443473625517564E-3</v>
      </c>
      <c r="G74" s="2"/>
      <c r="H74" s="7">
        <v>452.14</v>
      </c>
      <c r="I74" s="2"/>
      <c r="J74" s="6">
        <f t="shared" si="13"/>
        <v>1.6343302612980115E-3</v>
      </c>
      <c r="K74" s="2"/>
      <c r="L74" s="7">
        <f t="shared" si="14"/>
        <v>13.560000000000002</v>
      </c>
      <c r="M74" s="2"/>
      <c r="N74" s="6">
        <f t="shared" si="15"/>
        <v>2.9990710841774678E-2</v>
      </c>
      <c r="O74" s="11"/>
      <c r="P74" s="7">
        <v>2654.07</v>
      </c>
      <c r="Q74" s="2"/>
      <c r="R74" s="6">
        <f t="shared" si="16"/>
        <v>4.7842473131770062E-3</v>
      </c>
      <c r="S74" s="2"/>
      <c r="T74" s="7">
        <v>2675.8</v>
      </c>
      <c r="U74" s="2"/>
      <c r="V74" s="6">
        <f t="shared" si="17"/>
        <v>5.4896464934775313E-3</v>
      </c>
      <c r="W74" s="2"/>
      <c r="X74" s="7">
        <f t="shared" si="18"/>
        <v>-21.730000000000018</v>
      </c>
      <c r="Y74" s="2"/>
      <c r="Z74" s="6">
        <f t="shared" si="19"/>
        <v>-8.120935794902466E-3</v>
      </c>
    </row>
    <row r="75" spans="1:26" s="24" customFormat="1" hidden="1" outlineLevel="2" x14ac:dyDescent="0.25">
      <c r="A75" s="29"/>
      <c r="B75" s="11" t="str">
        <f>CONCATENATE("          ", "6156", " - ", "EMPLOYEE MEALS")</f>
        <v xml:space="preserve">          6156 - EMPLOYEE MEALS</v>
      </c>
      <c r="C75" s="11"/>
      <c r="D75" s="7">
        <v>295.82</v>
      </c>
      <c r="E75" s="2"/>
      <c r="F75" s="6">
        <f t="shared" si="12"/>
        <v>9.1691725982522183E-4</v>
      </c>
      <c r="G75" s="2"/>
      <c r="H75" s="7">
        <v>327.87</v>
      </c>
      <c r="I75" s="2"/>
      <c r="J75" s="6">
        <f t="shared" si="13"/>
        <v>1.1851370433312229E-3</v>
      </c>
      <c r="K75" s="2"/>
      <c r="L75" s="7">
        <f t="shared" si="14"/>
        <v>-32.050000000000011</v>
      </c>
      <c r="M75" s="2"/>
      <c r="N75" s="6">
        <f t="shared" si="15"/>
        <v>-9.7752157867447495E-2</v>
      </c>
      <c r="O75" s="11"/>
      <c r="P75" s="7">
        <v>443.92</v>
      </c>
      <c r="Q75" s="2"/>
      <c r="R75" s="6">
        <f t="shared" si="16"/>
        <v>8.0021365949863282E-4</v>
      </c>
      <c r="S75" s="2"/>
      <c r="T75" s="7">
        <v>594.23</v>
      </c>
      <c r="U75" s="2"/>
      <c r="V75" s="6">
        <f t="shared" si="17"/>
        <v>1.2191167635171364E-3</v>
      </c>
      <c r="W75" s="2"/>
      <c r="X75" s="7">
        <f t="shared" si="18"/>
        <v>-150.31</v>
      </c>
      <c r="Y75" s="2"/>
      <c r="Z75" s="6">
        <f t="shared" si="19"/>
        <v>-0.25294919475623917</v>
      </c>
    </row>
    <row r="76" spans="1:26" s="27" customFormat="1" outlineLevel="1" collapsed="1" x14ac:dyDescent="0.25">
      <c r="A76" s="28"/>
      <c r="B76" s="14" t="str">
        <f>CONCATENATE("     ","*Payroll                                          ")</f>
        <v xml:space="preserve">     *Payroll                                          </v>
      </c>
      <c r="C76" s="14"/>
      <c r="D76" s="1">
        <f>SUM(OSRRefD22_1x_0)</f>
        <v>35279.479999999996</v>
      </c>
      <c r="E76" s="1"/>
      <c r="F76" s="5">
        <f t="shared" ref="F76:F81" si="20">IF(D$12=0,0,D76/D$12)</f>
        <v>0.10935151149232207</v>
      </c>
      <c r="G76" s="1"/>
      <c r="H76" s="1">
        <f>SUM(OSRRefH22_1x_0)</f>
        <v>26577.65</v>
      </c>
      <c r="I76" s="1"/>
      <c r="J76" s="5">
        <f t="shared" ref="J76:J81" si="21">IF(H$12=0,0,H76/H$12)</f>
        <v>9.6069044254405933E-2</v>
      </c>
      <c r="K76" s="1"/>
      <c r="L76" s="1">
        <f t="shared" ref="L76:L81" si="22">+D76-H76</f>
        <v>8701.8299999999945</v>
      </c>
      <c r="M76" s="1"/>
      <c r="N76" s="5">
        <f t="shared" ref="N76:N81" si="23">IF(H76=0,0,L76/H76)</f>
        <v>0.32741156573286179</v>
      </c>
      <c r="O76" s="14"/>
      <c r="P76" s="1">
        <f>SUM(OSRRefP22_1x_0)</f>
        <v>70485.94</v>
      </c>
      <c r="Q76" s="1"/>
      <c r="R76" s="5">
        <f t="shared" ref="R76:R81" si="24">IF(P$12=0,0,P76/P$12)</f>
        <v>0.12705850601595123</v>
      </c>
      <c r="S76" s="1"/>
      <c r="T76" s="1">
        <f>SUM(OSRRefT22_1x_0)</f>
        <v>60953.08</v>
      </c>
      <c r="U76" s="1"/>
      <c r="V76" s="5">
        <f t="shared" ref="V76:V81" si="25">IF(T$12=0,0,T76/T$12)</f>
        <v>0.12505077430624689</v>
      </c>
      <c r="W76" s="1"/>
      <c r="X76" s="1">
        <f t="shared" ref="X76:X81" si="26">+P76-T76</f>
        <v>9532.86</v>
      </c>
      <c r="Y76" s="1"/>
      <c r="Z76" s="5">
        <f t="shared" ref="Z76:Z81" si="27">IF(T76=0,0,X76/T76)</f>
        <v>0.15639669070045353</v>
      </c>
    </row>
    <row r="77" spans="1:26" s="24" customFormat="1" hidden="1" outlineLevel="2" x14ac:dyDescent="0.25">
      <c r="A77" s="29"/>
      <c r="B77" s="11" t="str">
        <f>CONCATENATE("          ", "6002", " - ", "STAFF SALARIES")</f>
        <v xml:space="preserve">          6002 - STAFF SALARIES</v>
      </c>
      <c r="C77" s="11"/>
      <c r="D77" s="7">
        <v>9181.09</v>
      </c>
      <c r="E77" s="2"/>
      <c r="F77" s="6">
        <f t="shared" si="20"/>
        <v>2.8457507555299664E-2</v>
      </c>
      <c r="G77" s="2"/>
      <c r="H77" s="7">
        <v>8325.7800000000007</v>
      </c>
      <c r="I77" s="2"/>
      <c r="J77" s="6">
        <f t="shared" si="21"/>
        <v>3.0094825060622287E-2</v>
      </c>
      <c r="K77" s="2"/>
      <c r="L77" s="7">
        <f t="shared" si="22"/>
        <v>855.30999999999949</v>
      </c>
      <c r="M77" s="2"/>
      <c r="N77" s="6">
        <f t="shared" si="23"/>
        <v>0.10273031475729594</v>
      </c>
      <c r="O77" s="11"/>
      <c r="P77" s="7">
        <v>17455.969999999998</v>
      </c>
      <c r="Q77" s="2"/>
      <c r="R77" s="6">
        <f t="shared" si="24"/>
        <v>3.1466267872135398E-2</v>
      </c>
      <c r="S77" s="2"/>
      <c r="T77" s="7">
        <v>19007.350000000002</v>
      </c>
      <c r="U77" s="2"/>
      <c r="V77" s="6">
        <f t="shared" si="25"/>
        <v>3.8995303190746754E-2</v>
      </c>
      <c r="W77" s="2"/>
      <c r="X77" s="7">
        <f t="shared" si="26"/>
        <v>-1551.3800000000047</v>
      </c>
      <c r="Y77" s="2"/>
      <c r="Z77" s="6">
        <f t="shared" si="27"/>
        <v>-8.1620004892844322E-2</v>
      </c>
    </row>
    <row r="78" spans="1:26" s="24" customFormat="1" hidden="1" outlineLevel="2" x14ac:dyDescent="0.25">
      <c r="A78" s="29"/>
      <c r="B78" s="11" t="str">
        <f>CONCATENATE("          ", "6005", " - ", "TEMPORARY WAGES-HOURLY")</f>
        <v xml:space="preserve">          6005 - TEMPORARY WAGES-HOURLY</v>
      </c>
      <c r="C78" s="11"/>
      <c r="D78" s="7">
        <v>3471.22</v>
      </c>
      <c r="E78" s="2"/>
      <c r="F78" s="6">
        <f t="shared" si="20"/>
        <v>1.0759318270064587E-2</v>
      </c>
      <c r="G78" s="2"/>
      <c r="H78" s="7">
        <v>5609.89</v>
      </c>
      <c r="I78" s="2"/>
      <c r="J78" s="6">
        <f t="shared" si="21"/>
        <v>2.0277818794075073E-2</v>
      </c>
      <c r="K78" s="2"/>
      <c r="L78" s="7">
        <f t="shared" si="22"/>
        <v>-2138.6700000000005</v>
      </c>
      <c r="M78" s="2"/>
      <c r="N78" s="6">
        <f t="shared" si="23"/>
        <v>-0.38123207406918858</v>
      </c>
      <c r="O78" s="11"/>
      <c r="P78" s="7">
        <v>7996.94</v>
      </c>
      <c r="Q78" s="2"/>
      <c r="R78" s="6">
        <f t="shared" si="24"/>
        <v>1.4415346508810137E-2</v>
      </c>
      <c r="S78" s="2"/>
      <c r="T78" s="7">
        <v>8961.7800000000007</v>
      </c>
      <c r="U78" s="2"/>
      <c r="V78" s="6">
        <f t="shared" si="25"/>
        <v>1.8385904833065653E-2</v>
      </c>
      <c r="W78" s="2"/>
      <c r="X78" s="7">
        <f t="shared" si="26"/>
        <v>-964.84000000000106</v>
      </c>
      <c r="Y78" s="2"/>
      <c r="Z78" s="6">
        <f t="shared" si="27"/>
        <v>-0.10766164757447751</v>
      </c>
    </row>
    <row r="79" spans="1:26" s="24" customFormat="1" hidden="1" outlineLevel="2" x14ac:dyDescent="0.25">
      <c r="A79" s="29"/>
      <c r="B79" s="11" t="str">
        <f>CONCATENATE("          ", "6006", " - ", "TEMPORARY PART TIME")</f>
        <v xml:space="preserve">          6006 - TEMPORARY PART TIME</v>
      </c>
      <c r="C79" s="11"/>
      <c r="D79" s="7"/>
      <c r="E79" s="2"/>
      <c r="F79" s="6">
        <f t="shared" si="20"/>
        <v>0</v>
      </c>
      <c r="G79" s="2"/>
      <c r="H79" s="7">
        <v>1734.07</v>
      </c>
      <c r="I79" s="2"/>
      <c r="J79" s="6">
        <f t="shared" si="21"/>
        <v>6.2680653695957956E-3</v>
      </c>
      <c r="K79" s="2"/>
      <c r="L79" s="7">
        <f t="shared" si="22"/>
        <v>-1734.07</v>
      </c>
      <c r="M79" s="2"/>
      <c r="N79" s="6">
        <f t="shared" si="23"/>
        <v>-1</v>
      </c>
      <c r="O79" s="11"/>
      <c r="P79" s="7"/>
      <c r="Q79" s="2"/>
      <c r="R79" s="6">
        <f t="shared" si="24"/>
        <v>0</v>
      </c>
      <c r="S79" s="2"/>
      <c r="T79" s="7">
        <v>5240.84</v>
      </c>
      <c r="U79" s="2"/>
      <c r="V79" s="6">
        <f t="shared" si="25"/>
        <v>1.0752058796949243E-2</v>
      </c>
      <c r="W79" s="2"/>
      <c r="X79" s="7">
        <f t="shared" si="26"/>
        <v>-5240.84</v>
      </c>
      <c r="Y79" s="2"/>
      <c r="Z79" s="6">
        <f t="shared" si="27"/>
        <v>-1</v>
      </c>
    </row>
    <row r="80" spans="1:26" s="24" customFormat="1" hidden="1" outlineLevel="2" x14ac:dyDescent="0.25">
      <c r="A80" s="29"/>
      <c r="B80" s="11" t="str">
        <f>CONCATENATE("          ", "6007", " - ", "STUDENT HOURLY")</f>
        <v xml:space="preserve">          6007 - STUDENT HOURLY</v>
      </c>
      <c r="C80" s="11"/>
      <c r="D80" s="7">
        <v>22432.17</v>
      </c>
      <c r="E80" s="2"/>
      <c r="F80" s="6">
        <f t="shared" si="20"/>
        <v>6.9530267893764944E-2</v>
      </c>
      <c r="G80" s="2"/>
      <c r="H80" s="7">
        <v>10907.91</v>
      </c>
      <c r="I80" s="2"/>
      <c r="J80" s="6">
        <f t="shared" si="21"/>
        <v>3.9428335030112782E-2</v>
      </c>
      <c r="K80" s="2"/>
      <c r="L80" s="7">
        <f t="shared" si="22"/>
        <v>11524.259999999998</v>
      </c>
      <c r="M80" s="2"/>
      <c r="N80" s="6">
        <f t="shared" si="23"/>
        <v>1.0565048666518149</v>
      </c>
      <c r="O80" s="11"/>
      <c r="P80" s="7">
        <v>44838.03</v>
      </c>
      <c r="Q80" s="2"/>
      <c r="R80" s="6">
        <f t="shared" si="24"/>
        <v>8.0825383111843313E-2</v>
      </c>
      <c r="S80" s="2"/>
      <c r="T80" s="7">
        <v>27743.11</v>
      </c>
      <c r="U80" s="2"/>
      <c r="V80" s="6">
        <f t="shared" si="25"/>
        <v>5.6917507485485248E-2</v>
      </c>
      <c r="W80" s="2"/>
      <c r="X80" s="7">
        <f t="shared" si="26"/>
        <v>17094.919999999998</v>
      </c>
      <c r="Y80" s="2"/>
      <c r="Z80" s="6">
        <f t="shared" si="27"/>
        <v>0.61618614495635127</v>
      </c>
    </row>
    <row r="81" spans="1:26" s="24" customFormat="1" hidden="1" outlineLevel="2" x14ac:dyDescent="0.25">
      <c r="A81" s="29"/>
      <c r="B81" s="11" t="str">
        <f>CONCATENATE("          ", "6008", " - ", "STUDENT HOURLY-FICA EXEMPT")</f>
        <v xml:space="preserve">          6008 - STUDENT HOURLY-FICA EXEMPT</v>
      </c>
      <c r="C81" s="11"/>
      <c r="D81" s="7">
        <v>195</v>
      </c>
      <c r="E81" s="2"/>
      <c r="F81" s="6">
        <f t="shared" si="20"/>
        <v>6.0441777319288168E-4</v>
      </c>
      <c r="G81" s="2"/>
      <c r="H81" s="7"/>
      <c r="I81" s="2"/>
      <c r="J81" s="6">
        <f t="shared" si="21"/>
        <v>0</v>
      </c>
      <c r="K81" s="2"/>
      <c r="L81" s="7">
        <f t="shared" si="22"/>
        <v>195</v>
      </c>
      <c r="M81" s="2"/>
      <c r="N81" s="6">
        <f t="shared" si="23"/>
        <v>0</v>
      </c>
      <c r="O81" s="11"/>
      <c r="P81" s="7">
        <v>195</v>
      </c>
      <c r="Q81" s="2"/>
      <c r="R81" s="6">
        <f t="shared" si="24"/>
        <v>3.5150852316235675E-4</v>
      </c>
      <c r="S81" s="2"/>
      <c r="T81" s="7"/>
      <c r="U81" s="2"/>
      <c r="V81" s="6">
        <f t="shared" si="25"/>
        <v>0</v>
      </c>
      <c r="W81" s="2"/>
      <c r="X81" s="7">
        <f t="shared" si="26"/>
        <v>195</v>
      </c>
      <c r="Y81" s="2"/>
      <c r="Z81" s="6">
        <f t="shared" si="27"/>
        <v>0</v>
      </c>
    </row>
    <row r="82" spans="1:26" s="27" customFormat="1" outlineLevel="1" collapsed="1" x14ac:dyDescent="0.25">
      <c r="A82" s="28"/>
      <c r="B82" s="14" t="str">
        <f>CONCATENATE("     ","Advertising/Promo                                 ")</f>
        <v xml:space="preserve">     Advertising/Promo                                 </v>
      </c>
      <c r="C82" s="14"/>
      <c r="D82" s="1">
        <f>SUM(OSRRefD22_2x_0)</f>
        <v>3042.66</v>
      </c>
      <c r="E82" s="1"/>
      <c r="F82" s="5">
        <f t="shared" ref="F82:F108" si="28">IF(D$12=0,0,D82/D$12)</f>
        <v>9.4309629835028375E-3</v>
      </c>
      <c r="G82" s="1"/>
      <c r="H82" s="1">
        <f>SUM(OSRRefH22_2x_0)</f>
        <v>811.91</v>
      </c>
      <c r="I82" s="1"/>
      <c r="J82" s="5">
        <f t="shared" ref="J82:J108" si="29">IF(H$12=0,0,H82/H$12)</f>
        <v>2.9347748096838779E-3</v>
      </c>
      <c r="K82" s="1"/>
      <c r="L82" s="1">
        <f t="shared" ref="L82:L108" si="30">+D82-H82</f>
        <v>2230.75</v>
      </c>
      <c r="M82" s="1"/>
      <c r="N82" s="5">
        <f t="shared" ref="N82:N108" si="31">IF(H82=0,0,L82/H82)</f>
        <v>2.7475335936249095</v>
      </c>
      <c r="O82" s="14"/>
      <c r="P82" s="1">
        <f>SUM(OSRRefP22_2x_0)</f>
        <v>3234.66</v>
      </c>
      <c r="Q82" s="1"/>
      <c r="R82" s="5">
        <f t="shared" ref="R82:R108" si="32">IF(P$12=0,0,P82/P$12)</f>
        <v>5.8308233822171734E-3</v>
      </c>
      <c r="S82" s="1"/>
      <c r="T82" s="1">
        <f>SUM(OSRRefT22_2x_0)</f>
        <v>1629.08</v>
      </c>
      <c r="U82" s="1"/>
      <c r="V82" s="5">
        <f t="shared" ref="V82:V108" si="33">IF(T$12=0,0,T82/T$12)</f>
        <v>3.3422054374745405E-3</v>
      </c>
      <c r="W82" s="1"/>
      <c r="X82" s="1">
        <f t="shared" ref="X82:X108" si="34">+P82-T82</f>
        <v>1605.58</v>
      </c>
      <c r="Y82" s="1"/>
      <c r="Z82" s="5">
        <f t="shared" ref="Z82:Z108" si="35">IF(T82=0,0,X82/T82)</f>
        <v>0.98557468018759053</v>
      </c>
    </row>
    <row r="83" spans="1:26" s="24" customFormat="1" hidden="1" outlineLevel="2" x14ac:dyDescent="0.25">
      <c r="A83" s="29"/>
      <c r="B83" s="11" t="str">
        <f>CONCATENATE("          ", "6362", " - ", "ADVERTISING EXPENSE")</f>
        <v xml:space="preserve">          6362 - ADVERTISING EXPENSE</v>
      </c>
      <c r="C83" s="11"/>
      <c r="D83" s="7">
        <v>3042.66</v>
      </c>
      <c r="E83" s="2"/>
      <c r="F83" s="6">
        <f t="shared" si="28"/>
        <v>9.4309629835028375E-3</v>
      </c>
      <c r="G83" s="2"/>
      <c r="H83" s="7">
        <v>811.91</v>
      </c>
      <c r="I83" s="2"/>
      <c r="J83" s="6">
        <f t="shared" si="29"/>
        <v>2.9347748096838779E-3</v>
      </c>
      <c r="K83" s="2"/>
      <c r="L83" s="7">
        <f t="shared" si="30"/>
        <v>2230.75</v>
      </c>
      <c r="M83" s="2"/>
      <c r="N83" s="6">
        <f t="shared" si="31"/>
        <v>2.7475335936249095</v>
      </c>
      <c r="O83" s="11"/>
      <c r="P83" s="7">
        <v>3234.66</v>
      </c>
      <c r="Q83" s="2"/>
      <c r="R83" s="6">
        <f t="shared" si="32"/>
        <v>5.8308233822171734E-3</v>
      </c>
      <c r="S83" s="2"/>
      <c r="T83" s="7">
        <v>1629.08</v>
      </c>
      <c r="U83" s="2"/>
      <c r="V83" s="6">
        <f t="shared" si="33"/>
        <v>3.3422054374745405E-3</v>
      </c>
      <c r="W83" s="2"/>
      <c r="X83" s="7">
        <f t="shared" si="34"/>
        <v>1605.58</v>
      </c>
      <c r="Y83" s="2"/>
      <c r="Z83" s="6">
        <f t="shared" si="35"/>
        <v>0.98557468018759053</v>
      </c>
    </row>
    <row r="84" spans="1:26" s="27" customFormat="1" outlineLevel="1" collapsed="1" x14ac:dyDescent="0.25">
      <c r="A84" s="28"/>
      <c r="B84" s="14" t="str">
        <f>CONCATENATE("     ","Bad Debts/Over/Short                              ")</f>
        <v xml:space="preserve">     Bad Debts/Over/Short                              </v>
      </c>
      <c r="C84" s="14"/>
      <c r="D84" s="1">
        <f>SUM(OSRRefD22_3x_0)</f>
        <v>36.04</v>
      </c>
      <c r="E84" s="1"/>
      <c r="F84" s="5">
        <f t="shared" si="28"/>
        <v>1.1170880279934079E-4</v>
      </c>
      <c r="G84" s="1"/>
      <c r="H84" s="1">
        <f>SUM(OSRRefH22_3x_0)</f>
        <v>99.28</v>
      </c>
      <c r="I84" s="1"/>
      <c r="J84" s="5">
        <f t="shared" si="29"/>
        <v>3.588629812484332E-4</v>
      </c>
      <c r="K84" s="1"/>
      <c r="L84" s="1">
        <f t="shared" si="30"/>
        <v>-63.24</v>
      </c>
      <c r="M84" s="1"/>
      <c r="N84" s="5">
        <f t="shared" si="31"/>
        <v>-0.63698630136986301</v>
      </c>
      <c r="O84" s="14"/>
      <c r="P84" s="1">
        <f>SUM(OSRRefP22_3x_0)</f>
        <v>29.91</v>
      </c>
      <c r="Q84" s="1"/>
      <c r="R84" s="5">
        <f t="shared" si="32"/>
        <v>5.3915999629672252E-5</v>
      </c>
      <c r="S84" s="1"/>
      <c r="T84" s="1">
        <f>SUM(OSRRefT22_3x_0)</f>
        <v>100.3</v>
      </c>
      <c r="U84" s="1"/>
      <c r="V84" s="5">
        <f t="shared" si="33"/>
        <v>2.0577455089909423E-4</v>
      </c>
      <c r="W84" s="1"/>
      <c r="X84" s="1">
        <f t="shared" si="34"/>
        <v>-70.39</v>
      </c>
      <c r="Y84" s="1"/>
      <c r="Z84" s="5">
        <f t="shared" si="35"/>
        <v>-0.70179461615154537</v>
      </c>
    </row>
    <row r="85" spans="1:26" s="24" customFormat="1" hidden="1" outlineLevel="2" x14ac:dyDescent="0.25">
      <c r="A85" s="29"/>
      <c r="B85" s="11" t="str">
        <f>CONCATENATE("          ", "6272", " - ", "CASH (OVER/SHORT)")</f>
        <v xml:space="preserve">          6272 - CASH (OVER/SHORT)</v>
      </c>
      <c r="C85" s="11"/>
      <c r="D85" s="7">
        <v>36.04</v>
      </c>
      <c r="E85" s="2"/>
      <c r="F85" s="6">
        <f t="shared" si="28"/>
        <v>1.1170880279934079E-4</v>
      </c>
      <c r="G85" s="2"/>
      <c r="H85" s="7">
        <v>99.28</v>
      </c>
      <c r="I85" s="2"/>
      <c r="J85" s="6">
        <f t="shared" si="29"/>
        <v>3.588629812484332E-4</v>
      </c>
      <c r="K85" s="2"/>
      <c r="L85" s="7">
        <f t="shared" si="30"/>
        <v>-63.24</v>
      </c>
      <c r="M85" s="2"/>
      <c r="N85" s="6">
        <f t="shared" si="31"/>
        <v>-0.63698630136986301</v>
      </c>
      <c r="O85" s="11"/>
      <c r="P85" s="7">
        <v>29.91</v>
      </c>
      <c r="Q85" s="2"/>
      <c r="R85" s="6">
        <f t="shared" si="32"/>
        <v>5.3915999629672252E-5</v>
      </c>
      <c r="S85" s="2"/>
      <c r="T85" s="7">
        <v>100.3</v>
      </c>
      <c r="U85" s="2"/>
      <c r="V85" s="6">
        <f t="shared" si="33"/>
        <v>2.0577455089909423E-4</v>
      </c>
      <c r="W85" s="2"/>
      <c r="X85" s="7">
        <f t="shared" si="34"/>
        <v>-70.39</v>
      </c>
      <c r="Y85" s="2"/>
      <c r="Z85" s="6">
        <f t="shared" si="35"/>
        <v>-0.70179461615154537</v>
      </c>
    </row>
    <row r="86" spans="1:26" s="27" customFormat="1" outlineLevel="1" collapsed="1" x14ac:dyDescent="0.25">
      <c r="A86" s="28"/>
      <c r="B86" s="14" t="str">
        <f>CONCATENATE("     ","Bank/card Fees                                    ")</f>
        <v xml:space="preserve">     Bank/card Fees                                    </v>
      </c>
      <c r="C86" s="14"/>
      <c r="D86" s="1">
        <f>SUM(OSRRefD22_4x_0)</f>
        <v>803.95</v>
      </c>
      <c r="E86" s="1"/>
      <c r="F86" s="5">
        <f t="shared" si="28"/>
        <v>2.491905993632909E-3</v>
      </c>
      <c r="G86" s="1"/>
      <c r="H86" s="1">
        <f>SUM(OSRRefH22_4x_0)</f>
        <v>-563.64</v>
      </c>
      <c r="I86" s="1"/>
      <c r="J86" s="5">
        <f t="shared" si="29"/>
        <v>-2.0373643306896344E-3</v>
      </c>
      <c r="K86" s="1"/>
      <c r="L86" s="1">
        <f t="shared" si="30"/>
        <v>1367.5900000000001</v>
      </c>
      <c r="M86" s="1"/>
      <c r="N86" s="5">
        <f t="shared" si="31"/>
        <v>-2.4263537009438654</v>
      </c>
      <c r="O86" s="14"/>
      <c r="P86" s="1">
        <f>SUM(OSRRefP22_4x_0)</f>
        <v>1481.66</v>
      </c>
      <c r="Q86" s="1"/>
      <c r="R86" s="5">
        <f t="shared" si="32"/>
        <v>2.6708518893781411E-3</v>
      </c>
      <c r="S86" s="1"/>
      <c r="T86" s="1">
        <f>SUM(OSRRefT22_4x_0)</f>
        <v>1315.08</v>
      </c>
      <c r="U86" s="1"/>
      <c r="V86" s="5">
        <f t="shared" si="33"/>
        <v>2.6980059461254322E-3</v>
      </c>
      <c r="W86" s="1"/>
      <c r="X86" s="1">
        <f t="shared" si="34"/>
        <v>166.58000000000015</v>
      </c>
      <c r="Y86" s="1"/>
      <c r="Z86" s="5">
        <f t="shared" si="35"/>
        <v>0.12666909997870865</v>
      </c>
    </row>
    <row r="87" spans="1:26" s="24" customFormat="1" hidden="1" outlineLevel="2" x14ac:dyDescent="0.25">
      <c r="A87" s="29"/>
      <c r="B87" s="11" t="str">
        <f>CONCATENATE("          ", "6381", " - ", "BANK/CREDIT CARD FEES")</f>
        <v xml:space="preserve">          6381 - BANK/CREDIT CARD FEES</v>
      </c>
      <c r="C87" s="11"/>
      <c r="D87" s="7">
        <v>803.95</v>
      </c>
      <c r="E87" s="2"/>
      <c r="F87" s="6">
        <f t="shared" si="28"/>
        <v>2.491905993632909E-3</v>
      </c>
      <c r="G87" s="2"/>
      <c r="H87" s="7">
        <v>-563.64</v>
      </c>
      <c r="I87" s="2"/>
      <c r="J87" s="6">
        <f t="shared" si="29"/>
        <v>-2.0373643306896344E-3</v>
      </c>
      <c r="K87" s="2"/>
      <c r="L87" s="7">
        <f t="shared" si="30"/>
        <v>1367.5900000000001</v>
      </c>
      <c r="M87" s="2"/>
      <c r="N87" s="6">
        <f t="shared" si="31"/>
        <v>-2.4263537009438654</v>
      </c>
      <c r="O87" s="11"/>
      <c r="P87" s="7">
        <v>1481.66</v>
      </c>
      <c r="Q87" s="2"/>
      <c r="R87" s="6">
        <f t="shared" si="32"/>
        <v>2.6708518893781411E-3</v>
      </c>
      <c r="S87" s="2"/>
      <c r="T87" s="7">
        <v>1315.08</v>
      </c>
      <c r="U87" s="2"/>
      <c r="V87" s="6">
        <f t="shared" si="33"/>
        <v>2.6980059461254322E-3</v>
      </c>
      <c r="W87" s="2"/>
      <c r="X87" s="7">
        <f t="shared" si="34"/>
        <v>166.58000000000015</v>
      </c>
      <c r="Y87" s="2"/>
      <c r="Z87" s="6">
        <f t="shared" si="35"/>
        <v>0.12666909997870865</v>
      </c>
    </row>
    <row r="88" spans="1:26" s="27" customFormat="1" outlineLevel="1" collapsed="1" x14ac:dyDescent="0.25">
      <c r="A88" s="28"/>
      <c r="B88" s="14" t="str">
        <f>CONCATENATE("     ","Discounts and Markdowns                           ")</f>
        <v xml:space="preserve">     Discounts and Markdowns                           </v>
      </c>
      <c r="C88" s="14"/>
      <c r="D88" s="1">
        <f>SUM(OSRRefD22_5x_0)</f>
        <v>27426.91</v>
      </c>
      <c r="E88" s="1"/>
      <c r="F88" s="5">
        <f t="shared" si="28"/>
        <v>8.5011855732110661E-2</v>
      </c>
      <c r="G88" s="1"/>
      <c r="H88" s="1">
        <f>SUM(OSRRefH22_5x_0)</f>
        <v>22067.01</v>
      </c>
      <c r="I88" s="1"/>
      <c r="J88" s="5">
        <f t="shared" si="29"/>
        <v>7.9764635332785938E-2</v>
      </c>
      <c r="K88" s="1"/>
      <c r="L88" s="1">
        <f t="shared" si="30"/>
        <v>5359.9000000000015</v>
      </c>
      <c r="M88" s="1"/>
      <c r="N88" s="5">
        <f t="shared" si="31"/>
        <v>0.24289199125753791</v>
      </c>
      <c r="O88" s="14"/>
      <c r="P88" s="1">
        <f>SUM(OSRRefP22_5x_0)</f>
        <v>47444.689999999995</v>
      </c>
      <c r="Q88" s="1"/>
      <c r="R88" s="5">
        <f t="shared" si="32"/>
        <v>8.5524168788696578E-2</v>
      </c>
      <c r="S88" s="1"/>
      <c r="T88" s="1">
        <f>SUM(OSRRefT22_5x_0)</f>
        <v>37777.79</v>
      </c>
      <c r="U88" s="1"/>
      <c r="V88" s="5">
        <f t="shared" si="33"/>
        <v>7.7504564020042813E-2</v>
      </c>
      <c r="W88" s="1"/>
      <c r="X88" s="1">
        <f t="shared" si="34"/>
        <v>9666.8999999999942</v>
      </c>
      <c r="Y88" s="1"/>
      <c r="Z88" s="5">
        <f t="shared" si="35"/>
        <v>0.25588844662432592</v>
      </c>
    </row>
    <row r="89" spans="1:26" s="24" customFormat="1" hidden="1" outlineLevel="2" x14ac:dyDescent="0.25">
      <c r="A89" s="29"/>
      <c r="B89" s="11" t="str">
        <f>CONCATENATE("          ", "6382", " - ", "DISCOUNTS/MARK DOWNS")</f>
        <v xml:space="preserve">          6382 - DISCOUNTS/MARK DOWNS</v>
      </c>
      <c r="C89" s="11"/>
      <c r="D89" s="7">
        <v>27426.91</v>
      </c>
      <c r="E89" s="2"/>
      <c r="F89" s="6">
        <f t="shared" si="28"/>
        <v>8.5011855732110661E-2</v>
      </c>
      <c r="G89" s="2"/>
      <c r="H89" s="7">
        <v>22067.01</v>
      </c>
      <c r="I89" s="2"/>
      <c r="J89" s="6">
        <f t="shared" si="29"/>
        <v>7.9764635332785938E-2</v>
      </c>
      <c r="K89" s="2"/>
      <c r="L89" s="7">
        <f t="shared" si="30"/>
        <v>5359.9000000000015</v>
      </c>
      <c r="M89" s="2"/>
      <c r="N89" s="6">
        <f t="shared" si="31"/>
        <v>0.24289199125753791</v>
      </c>
      <c r="O89" s="11"/>
      <c r="P89" s="7">
        <v>47444.689999999995</v>
      </c>
      <c r="Q89" s="2"/>
      <c r="R89" s="6">
        <f t="shared" si="32"/>
        <v>8.5524168788696578E-2</v>
      </c>
      <c r="S89" s="2"/>
      <c r="T89" s="7">
        <v>37777.79</v>
      </c>
      <c r="U89" s="2"/>
      <c r="V89" s="6">
        <f t="shared" si="33"/>
        <v>7.7504564020042813E-2</v>
      </c>
      <c r="W89" s="2"/>
      <c r="X89" s="7">
        <f t="shared" si="34"/>
        <v>9666.8999999999942</v>
      </c>
      <c r="Y89" s="2"/>
      <c r="Z89" s="6">
        <f t="shared" si="35"/>
        <v>0.25588844662432592</v>
      </c>
    </row>
    <row r="90" spans="1:26" s="27" customFormat="1" outlineLevel="1" collapsed="1" x14ac:dyDescent="0.25">
      <c r="A90" s="28"/>
      <c r="B90" s="14" t="str">
        <f>CONCATENATE("     ","Donations                                         ")</f>
        <v xml:space="preserve">     Donations                                         </v>
      </c>
      <c r="C90" s="14"/>
      <c r="D90" s="1">
        <f>SUM(OSRRefD22_6x_0)</f>
        <v>0</v>
      </c>
      <c r="E90" s="1"/>
      <c r="F90" s="5">
        <f t="shared" si="28"/>
        <v>0</v>
      </c>
      <c r="G90" s="1"/>
      <c r="H90" s="1">
        <f>SUM(OSRRefH22_6x_0)</f>
        <v>0</v>
      </c>
      <c r="I90" s="1"/>
      <c r="J90" s="5">
        <f t="shared" si="29"/>
        <v>0</v>
      </c>
      <c r="K90" s="1"/>
      <c r="L90" s="1">
        <f t="shared" si="30"/>
        <v>0</v>
      </c>
      <c r="M90" s="1"/>
      <c r="N90" s="5">
        <f t="shared" si="31"/>
        <v>0</v>
      </c>
      <c r="O90" s="14"/>
      <c r="P90" s="1">
        <f>SUM(OSRRefP22_6x_0)</f>
        <v>0</v>
      </c>
      <c r="Q90" s="1"/>
      <c r="R90" s="5">
        <f t="shared" si="32"/>
        <v>0</v>
      </c>
      <c r="S90" s="1"/>
      <c r="T90" s="1">
        <f>SUM(OSRRefT22_6x_0)</f>
        <v>100</v>
      </c>
      <c r="U90" s="1"/>
      <c r="V90" s="5">
        <f t="shared" si="33"/>
        <v>2.0515907367806005E-4</v>
      </c>
      <c r="W90" s="1"/>
      <c r="X90" s="1">
        <f t="shared" si="34"/>
        <v>-100</v>
      </c>
      <c r="Y90" s="1"/>
      <c r="Z90" s="5">
        <f t="shared" si="35"/>
        <v>-1</v>
      </c>
    </row>
    <row r="91" spans="1:26" s="24" customFormat="1" hidden="1" outlineLevel="2" x14ac:dyDescent="0.25">
      <c r="A91" s="29"/>
      <c r="B91" s="11" t="str">
        <f>CONCATENATE("          ", "6399", " - ", "DONATION-ON CAMPUS")</f>
        <v xml:space="preserve">          6399 - DONATION-ON CAMPUS</v>
      </c>
      <c r="C91" s="11"/>
      <c r="D91" s="7"/>
      <c r="E91" s="2"/>
      <c r="F91" s="6">
        <f t="shared" si="28"/>
        <v>0</v>
      </c>
      <c r="G91" s="2"/>
      <c r="H91" s="7"/>
      <c r="I91" s="2"/>
      <c r="J91" s="6">
        <f t="shared" si="29"/>
        <v>0</v>
      </c>
      <c r="K91" s="2"/>
      <c r="L91" s="7">
        <f t="shared" si="30"/>
        <v>0</v>
      </c>
      <c r="M91" s="2"/>
      <c r="N91" s="6">
        <f t="shared" si="31"/>
        <v>0</v>
      </c>
      <c r="O91" s="11"/>
      <c r="P91" s="7"/>
      <c r="Q91" s="2"/>
      <c r="R91" s="6">
        <f t="shared" si="32"/>
        <v>0</v>
      </c>
      <c r="S91" s="2"/>
      <c r="T91" s="7">
        <v>100</v>
      </c>
      <c r="U91" s="2"/>
      <c r="V91" s="6">
        <f t="shared" si="33"/>
        <v>2.0515907367806005E-4</v>
      </c>
      <c r="W91" s="2"/>
      <c r="X91" s="7">
        <f t="shared" si="34"/>
        <v>-100</v>
      </c>
      <c r="Y91" s="2"/>
      <c r="Z91" s="6">
        <f t="shared" si="35"/>
        <v>-1</v>
      </c>
    </row>
    <row r="92" spans="1:26" s="27" customFormat="1" outlineLevel="1" collapsed="1" x14ac:dyDescent="0.25">
      <c r="A92" s="28"/>
      <c r="B92" s="14" t="str">
        <f>CONCATENATE("     ","Employees' Appreciation                           ")</f>
        <v xml:space="preserve">     Employees' Appreciation                           </v>
      </c>
      <c r="C92" s="14"/>
      <c r="D92" s="1">
        <f>SUM(OSRRefD22_7x_0)</f>
        <v>0</v>
      </c>
      <c r="E92" s="1"/>
      <c r="F92" s="5">
        <f t="shared" si="28"/>
        <v>0</v>
      </c>
      <c r="G92" s="1"/>
      <c r="H92" s="1">
        <f>SUM(OSRRefH22_7x_0)</f>
        <v>0</v>
      </c>
      <c r="I92" s="1"/>
      <c r="J92" s="5">
        <f t="shared" si="29"/>
        <v>0</v>
      </c>
      <c r="K92" s="1"/>
      <c r="L92" s="1">
        <f t="shared" si="30"/>
        <v>0</v>
      </c>
      <c r="M92" s="1"/>
      <c r="N92" s="5">
        <f t="shared" si="31"/>
        <v>0</v>
      </c>
      <c r="O92" s="14"/>
      <c r="P92" s="1">
        <f>SUM(OSRRefP22_7x_0)</f>
        <v>133.91</v>
      </c>
      <c r="Q92" s="1"/>
      <c r="R92" s="5">
        <f t="shared" si="32"/>
        <v>2.4138721198292917E-4</v>
      </c>
      <c r="S92" s="1"/>
      <c r="T92" s="1">
        <f>SUM(OSRRefT22_7x_0)</f>
        <v>89.29</v>
      </c>
      <c r="U92" s="1"/>
      <c r="V92" s="5">
        <f t="shared" si="33"/>
        <v>1.8318653688713984E-4</v>
      </c>
      <c r="W92" s="1"/>
      <c r="X92" s="1">
        <f t="shared" si="34"/>
        <v>44.61999999999999</v>
      </c>
      <c r="Y92" s="1"/>
      <c r="Z92" s="5">
        <f t="shared" si="35"/>
        <v>0.49972001343935479</v>
      </c>
    </row>
    <row r="93" spans="1:26" s="24" customFormat="1" hidden="1" outlineLevel="2" x14ac:dyDescent="0.25">
      <c r="A93" s="29"/>
      <c r="B93" s="11" t="str">
        <f>CONCATENATE("          ", "6277", " - ", "EMPLOYEE APPRECIATION")</f>
        <v xml:space="preserve">          6277 - EMPLOYEE APPRECIATION</v>
      </c>
      <c r="C93" s="11"/>
      <c r="D93" s="7"/>
      <c r="E93" s="2"/>
      <c r="F93" s="6">
        <f t="shared" si="28"/>
        <v>0</v>
      </c>
      <c r="G93" s="2"/>
      <c r="H93" s="7"/>
      <c r="I93" s="2"/>
      <c r="J93" s="6">
        <f t="shared" si="29"/>
        <v>0</v>
      </c>
      <c r="K93" s="2"/>
      <c r="L93" s="7">
        <f t="shared" si="30"/>
        <v>0</v>
      </c>
      <c r="M93" s="2"/>
      <c r="N93" s="6">
        <f t="shared" si="31"/>
        <v>0</v>
      </c>
      <c r="O93" s="11"/>
      <c r="P93" s="7">
        <v>133.91</v>
      </c>
      <c r="Q93" s="2"/>
      <c r="R93" s="6">
        <f t="shared" si="32"/>
        <v>2.4138721198292917E-4</v>
      </c>
      <c r="S93" s="2"/>
      <c r="T93" s="7">
        <v>89.29</v>
      </c>
      <c r="U93" s="2"/>
      <c r="V93" s="6">
        <f t="shared" si="33"/>
        <v>1.8318653688713984E-4</v>
      </c>
      <c r="W93" s="2"/>
      <c r="X93" s="7">
        <f t="shared" si="34"/>
        <v>44.61999999999999</v>
      </c>
      <c r="Y93" s="2"/>
      <c r="Z93" s="6">
        <f t="shared" si="35"/>
        <v>0.49972001343935479</v>
      </c>
    </row>
    <row r="94" spans="1:26" s="27" customFormat="1" outlineLevel="1" collapsed="1" x14ac:dyDescent="0.25">
      <c r="A94" s="28"/>
      <c r="B94" s="14" t="str">
        <f>CONCATENATE("     ","Freight out/Postage                               ")</f>
        <v xml:space="preserve">     Freight out/Postage                               </v>
      </c>
      <c r="C94" s="14"/>
      <c r="D94" s="1">
        <f>SUM(OSRRefD22_8x_0)</f>
        <v>0</v>
      </c>
      <c r="E94" s="1"/>
      <c r="F94" s="5">
        <f t="shared" si="28"/>
        <v>0</v>
      </c>
      <c r="G94" s="1"/>
      <c r="H94" s="1">
        <f>SUM(OSRRefH22_8x_0)</f>
        <v>4.88</v>
      </c>
      <c r="I94" s="1"/>
      <c r="J94" s="5">
        <f t="shared" si="29"/>
        <v>1.7639518014628868E-5</v>
      </c>
      <c r="K94" s="1"/>
      <c r="L94" s="1">
        <f t="shared" si="30"/>
        <v>-4.88</v>
      </c>
      <c r="M94" s="1"/>
      <c r="N94" s="5">
        <f t="shared" si="31"/>
        <v>-1</v>
      </c>
      <c r="O94" s="14"/>
      <c r="P94" s="1">
        <f>SUM(OSRRefP22_8x_0)</f>
        <v>0</v>
      </c>
      <c r="Q94" s="1"/>
      <c r="R94" s="5">
        <f t="shared" si="32"/>
        <v>0</v>
      </c>
      <c r="S94" s="1"/>
      <c r="T94" s="1">
        <f>SUM(OSRRefT22_8x_0)</f>
        <v>4.88</v>
      </c>
      <c r="U94" s="1"/>
      <c r="V94" s="5">
        <f t="shared" si="33"/>
        <v>1.0011762795489331E-5</v>
      </c>
      <c r="W94" s="1"/>
      <c r="X94" s="1">
        <f t="shared" si="34"/>
        <v>-4.88</v>
      </c>
      <c r="Y94" s="1"/>
      <c r="Z94" s="5">
        <f t="shared" si="35"/>
        <v>-1</v>
      </c>
    </row>
    <row r="95" spans="1:26" s="24" customFormat="1" hidden="1" outlineLevel="2" x14ac:dyDescent="0.25">
      <c r="A95" s="29"/>
      <c r="B95" s="11" t="str">
        <f>CONCATENATE("          ", "6305", " - ", "FREIGHT OUT")</f>
        <v xml:space="preserve">          6305 - FREIGHT OUT</v>
      </c>
      <c r="C95" s="11"/>
      <c r="D95" s="7"/>
      <c r="E95" s="2"/>
      <c r="F95" s="6">
        <f t="shared" si="28"/>
        <v>0</v>
      </c>
      <c r="G95" s="2"/>
      <c r="H95" s="7">
        <v>4.88</v>
      </c>
      <c r="I95" s="2"/>
      <c r="J95" s="6">
        <f t="shared" si="29"/>
        <v>1.7639518014628868E-5</v>
      </c>
      <c r="K95" s="2"/>
      <c r="L95" s="7">
        <f t="shared" si="30"/>
        <v>-4.88</v>
      </c>
      <c r="M95" s="2"/>
      <c r="N95" s="6">
        <f t="shared" si="31"/>
        <v>-1</v>
      </c>
      <c r="O95" s="11"/>
      <c r="P95" s="7"/>
      <c r="Q95" s="2"/>
      <c r="R95" s="6">
        <f t="shared" si="32"/>
        <v>0</v>
      </c>
      <c r="S95" s="2"/>
      <c r="T95" s="7">
        <v>4.88</v>
      </c>
      <c r="U95" s="2"/>
      <c r="V95" s="6">
        <f t="shared" si="33"/>
        <v>1.0011762795489331E-5</v>
      </c>
      <c r="W95" s="2"/>
      <c r="X95" s="7">
        <f t="shared" si="34"/>
        <v>-4.88</v>
      </c>
      <c r="Y95" s="2"/>
      <c r="Z95" s="6">
        <f t="shared" si="35"/>
        <v>-1</v>
      </c>
    </row>
    <row r="96" spans="1:26" s="27" customFormat="1" outlineLevel="1" collapsed="1" x14ac:dyDescent="0.25">
      <c r="A96" s="28"/>
      <c r="B96" s="14" t="str">
        <f>CONCATENATE("     ","General                                           ")</f>
        <v xml:space="preserve">     General                                           </v>
      </c>
      <c r="C96" s="14"/>
      <c r="D96" s="1">
        <f>SUM(OSRRefD22_9x_0)</f>
        <v>0</v>
      </c>
      <c r="E96" s="1"/>
      <c r="F96" s="5">
        <f t="shared" si="28"/>
        <v>0</v>
      </c>
      <c r="G96" s="1"/>
      <c r="H96" s="1">
        <f>SUM(OSRRefH22_9x_0)</f>
        <v>33.06</v>
      </c>
      <c r="I96" s="1"/>
      <c r="J96" s="5">
        <f t="shared" si="29"/>
        <v>1.1950050523844886E-4</v>
      </c>
      <c r="K96" s="1"/>
      <c r="L96" s="1">
        <f t="shared" si="30"/>
        <v>-33.06</v>
      </c>
      <c r="M96" s="1"/>
      <c r="N96" s="5">
        <f t="shared" si="31"/>
        <v>-1</v>
      </c>
      <c r="O96" s="14"/>
      <c r="P96" s="1">
        <f>SUM(OSRRefP22_9x_0)</f>
        <v>0</v>
      </c>
      <c r="Q96" s="1"/>
      <c r="R96" s="5">
        <f t="shared" si="32"/>
        <v>0</v>
      </c>
      <c r="S96" s="1"/>
      <c r="T96" s="1">
        <f>SUM(OSRRefT22_9x_0)</f>
        <v>33.06</v>
      </c>
      <c r="U96" s="1"/>
      <c r="V96" s="5">
        <f t="shared" si="33"/>
        <v>6.782558975796666E-5</v>
      </c>
      <c r="W96" s="1"/>
      <c r="X96" s="1">
        <f t="shared" si="34"/>
        <v>-33.06</v>
      </c>
      <c r="Y96" s="1"/>
      <c r="Z96" s="5">
        <f t="shared" si="35"/>
        <v>-1</v>
      </c>
    </row>
    <row r="97" spans="1:26" s="24" customFormat="1" hidden="1" outlineLevel="2" x14ac:dyDescent="0.25">
      <c r="A97" s="29"/>
      <c r="B97" s="11" t="str">
        <f>CONCATENATE("          ", "6279", " - ", "GENERAL EXPENSE")</f>
        <v xml:space="preserve">          6279 - GENERAL EXPENSE</v>
      </c>
      <c r="C97" s="11"/>
      <c r="D97" s="7"/>
      <c r="E97" s="2"/>
      <c r="F97" s="6">
        <f t="shared" si="28"/>
        <v>0</v>
      </c>
      <c r="G97" s="2"/>
      <c r="H97" s="7">
        <v>33.06</v>
      </c>
      <c r="I97" s="2"/>
      <c r="J97" s="6">
        <f t="shared" si="29"/>
        <v>1.1950050523844886E-4</v>
      </c>
      <c r="K97" s="2"/>
      <c r="L97" s="7">
        <f t="shared" si="30"/>
        <v>-33.06</v>
      </c>
      <c r="M97" s="2"/>
      <c r="N97" s="6">
        <f t="shared" si="31"/>
        <v>-1</v>
      </c>
      <c r="O97" s="11"/>
      <c r="P97" s="7"/>
      <c r="Q97" s="2"/>
      <c r="R97" s="6">
        <f t="shared" si="32"/>
        <v>0</v>
      </c>
      <c r="S97" s="2"/>
      <c r="T97" s="7">
        <v>33.06</v>
      </c>
      <c r="U97" s="2"/>
      <c r="V97" s="6">
        <f t="shared" si="33"/>
        <v>6.782558975796666E-5</v>
      </c>
      <c r="W97" s="2"/>
      <c r="X97" s="7">
        <f t="shared" si="34"/>
        <v>-33.06</v>
      </c>
      <c r="Y97" s="2"/>
      <c r="Z97" s="6">
        <f t="shared" si="35"/>
        <v>-1</v>
      </c>
    </row>
    <row r="98" spans="1:26" s="27" customFormat="1" outlineLevel="1" collapsed="1" x14ac:dyDescent="0.25">
      <c r="A98" s="28"/>
      <c r="B98" s="14" t="str">
        <f>CONCATENATE("     ","Insurance                                         ")</f>
        <v xml:space="preserve">     Insurance                                         </v>
      </c>
      <c r="C98" s="14"/>
      <c r="D98" s="1">
        <f>SUM(OSRRefD22_10x_0)</f>
        <v>161.18</v>
      </c>
      <c r="E98" s="1"/>
      <c r="F98" s="5">
        <f t="shared" si="28"/>
        <v>4.9959003427296755E-4</v>
      </c>
      <c r="G98" s="1"/>
      <c r="H98" s="1">
        <f>SUM(OSRRefH22_10x_0)</f>
        <v>151.85</v>
      </c>
      <c r="I98" s="1"/>
      <c r="J98" s="5">
        <f t="shared" si="29"/>
        <v>5.4888541199208881E-4</v>
      </c>
      <c r="K98" s="1"/>
      <c r="L98" s="1">
        <f t="shared" si="30"/>
        <v>9.3300000000000125</v>
      </c>
      <c r="M98" s="1"/>
      <c r="N98" s="5">
        <f t="shared" si="31"/>
        <v>6.1442212709911181E-2</v>
      </c>
      <c r="O98" s="14"/>
      <c r="P98" s="1">
        <f>SUM(OSRRefP22_10x_0)</f>
        <v>322.36</v>
      </c>
      <c r="Q98" s="1"/>
      <c r="R98" s="5">
        <f t="shared" si="32"/>
        <v>5.8108865398265287E-4</v>
      </c>
      <c r="S98" s="1"/>
      <c r="T98" s="1">
        <f>SUM(OSRRefT22_10x_0)</f>
        <v>303.7</v>
      </c>
      <c r="U98" s="1"/>
      <c r="V98" s="5">
        <f t="shared" si="33"/>
        <v>6.2306810676026844E-4</v>
      </c>
      <c r="W98" s="1"/>
      <c r="X98" s="1">
        <f t="shared" si="34"/>
        <v>18.660000000000025</v>
      </c>
      <c r="Y98" s="1"/>
      <c r="Z98" s="5">
        <f t="shared" si="35"/>
        <v>6.1442212709911181E-2</v>
      </c>
    </row>
    <row r="99" spans="1:26" s="24" customFormat="1" hidden="1" outlineLevel="2" x14ac:dyDescent="0.25">
      <c r="A99" s="29"/>
      <c r="B99" s="11" t="str">
        <f>CONCATENATE("          ", "6314", " - ", "LIABILITY INSURANCE")</f>
        <v xml:space="preserve">          6314 - LIABILITY INSURANCE</v>
      </c>
      <c r="C99" s="11"/>
      <c r="D99" s="7">
        <v>161.18</v>
      </c>
      <c r="E99" s="2"/>
      <c r="F99" s="6">
        <f t="shared" si="28"/>
        <v>4.9959003427296755E-4</v>
      </c>
      <c r="G99" s="2"/>
      <c r="H99" s="7">
        <v>151.85</v>
      </c>
      <c r="I99" s="2"/>
      <c r="J99" s="6">
        <f t="shared" si="29"/>
        <v>5.4888541199208881E-4</v>
      </c>
      <c r="K99" s="2"/>
      <c r="L99" s="7">
        <f t="shared" si="30"/>
        <v>9.3300000000000125</v>
      </c>
      <c r="M99" s="2"/>
      <c r="N99" s="6">
        <f t="shared" si="31"/>
        <v>6.1442212709911181E-2</v>
      </c>
      <c r="O99" s="11"/>
      <c r="P99" s="7">
        <v>322.36</v>
      </c>
      <c r="Q99" s="2"/>
      <c r="R99" s="6">
        <f t="shared" si="32"/>
        <v>5.8108865398265287E-4</v>
      </c>
      <c r="S99" s="2"/>
      <c r="T99" s="7">
        <v>303.7</v>
      </c>
      <c r="U99" s="2"/>
      <c r="V99" s="6">
        <f t="shared" si="33"/>
        <v>6.2306810676026844E-4</v>
      </c>
      <c r="W99" s="2"/>
      <c r="X99" s="7">
        <f t="shared" si="34"/>
        <v>18.660000000000025</v>
      </c>
      <c r="Y99" s="2"/>
      <c r="Z99" s="6">
        <f t="shared" si="35"/>
        <v>6.1442212709911181E-2</v>
      </c>
    </row>
    <row r="100" spans="1:26" s="27" customFormat="1" outlineLevel="1" collapsed="1" x14ac:dyDescent="0.25">
      <c r="A100" s="28"/>
      <c r="B100" s="14" t="str">
        <f>CONCATENATE("     ","Inventory Adjustment                              ")</f>
        <v xml:space="preserve">     Inventory Adjustment                              </v>
      </c>
      <c r="C100" s="14"/>
      <c r="D100" s="1">
        <f>SUM(OSRRefD22_11x_0)</f>
        <v>3150</v>
      </c>
      <c r="E100" s="1"/>
      <c r="F100" s="5">
        <f t="shared" si="28"/>
        <v>9.7636717208080884E-3</v>
      </c>
      <c r="G100" s="1"/>
      <c r="H100" s="1">
        <f>SUM(OSRRefH22_11x_0)</f>
        <v>1300</v>
      </c>
      <c r="I100" s="1"/>
      <c r="J100" s="5">
        <f t="shared" si="29"/>
        <v>4.6990519301265427E-3</v>
      </c>
      <c r="K100" s="1"/>
      <c r="L100" s="1">
        <f t="shared" si="30"/>
        <v>1850</v>
      </c>
      <c r="M100" s="1"/>
      <c r="N100" s="5">
        <f t="shared" si="31"/>
        <v>1.4230769230769231</v>
      </c>
      <c r="O100" s="14"/>
      <c r="P100" s="1">
        <f>SUM(OSRRefP22_11x_0)</f>
        <v>6300</v>
      </c>
      <c r="Q100" s="1"/>
      <c r="R100" s="5">
        <f t="shared" si="32"/>
        <v>1.1356429209860755E-2</v>
      </c>
      <c r="S100" s="1"/>
      <c r="T100" s="1">
        <f>SUM(OSRRefT22_11x_0)</f>
        <v>2600</v>
      </c>
      <c r="U100" s="1"/>
      <c r="V100" s="5">
        <f t="shared" si="33"/>
        <v>5.334135915629562E-3</v>
      </c>
      <c r="W100" s="1"/>
      <c r="X100" s="1">
        <f t="shared" si="34"/>
        <v>3700</v>
      </c>
      <c r="Y100" s="1"/>
      <c r="Z100" s="5">
        <f t="shared" si="35"/>
        <v>1.4230769230769231</v>
      </c>
    </row>
    <row r="101" spans="1:26" s="24" customFormat="1" hidden="1" outlineLevel="2" x14ac:dyDescent="0.25">
      <c r="A101" s="29"/>
      <c r="B101" s="11" t="str">
        <f>CONCATENATE("          ", "6408", " - ", "INVENTORY ADJUSTMENT")</f>
        <v xml:space="preserve">          6408 - INVENTORY ADJUSTMENT</v>
      </c>
      <c r="C101" s="11"/>
      <c r="D101" s="7">
        <v>3150</v>
      </c>
      <c r="E101" s="2"/>
      <c r="F101" s="6">
        <f t="shared" si="28"/>
        <v>9.7636717208080884E-3</v>
      </c>
      <c r="G101" s="2"/>
      <c r="H101" s="7">
        <v>1300</v>
      </c>
      <c r="I101" s="2"/>
      <c r="J101" s="6">
        <f t="shared" si="29"/>
        <v>4.6990519301265427E-3</v>
      </c>
      <c r="K101" s="2"/>
      <c r="L101" s="7">
        <f t="shared" si="30"/>
        <v>1850</v>
      </c>
      <c r="M101" s="2"/>
      <c r="N101" s="6">
        <f t="shared" si="31"/>
        <v>1.4230769230769231</v>
      </c>
      <c r="O101" s="11"/>
      <c r="P101" s="7">
        <v>6300</v>
      </c>
      <c r="Q101" s="2"/>
      <c r="R101" s="6">
        <f t="shared" si="32"/>
        <v>1.1356429209860755E-2</v>
      </c>
      <c r="S101" s="2"/>
      <c r="T101" s="7">
        <v>2600</v>
      </c>
      <c r="U101" s="2"/>
      <c r="V101" s="6">
        <f t="shared" si="33"/>
        <v>5.334135915629562E-3</v>
      </c>
      <c r="W101" s="2"/>
      <c r="X101" s="7">
        <f t="shared" si="34"/>
        <v>3700</v>
      </c>
      <c r="Y101" s="2"/>
      <c r="Z101" s="6">
        <f t="shared" si="35"/>
        <v>1.4230769230769231</v>
      </c>
    </row>
    <row r="102" spans="1:26" s="27" customFormat="1" outlineLevel="1" collapsed="1" x14ac:dyDescent="0.25">
      <c r="A102" s="28"/>
      <c r="B102" s="14" t="str">
        <f>CONCATENATE("     ","Professional Services                             ")</f>
        <v xml:space="preserve">     Professional Services                             </v>
      </c>
      <c r="C102" s="14"/>
      <c r="D102" s="1">
        <f>SUM(OSRRefD22_12x_0)</f>
        <v>0</v>
      </c>
      <c r="E102" s="1"/>
      <c r="F102" s="5">
        <f t="shared" si="28"/>
        <v>0</v>
      </c>
      <c r="G102" s="1"/>
      <c r="H102" s="1">
        <f>SUM(OSRRefH22_12x_0)</f>
        <v>0</v>
      </c>
      <c r="I102" s="1"/>
      <c r="J102" s="5">
        <f t="shared" si="29"/>
        <v>0</v>
      </c>
      <c r="K102" s="1"/>
      <c r="L102" s="1">
        <f t="shared" si="30"/>
        <v>0</v>
      </c>
      <c r="M102" s="1"/>
      <c r="N102" s="5">
        <f t="shared" si="31"/>
        <v>0</v>
      </c>
      <c r="O102" s="14"/>
      <c r="P102" s="1">
        <f>SUM(OSRRefP22_12x_0)</f>
        <v>750</v>
      </c>
      <c r="Q102" s="1"/>
      <c r="R102" s="5">
        <f t="shared" si="32"/>
        <v>1.3519558583167566E-3</v>
      </c>
      <c r="S102" s="1"/>
      <c r="T102" s="1">
        <f>SUM(OSRRefT22_12x_0)</f>
        <v>750</v>
      </c>
      <c r="U102" s="1"/>
      <c r="V102" s="5">
        <f t="shared" si="33"/>
        <v>1.5386930525854506E-3</v>
      </c>
      <c r="W102" s="1"/>
      <c r="X102" s="1">
        <f t="shared" si="34"/>
        <v>0</v>
      </c>
      <c r="Y102" s="1"/>
      <c r="Z102" s="5">
        <f t="shared" si="35"/>
        <v>0</v>
      </c>
    </row>
    <row r="103" spans="1:26" s="24" customFormat="1" hidden="1" outlineLevel="2" x14ac:dyDescent="0.25">
      <c r="A103" s="29"/>
      <c r="B103" s="11" t="str">
        <f>CONCATENATE("          ", "6336", " - ", "PROFESSIONAL SERVICES")</f>
        <v xml:space="preserve">          6336 - PROFESSIONAL SERVICES</v>
      </c>
      <c r="C103" s="11"/>
      <c r="D103" s="7"/>
      <c r="E103" s="2"/>
      <c r="F103" s="6">
        <f t="shared" si="28"/>
        <v>0</v>
      </c>
      <c r="G103" s="2"/>
      <c r="H103" s="7"/>
      <c r="I103" s="2"/>
      <c r="J103" s="6">
        <f t="shared" si="29"/>
        <v>0</v>
      </c>
      <c r="K103" s="2"/>
      <c r="L103" s="7">
        <f t="shared" si="30"/>
        <v>0</v>
      </c>
      <c r="M103" s="2"/>
      <c r="N103" s="6">
        <f t="shared" si="31"/>
        <v>0</v>
      </c>
      <c r="O103" s="11"/>
      <c r="P103" s="7">
        <v>750</v>
      </c>
      <c r="Q103" s="2"/>
      <c r="R103" s="6">
        <f t="shared" si="32"/>
        <v>1.3519558583167566E-3</v>
      </c>
      <c r="S103" s="2"/>
      <c r="T103" s="7">
        <v>750</v>
      </c>
      <c r="U103" s="2"/>
      <c r="V103" s="6">
        <f t="shared" si="33"/>
        <v>1.5386930525854506E-3</v>
      </c>
      <c r="W103" s="2"/>
      <c r="X103" s="7">
        <f t="shared" si="34"/>
        <v>0</v>
      </c>
      <c r="Y103" s="2"/>
      <c r="Z103" s="6">
        <f t="shared" si="35"/>
        <v>0</v>
      </c>
    </row>
    <row r="104" spans="1:26" s="27" customFormat="1" outlineLevel="1" collapsed="1" x14ac:dyDescent="0.25">
      <c r="A104" s="28"/>
      <c r="B104" s="14" t="str">
        <f>CONCATENATE("     ","Rent                                              ")</f>
        <v xml:space="preserve">     Rent                                              </v>
      </c>
      <c r="C104" s="14"/>
      <c r="D104" s="1">
        <f>SUM(OSRRefD22_13x_0)</f>
        <v>6900</v>
      </c>
      <c r="E104" s="1"/>
      <c r="F104" s="5">
        <f t="shared" si="28"/>
        <v>2.1387090436055814E-2</v>
      </c>
      <c r="G104" s="1"/>
      <c r="H104" s="1">
        <f>SUM(OSRRefH22_13x_0)</f>
        <v>6900</v>
      </c>
      <c r="I104" s="1"/>
      <c r="J104" s="5">
        <f t="shared" si="29"/>
        <v>2.4941121782979341E-2</v>
      </c>
      <c r="K104" s="1"/>
      <c r="L104" s="1">
        <f t="shared" si="30"/>
        <v>0</v>
      </c>
      <c r="M104" s="1"/>
      <c r="N104" s="5">
        <f t="shared" si="31"/>
        <v>0</v>
      </c>
      <c r="O104" s="14"/>
      <c r="P104" s="1">
        <f>SUM(OSRRefP22_13x_0)</f>
        <v>13800</v>
      </c>
      <c r="Q104" s="1"/>
      <c r="R104" s="5">
        <f t="shared" si="32"/>
        <v>2.4875987793028322E-2</v>
      </c>
      <c r="S104" s="1"/>
      <c r="T104" s="1">
        <f>SUM(OSRRefT22_13x_0)</f>
        <v>13800</v>
      </c>
      <c r="U104" s="1"/>
      <c r="V104" s="5">
        <f t="shared" si="33"/>
        <v>2.8311952167572287E-2</v>
      </c>
      <c r="W104" s="1"/>
      <c r="X104" s="1">
        <f t="shared" si="34"/>
        <v>0</v>
      </c>
      <c r="Y104" s="1"/>
      <c r="Z104" s="5">
        <f t="shared" si="35"/>
        <v>0</v>
      </c>
    </row>
    <row r="105" spans="1:26" s="24" customFormat="1" hidden="1" outlineLevel="2" x14ac:dyDescent="0.25">
      <c r="A105" s="29"/>
      <c r="B105" s="11" t="str">
        <f>CONCATENATE("          ", "6273", " - ", "RENT")</f>
        <v xml:space="preserve">          6273 - RENT</v>
      </c>
      <c r="C105" s="11"/>
      <c r="D105" s="7">
        <v>6900</v>
      </c>
      <c r="E105" s="2"/>
      <c r="F105" s="6">
        <f t="shared" si="28"/>
        <v>2.1387090436055814E-2</v>
      </c>
      <c r="G105" s="2"/>
      <c r="H105" s="7">
        <v>6900</v>
      </c>
      <c r="I105" s="2"/>
      <c r="J105" s="6">
        <f t="shared" si="29"/>
        <v>2.4941121782979341E-2</v>
      </c>
      <c r="K105" s="2"/>
      <c r="L105" s="7">
        <f t="shared" si="30"/>
        <v>0</v>
      </c>
      <c r="M105" s="2"/>
      <c r="N105" s="6">
        <f t="shared" si="31"/>
        <v>0</v>
      </c>
      <c r="O105" s="11"/>
      <c r="P105" s="7">
        <v>13800</v>
      </c>
      <c r="Q105" s="2"/>
      <c r="R105" s="6">
        <f t="shared" si="32"/>
        <v>2.4875987793028322E-2</v>
      </c>
      <c r="S105" s="2"/>
      <c r="T105" s="7">
        <v>13800</v>
      </c>
      <c r="U105" s="2"/>
      <c r="V105" s="6">
        <f t="shared" si="33"/>
        <v>2.8311952167572287E-2</v>
      </c>
      <c r="W105" s="2"/>
      <c r="X105" s="7">
        <f t="shared" si="34"/>
        <v>0</v>
      </c>
      <c r="Y105" s="2"/>
      <c r="Z105" s="6">
        <f t="shared" si="35"/>
        <v>0</v>
      </c>
    </row>
    <row r="106" spans="1:26" s="27" customFormat="1" outlineLevel="1" collapsed="1" x14ac:dyDescent="0.25">
      <c r="A106" s="28"/>
      <c r="B106" s="14" t="str">
        <f>CONCATENATE("     ","Repair and Maintenance                            ")</f>
        <v xml:space="preserve">     Repair and Maintenance                            </v>
      </c>
      <c r="C106" s="14"/>
      <c r="D106" s="1">
        <f>SUM(OSRRefD22_14x_0)</f>
        <v>0</v>
      </c>
      <c r="E106" s="1"/>
      <c r="F106" s="5">
        <f t="shared" si="28"/>
        <v>0</v>
      </c>
      <c r="G106" s="1"/>
      <c r="H106" s="1">
        <f>SUM(OSRRefH22_14x_0)</f>
        <v>163.12</v>
      </c>
      <c r="I106" s="1"/>
      <c r="J106" s="5">
        <f t="shared" si="29"/>
        <v>5.8962257757095519E-4</v>
      </c>
      <c r="K106" s="1"/>
      <c r="L106" s="1">
        <f t="shared" si="30"/>
        <v>-163.12</v>
      </c>
      <c r="M106" s="1"/>
      <c r="N106" s="5">
        <f t="shared" si="31"/>
        <v>-1</v>
      </c>
      <c r="O106" s="14"/>
      <c r="P106" s="1">
        <f>SUM(OSRRefP22_14x_0)</f>
        <v>0</v>
      </c>
      <c r="Q106" s="1"/>
      <c r="R106" s="5">
        <f t="shared" si="32"/>
        <v>0</v>
      </c>
      <c r="S106" s="1"/>
      <c r="T106" s="1">
        <f>SUM(OSRRefT22_14x_0)</f>
        <v>349.70000000000005</v>
      </c>
      <c r="U106" s="1"/>
      <c r="V106" s="5">
        <f t="shared" si="33"/>
        <v>7.1744128065217617E-4</v>
      </c>
      <c r="W106" s="1"/>
      <c r="X106" s="1">
        <f t="shared" si="34"/>
        <v>-349.70000000000005</v>
      </c>
      <c r="Y106" s="1"/>
      <c r="Z106" s="5">
        <f t="shared" si="35"/>
        <v>-1</v>
      </c>
    </row>
    <row r="107" spans="1:26" s="24" customFormat="1" hidden="1" outlineLevel="2" x14ac:dyDescent="0.25">
      <c r="A107" s="29"/>
      <c r="B107" s="11" t="str">
        <f>CONCATENATE("          ", "6371", " - ", "COMPUTER SOFTWARE MAINTENANCE")</f>
        <v xml:space="preserve">          6371 - COMPUTER SOFTWARE MAINTENANCE</v>
      </c>
      <c r="C107" s="11"/>
      <c r="D107" s="7"/>
      <c r="E107" s="2"/>
      <c r="F107" s="6">
        <f t="shared" si="28"/>
        <v>0</v>
      </c>
      <c r="G107" s="2"/>
      <c r="H107" s="7"/>
      <c r="I107" s="2"/>
      <c r="J107" s="6">
        <f t="shared" si="29"/>
        <v>0</v>
      </c>
      <c r="K107" s="2"/>
      <c r="L107" s="7">
        <f t="shared" si="30"/>
        <v>0</v>
      </c>
      <c r="M107" s="2"/>
      <c r="N107" s="6">
        <f t="shared" si="31"/>
        <v>0</v>
      </c>
      <c r="O107" s="11"/>
      <c r="P107" s="7"/>
      <c r="Q107" s="2"/>
      <c r="R107" s="6">
        <f t="shared" si="32"/>
        <v>0</v>
      </c>
      <c r="S107" s="2"/>
      <c r="T107" s="7">
        <v>186.58</v>
      </c>
      <c r="U107" s="2"/>
      <c r="V107" s="6">
        <f t="shared" si="33"/>
        <v>3.827857996685245E-4</v>
      </c>
      <c r="W107" s="2"/>
      <c r="X107" s="7">
        <f t="shared" si="34"/>
        <v>-186.58</v>
      </c>
      <c r="Y107" s="2"/>
      <c r="Z107" s="6">
        <f t="shared" si="35"/>
        <v>-1</v>
      </c>
    </row>
    <row r="108" spans="1:26" s="24" customFormat="1" hidden="1" outlineLevel="2" x14ac:dyDescent="0.25">
      <c r="A108" s="29"/>
      <c r="B108" s="11" t="str">
        <f>CONCATENATE("          ", "6375", " - ", "OUTSIDE REPAIRS &amp; MAINTENANCE")</f>
        <v xml:space="preserve">          6375 - OUTSIDE REPAIRS &amp; MAINTENANCE</v>
      </c>
      <c r="C108" s="11"/>
      <c r="D108" s="7"/>
      <c r="E108" s="2"/>
      <c r="F108" s="6">
        <f t="shared" si="28"/>
        <v>0</v>
      </c>
      <c r="G108" s="2"/>
      <c r="H108" s="7">
        <v>163.12</v>
      </c>
      <c r="I108" s="2"/>
      <c r="J108" s="6">
        <f t="shared" si="29"/>
        <v>5.8962257757095519E-4</v>
      </c>
      <c r="K108" s="2"/>
      <c r="L108" s="7">
        <f t="shared" si="30"/>
        <v>-163.12</v>
      </c>
      <c r="M108" s="2"/>
      <c r="N108" s="6">
        <f t="shared" si="31"/>
        <v>-1</v>
      </c>
      <c r="O108" s="11"/>
      <c r="P108" s="7"/>
      <c r="Q108" s="2"/>
      <c r="R108" s="6">
        <f t="shared" si="32"/>
        <v>0</v>
      </c>
      <c r="S108" s="2"/>
      <c r="T108" s="7">
        <v>163.12</v>
      </c>
      <c r="U108" s="2"/>
      <c r="V108" s="6">
        <f t="shared" si="33"/>
        <v>3.3465548098365156E-4</v>
      </c>
      <c r="W108" s="2"/>
      <c r="X108" s="7">
        <f t="shared" si="34"/>
        <v>-163.12</v>
      </c>
      <c r="Y108" s="2"/>
      <c r="Z108" s="6">
        <f t="shared" si="35"/>
        <v>-1</v>
      </c>
    </row>
    <row r="109" spans="1:26" s="27" customFormat="1" outlineLevel="1" collapsed="1" x14ac:dyDescent="0.25">
      <c r="A109" s="28"/>
      <c r="B109" s="14" t="str">
        <f>CONCATENATE("     ","Royalty &amp; Commissions                             ")</f>
        <v xml:space="preserve">     Royalty &amp; Commissions                             </v>
      </c>
      <c r="C109" s="14"/>
      <c r="D109" s="1">
        <f>SUM(OSRRefD22_15x_0)</f>
        <v>136.4</v>
      </c>
      <c r="E109" s="1"/>
      <c r="F109" s="5">
        <f t="shared" ref="F109:F111" si="36">IF(D$12=0,0,D109/D$12)</f>
        <v>4.227824834026106E-4</v>
      </c>
      <c r="G109" s="1"/>
      <c r="H109" s="1">
        <f>SUM(OSRRefH22_15x_0)</f>
        <v>269.14</v>
      </c>
      <c r="I109" s="1"/>
      <c r="J109" s="5">
        <f t="shared" ref="J109:J111" si="37">IF(H$12=0,0,H109/H$12)</f>
        <v>9.7284833574942903E-4</v>
      </c>
      <c r="K109" s="1"/>
      <c r="L109" s="1">
        <f t="shared" ref="L109:L111" si="38">+D109-H109</f>
        <v>-132.73999999999998</v>
      </c>
      <c r="M109" s="1"/>
      <c r="N109" s="5">
        <f t="shared" ref="N109:N111" si="39">IF(H109=0,0,L109/H109)</f>
        <v>-0.49320056476183394</v>
      </c>
      <c r="O109" s="14"/>
      <c r="P109" s="1">
        <f>SUM(OSRRefP22_15x_0)</f>
        <v>4617.4399999999996</v>
      </c>
      <c r="Q109" s="1"/>
      <c r="R109" s="5">
        <f t="shared" ref="R109:R111" si="40">IF(P$12=0,0,P109/P$12)</f>
        <v>8.3234334112348325E-3</v>
      </c>
      <c r="S109" s="1"/>
      <c r="T109" s="1">
        <f>SUM(OSRRefT22_15x_0)</f>
        <v>6914.5300000000007</v>
      </c>
      <c r="U109" s="1"/>
      <c r="V109" s="5">
        <f t="shared" ref="V109:V111" si="41">IF(T$12=0,0,T109/T$12)</f>
        <v>1.4185785697191568E-2</v>
      </c>
      <c r="W109" s="1"/>
      <c r="X109" s="1">
        <f t="shared" ref="X109:X111" si="42">+P109-T109</f>
        <v>-2297.0900000000011</v>
      </c>
      <c r="Y109" s="1"/>
      <c r="Z109" s="5">
        <f t="shared" ref="Z109:Z111" si="43">IF(T109=0,0,X109/T109)</f>
        <v>-0.33221202308761416</v>
      </c>
    </row>
    <row r="110" spans="1:26" s="24" customFormat="1" hidden="1" outlineLevel="2" x14ac:dyDescent="0.25">
      <c r="A110" s="29"/>
      <c r="B110" s="11" t="str">
        <f>CONCATENATE("          ", "6253", " - ", "ROYALTY DUE ATHLETICS-LRG")</f>
        <v xml:space="preserve">          6253 - ROYALTY DUE ATHLETICS-LRG</v>
      </c>
      <c r="C110" s="11"/>
      <c r="D110" s="7"/>
      <c r="E110" s="2"/>
      <c r="F110" s="6">
        <f t="shared" si="36"/>
        <v>0</v>
      </c>
      <c r="G110" s="2"/>
      <c r="H110" s="7"/>
      <c r="I110" s="2"/>
      <c r="J110" s="6">
        <f t="shared" si="37"/>
        <v>0</v>
      </c>
      <c r="K110" s="2"/>
      <c r="L110" s="7">
        <f t="shared" si="38"/>
        <v>0</v>
      </c>
      <c r="M110" s="2"/>
      <c r="N110" s="6">
        <f t="shared" si="39"/>
        <v>0</v>
      </c>
      <c r="O110" s="11"/>
      <c r="P110" s="7">
        <v>4366.95</v>
      </c>
      <c r="Q110" s="2"/>
      <c r="R110" s="6">
        <f t="shared" si="40"/>
        <v>7.8718981806351462E-3</v>
      </c>
      <c r="S110" s="2"/>
      <c r="T110" s="7">
        <v>6645.39</v>
      </c>
      <c r="U110" s="2"/>
      <c r="V110" s="6">
        <f t="shared" si="41"/>
        <v>1.3633620566294436E-2</v>
      </c>
      <c r="W110" s="2"/>
      <c r="X110" s="7">
        <f t="shared" si="42"/>
        <v>-2278.4400000000005</v>
      </c>
      <c r="Y110" s="2"/>
      <c r="Z110" s="6">
        <f t="shared" si="43"/>
        <v>-0.34286023845101649</v>
      </c>
    </row>
    <row r="111" spans="1:26" s="24" customFormat="1" hidden="1" outlineLevel="2" x14ac:dyDescent="0.25">
      <c r="A111" s="29"/>
      <c r="B111" s="11" t="str">
        <f>CONCATENATE("          ", "6254", " - ", "ROYALTY &amp; COMMISSIONS")</f>
        <v xml:space="preserve">          6254 - ROYALTY &amp; COMMISSIONS</v>
      </c>
      <c r="C111" s="11"/>
      <c r="D111" s="7">
        <v>136.4</v>
      </c>
      <c r="E111" s="2"/>
      <c r="F111" s="6">
        <f t="shared" si="36"/>
        <v>4.227824834026106E-4</v>
      </c>
      <c r="G111" s="2"/>
      <c r="H111" s="7">
        <v>269.14</v>
      </c>
      <c r="I111" s="2"/>
      <c r="J111" s="6">
        <f t="shared" si="37"/>
        <v>9.7284833574942903E-4</v>
      </c>
      <c r="K111" s="2"/>
      <c r="L111" s="7">
        <f t="shared" si="38"/>
        <v>-132.73999999999998</v>
      </c>
      <c r="M111" s="2"/>
      <c r="N111" s="6">
        <f t="shared" si="39"/>
        <v>-0.49320056476183394</v>
      </c>
      <c r="O111" s="11"/>
      <c r="P111" s="7">
        <v>250.49</v>
      </c>
      <c r="Q111" s="2"/>
      <c r="R111" s="6">
        <f t="shared" si="40"/>
        <v>4.5153523059968586E-4</v>
      </c>
      <c r="S111" s="2"/>
      <c r="T111" s="7">
        <v>269.14</v>
      </c>
      <c r="U111" s="2"/>
      <c r="V111" s="6">
        <f t="shared" si="41"/>
        <v>5.5216513089713078E-4</v>
      </c>
      <c r="W111" s="2"/>
      <c r="X111" s="7">
        <f t="shared" si="42"/>
        <v>-18.649999999999977</v>
      </c>
      <c r="Y111" s="2"/>
      <c r="Z111" s="6">
        <f t="shared" si="43"/>
        <v>-6.9294790815189036E-2</v>
      </c>
    </row>
    <row r="112" spans="1:26" s="27" customFormat="1" outlineLevel="1" collapsed="1" x14ac:dyDescent="0.25">
      <c r="A112" s="28"/>
      <c r="B112" s="14" t="str">
        <f>CONCATENATE("     ","Services                                          ")</f>
        <v xml:space="preserve">     Services                                          </v>
      </c>
      <c r="C112" s="14"/>
      <c r="D112" s="1">
        <f>SUM(OSRRefD22_16x_0)</f>
        <v>241.37</v>
      </c>
      <c r="E112" s="1"/>
      <c r="F112" s="5">
        <f t="shared" ref="F112:F115" si="44">IF(D$12=0,0,D112/D$12)</f>
        <v>7.4814522007982489E-4</v>
      </c>
      <c r="G112" s="1"/>
      <c r="H112" s="1">
        <f>SUM(OSRRefH22_16x_0)</f>
        <v>216.73</v>
      </c>
      <c r="I112" s="1"/>
      <c r="J112" s="5">
        <f t="shared" ref="J112:J115" si="45">IF(H$12=0,0,H112/H$12)</f>
        <v>7.8340424985871198E-4</v>
      </c>
      <c r="K112" s="1"/>
      <c r="L112" s="1">
        <f t="shared" ref="L112:L115" si="46">+D112-H112</f>
        <v>24.640000000000015</v>
      </c>
      <c r="M112" s="1"/>
      <c r="N112" s="5">
        <f t="shared" ref="N112:N115" si="47">IF(H112=0,0,L112/H112)</f>
        <v>0.11368984450699034</v>
      </c>
      <c r="O112" s="14"/>
      <c r="P112" s="1">
        <f>SUM(OSRRefP22_16x_0)</f>
        <v>482.74</v>
      </c>
      <c r="Q112" s="1"/>
      <c r="R112" s="5">
        <f t="shared" ref="R112:R115" si="48">IF(P$12=0,0,P112/P$12)</f>
        <v>8.7019089472510809E-4</v>
      </c>
      <c r="S112" s="1"/>
      <c r="T112" s="1">
        <f>SUM(OSRRefT22_16x_0)</f>
        <v>346.28999999999996</v>
      </c>
      <c r="U112" s="1"/>
      <c r="V112" s="5">
        <f t="shared" ref="V112:V115" si="49">IF(T$12=0,0,T112/T$12)</f>
        <v>7.1044535623975415E-4</v>
      </c>
      <c r="W112" s="1"/>
      <c r="X112" s="1">
        <f t="shared" ref="X112:X115" si="50">+P112-T112</f>
        <v>136.45000000000005</v>
      </c>
      <c r="Y112" s="1"/>
      <c r="Z112" s="5">
        <f t="shared" ref="Z112:Z115" si="51">IF(T112=0,0,X112/T112)</f>
        <v>0.39403390222068224</v>
      </c>
    </row>
    <row r="113" spans="1:26" s="24" customFormat="1" hidden="1" outlineLevel="2" x14ac:dyDescent="0.25">
      <c r="A113" s="29"/>
      <c r="B113" s="11" t="str">
        <f>CONCATENATE("          ", "6283", " - ", "PLANT SERVICE")</f>
        <v xml:space="preserve">          6283 - PLANT SERVICE</v>
      </c>
      <c r="C113" s="11"/>
      <c r="D113" s="7">
        <v>59.55</v>
      </c>
      <c r="E113" s="2"/>
      <c r="F113" s="6">
        <f t="shared" si="44"/>
        <v>1.8457988919813386E-4</v>
      </c>
      <c r="G113" s="2"/>
      <c r="H113" s="7">
        <v>56</v>
      </c>
      <c r="I113" s="2"/>
      <c r="J113" s="6">
        <f t="shared" si="45"/>
        <v>2.0242069852852799E-4</v>
      </c>
      <c r="K113" s="2"/>
      <c r="L113" s="7">
        <f t="shared" si="46"/>
        <v>3.5499999999999972</v>
      </c>
      <c r="M113" s="2"/>
      <c r="N113" s="6">
        <f t="shared" si="47"/>
        <v>6.3392857142857098E-2</v>
      </c>
      <c r="O113" s="11"/>
      <c r="P113" s="7">
        <v>119.1</v>
      </c>
      <c r="Q113" s="2"/>
      <c r="R113" s="6">
        <f t="shared" si="48"/>
        <v>2.1469059030070094E-4</v>
      </c>
      <c r="S113" s="2"/>
      <c r="T113" s="7">
        <v>112</v>
      </c>
      <c r="U113" s="2"/>
      <c r="V113" s="6">
        <f t="shared" si="49"/>
        <v>2.2977816251942726E-4</v>
      </c>
      <c r="W113" s="2"/>
      <c r="X113" s="7">
        <f t="shared" si="50"/>
        <v>7.0999999999999943</v>
      </c>
      <c r="Y113" s="2"/>
      <c r="Z113" s="6">
        <f t="shared" si="51"/>
        <v>6.3392857142857098E-2</v>
      </c>
    </row>
    <row r="114" spans="1:26" s="24" customFormat="1" hidden="1" outlineLevel="2" x14ac:dyDescent="0.25">
      <c r="A114" s="29"/>
      <c r="B114" s="11" t="str">
        <f>CONCATENATE("          ", "6284", " - ", "TRASH REMOVAL EXPENSE")</f>
        <v xml:space="preserve">          6284 - TRASH REMOVAL EXPENSE</v>
      </c>
      <c r="C114" s="11"/>
      <c r="D114" s="7">
        <v>134.82</v>
      </c>
      <c r="E114" s="2"/>
      <c r="F114" s="6">
        <f t="shared" si="44"/>
        <v>4.178851496505862E-4</v>
      </c>
      <c r="G114" s="2"/>
      <c r="H114" s="7">
        <v>121.46</v>
      </c>
      <c r="I114" s="2"/>
      <c r="J114" s="6">
        <f t="shared" si="45"/>
        <v>4.3903603648705374E-4</v>
      </c>
      <c r="K114" s="2"/>
      <c r="L114" s="7">
        <f t="shared" si="46"/>
        <v>13.36</v>
      </c>
      <c r="M114" s="2"/>
      <c r="N114" s="6">
        <f t="shared" si="47"/>
        <v>0.10999506010209123</v>
      </c>
      <c r="O114" s="11"/>
      <c r="P114" s="7">
        <v>269.64</v>
      </c>
      <c r="Q114" s="2"/>
      <c r="R114" s="6">
        <f t="shared" si="48"/>
        <v>4.8605517018204033E-4</v>
      </c>
      <c r="S114" s="2"/>
      <c r="T114" s="7">
        <v>242.92</v>
      </c>
      <c r="U114" s="2"/>
      <c r="V114" s="6">
        <f t="shared" si="49"/>
        <v>4.9837242177874351E-4</v>
      </c>
      <c r="W114" s="2"/>
      <c r="X114" s="7">
        <f t="shared" si="50"/>
        <v>26.72</v>
      </c>
      <c r="Y114" s="2"/>
      <c r="Z114" s="6">
        <f t="shared" si="51"/>
        <v>0.10999506010209123</v>
      </c>
    </row>
    <row r="115" spans="1:26" s="24" customFormat="1" hidden="1" outlineLevel="2" x14ac:dyDescent="0.25">
      <c r="A115" s="29"/>
      <c r="B115" s="11" t="str">
        <f>CONCATENATE("          ", "6285", " - ", "JANITORIAL SERVICES")</f>
        <v xml:space="preserve">          6285 - JANITORIAL SERVICES</v>
      </c>
      <c r="C115" s="11"/>
      <c r="D115" s="7">
        <v>47</v>
      </c>
      <c r="E115" s="2"/>
      <c r="F115" s="6">
        <f t="shared" si="44"/>
        <v>1.456801812311048E-4</v>
      </c>
      <c r="G115" s="2"/>
      <c r="H115" s="7">
        <v>39.270000000000003</v>
      </c>
      <c r="I115" s="2"/>
      <c r="J115" s="6">
        <f t="shared" si="45"/>
        <v>1.4194751484313027E-4</v>
      </c>
      <c r="K115" s="2"/>
      <c r="L115" s="7">
        <f t="shared" si="46"/>
        <v>7.7299999999999969</v>
      </c>
      <c r="M115" s="2"/>
      <c r="N115" s="6">
        <f t="shared" si="47"/>
        <v>0.19684237331296145</v>
      </c>
      <c r="O115" s="11"/>
      <c r="P115" s="7">
        <v>94</v>
      </c>
      <c r="Q115" s="2"/>
      <c r="R115" s="6">
        <f t="shared" si="48"/>
        <v>1.6944513424236684E-4</v>
      </c>
      <c r="S115" s="2"/>
      <c r="T115" s="7">
        <v>-8.6300000000000008</v>
      </c>
      <c r="U115" s="2"/>
      <c r="V115" s="6">
        <f t="shared" si="49"/>
        <v>-1.7705228058416584E-5</v>
      </c>
      <c r="W115" s="2"/>
      <c r="X115" s="7">
        <f t="shared" si="50"/>
        <v>102.63</v>
      </c>
      <c r="Y115" s="2"/>
      <c r="Z115" s="6">
        <f t="shared" si="51"/>
        <v>-11.892236384704518</v>
      </c>
    </row>
    <row r="116" spans="1:26" s="27" customFormat="1" outlineLevel="1" collapsed="1" x14ac:dyDescent="0.25">
      <c r="A116" s="28"/>
      <c r="B116" s="14" t="str">
        <f>CONCATENATE("     ","Subscriptions &amp; Dues                              ")</f>
        <v xml:space="preserve">     Subscriptions &amp; Dues                              </v>
      </c>
      <c r="C116" s="14"/>
      <c r="D116" s="1">
        <f>SUM(OSRRefD22_17x_0)</f>
        <v>0</v>
      </c>
      <c r="E116" s="1"/>
      <c r="F116" s="5">
        <f t="shared" ref="F116:F123" si="52">IF(D$12=0,0,D116/D$12)</f>
        <v>0</v>
      </c>
      <c r="G116" s="1"/>
      <c r="H116" s="1">
        <f>SUM(OSRRefH22_17x_0)</f>
        <v>413.48</v>
      </c>
      <c r="I116" s="1"/>
      <c r="J116" s="5">
        <f t="shared" ref="J116:J123" si="53">IF(H$12=0,0,H116/H$12)</f>
        <v>1.4945876862067101E-3</v>
      </c>
      <c r="K116" s="1"/>
      <c r="L116" s="1">
        <f t="shared" ref="L116:L123" si="54">+D116-H116</f>
        <v>-413.48</v>
      </c>
      <c r="M116" s="1"/>
      <c r="N116" s="5">
        <f t="shared" ref="N116:N123" si="55">IF(H116=0,0,L116/H116)</f>
        <v>-1</v>
      </c>
      <c r="O116" s="14"/>
      <c r="P116" s="1">
        <f>SUM(OSRRefP22_17x_0)</f>
        <v>13.42</v>
      </c>
      <c r="Q116" s="1"/>
      <c r="R116" s="5">
        <f t="shared" ref="R116:R123" si="56">IF(P$12=0,0,P116/P$12)</f>
        <v>2.4190996824814499E-5</v>
      </c>
      <c r="S116" s="1"/>
      <c r="T116" s="1">
        <f>SUM(OSRRefT22_17x_0)</f>
        <v>618.46</v>
      </c>
      <c r="U116" s="1"/>
      <c r="V116" s="5">
        <f t="shared" ref="V116:V123" si="57">IF(T$12=0,0,T116/T$12)</f>
        <v>1.2688268070693304E-3</v>
      </c>
      <c r="W116" s="1"/>
      <c r="X116" s="1">
        <f t="shared" ref="X116:X123" si="58">+P116-T116</f>
        <v>-605.04000000000008</v>
      </c>
      <c r="Y116" s="1"/>
      <c r="Z116" s="5">
        <f t="shared" ref="Z116:Z123" si="59">IF(T116=0,0,X116/T116)</f>
        <v>-0.97830094104711707</v>
      </c>
    </row>
    <row r="117" spans="1:26" s="24" customFormat="1" hidden="1" outlineLevel="2" x14ac:dyDescent="0.25">
      <c r="A117" s="29"/>
      <c r="B117" s="11" t="str">
        <f>CONCATENATE("          ", "6275", " - ", "SUBSCRIPTIONS")</f>
        <v xml:space="preserve">          6275 - SUBSCRIPTIONS</v>
      </c>
      <c r="C117" s="11"/>
      <c r="D117" s="7"/>
      <c r="E117" s="2"/>
      <c r="F117" s="6">
        <f t="shared" si="52"/>
        <v>0</v>
      </c>
      <c r="G117" s="2"/>
      <c r="H117" s="7">
        <v>413.48</v>
      </c>
      <c r="I117" s="2"/>
      <c r="J117" s="6">
        <f t="shared" si="53"/>
        <v>1.4945876862067101E-3</v>
      </c>
      <c r="K117" s="2"/>
      <c r="L117" s="7">
        <f t="shared" si="54"/>
        <v>-413.48</v>
      </c>
      <c r="M117" s="2"/>
      <c r="N117" s="6">
        <f t="shared" si="55"/>
        <v>-1</v>
      </c>
      <c r="O117" s="11"/>
      <c r="P117" s="7">
        <v>13.42</v>
      </c>
      <c r="Q117" s="2"/>
      <c r="R117" s="6">
        <f t="shared" si="56"/>
        <v>2.4190996824814499E-5</v>
      </c>
      <c r="S117" s="2"/>
      <c r="T117" s="7">
        <v>618.46</v>
      </c>
      <c r="U117" s="2"/>
      <c r="V117" s="6">
        <f t="shared" si="57"/>
        <v>1.2688268070693304E-3</v>
      </c>
      <c r="W117" s="2"/>
      <c r="X117" s="7">
        <f t="shared" si="58"/>
        <v>-605.04000000000008</v>
      </c>
      <c r="Y117" s="2"/>
      <c r="Z117" s="6">
        <f t="shared" si="59"/>
        <v>-0.97830094104711707</v>
      </c>
    </row>
    <row r="118" spans="1:26" s="27" customFormat="1" outlineLevel="1" collapsed="1" x14ac:dyDescent="0.25">
      <c r="A118" s="28"/>
      <c r="B118" s="14" t="str">
        <f>CONCATENATE("     ","Supplies                                          ")</f>
        <v xml:space="preserve">     Supplies                                          </v>
      </c>
      <c r="C118" s="14"/>
      <c r="D118" s="1">
        <f>SUM(OSRRefD22_18x_0)</f>
        <v>320.75</v>
      </c>
      <c r="E118" s="1"/>
      <c r="F118" s="5">
        <f t="shared" si="52"/>
        <v>9.9418974744418871E-4</v>
      </c>
      <c r="G118" s="1"/>
      <c r="H118" s="1">
        <f>SUM(OSRRefH22_18x_0)</f>
        <v>156.41</v>
      </c>
      <c r="I118" s="1"/>
      <c r="J118" s="5">
        <f t="shared" si="53"/>
        <v>5.6536824030084044E-4</v>
      </c>
      <c r="K118" s="1"/>
      <c r="L118" s="1">
        <f t="shared" si="54"/>
        <v>164.34</v>
      </c>
      <c r="M118" s="1"/>
      <c r="N118" s="5">
        <f t="shared" si="55"/>
        <v>1.0507000831148905</v>
      </c>
      <c r="O118" s="14"/>
      <c r="P118" s="1">
        <f>SUM(OSRRefP22_18x_0)</f>
        <v>1855.08</v>
      </c>
      <c r="Q118" s="1"/>
      <c r="R118" s="5">
        <f t="shared" si="56"/>
        <v>3.3439816981949986E-3</v>
      </c>
      <c r="S118" s="1"/>
      <c r="T118" s="1">
        <f>SUM(OSRRefT22_18x_0)</f>
        <v>2107.4899999999998</v>
      </c>
      <c r="U118" s="1"/>
      <c r="V118" s="5">
        <f t="shared" si="57"/>
        <v>4.3237069618577472E-3</v>
      </c>
      <c r="W118" s="1"/>
      <c r="X118" s="1">
        <f t="shared" si="58"/>
        <v>-252.40999999999985</v>
      </c>
      <c r="Y118" s="1"/>
      <c r="Z118" s="5">
        <f t="shared" si="59"/>
        <v>-0.1197680653288983</v>
      </c>
    </row>
    <row r="119" spans="1:26" s="24" customFormat="1" hidden="1" outlineLevel="2" x14ac:dyDescent="0.25">
      <c r="A119" s="29"/>
      <c r="B119" s="11" t="str">
        <f>CONCATENATE("          ", "6234", " - ", "EXPENDABLE SUPPLIES &amp; EQUIPMEN")</f>
        <v xml:space="preserve">          6234 - EXPENDABLE SUPPLIES &amp; EQUIPMEN</v>
      </c>
      <c r="C119" s="11"/>
      <c r="D119" s="7"/>
      <c r="E119" s="2"/>
      <c r="F119" s="6">
        <f t="shared" si="52"/>
        <v>0</v>
      </c>
      <c r="G119" s="2"/>
      <c r="H119" s="7"/>
      <c r="I119" s="2"/>
      <c r="J119" s="6">
        <f t="shared" si="53"/>
        <v>0</v>
      </c>
      <c r="K119" s="2"/>
      <c r="L119" s="7">
        <f t="shared" si="54"/>
        <v>0</v>
      </c>
      <c r="M119" s="2"/>
      <c r="N119" s="6">
        <f t="shared" si="55"/>
        <v>0</v>
      </c>
      <c r="O119" s="11"/>
      <c r="P119" s="7">
        <v>-15.95</v>
      </c>
      <c r="Q119" s="2"/>
      <c r="R119" s="6">
        <f t="shared" si="56"/>
        <v>-2.8751594586869689E-5</v>
      </c>
      <c r="S119" s="2"/>
      <c r="T119" s="7"/>
      <c r="U119" s="2"/>
      <c r="V119" s="6">
        <f t="shared" si="57"/>
        <v>0</v>
      </c>
      <c r="W119" s="2"/>
      <c r="X119" s="7">
        <f t="shared" si="58"/>
        <v>-15.95</v>
      </c>
      <c r="Y119" s="2"/>
      <c r="Z119" s="6">
        <f t="shared" si="59"/>
        <v>0</v>
      </c>
    </row>
    <row r="120" spans="1:26" s="24" customFormat="1" hidden="1" outlineLevel="2" x14ac:dyDescent="0.25">
      <c r="A120" s="29"/>
      <c r="B120" s="11" t="str">
        <f>CONCATENATE("          ", "6237", " - ", "JANITORIAL SUPPLIES")</f>
        <v xml:space="preserve">          6237 - JANITORIAL SUPPLIES</v>
      </c>
      <c r="C120" s="11"/>
      <c r="D120" s="7"/>
      <c r="E120" s="2"/>
      <c r="F120" s="6">
        <f t="shared" si="52"/>
        <v>0</v>
      </c>
      <c r="G120" s="2"/>
      <c r="H120" s="7"/>
      <c r="I120" s="2"/>
      <c r="J120" s="6">
        <f t="shared" si="53"/>
        <v>0</v>
      </c>
      <c r="K120" s="2"/>
      <c r="L120" s="7">
        <f t="shared" si="54"/>
        <v>0</v>
      </c>
      <c r="M120" s="2"/>
      <c r="N120" s="6">
        <f t="shared" si="55"/>
        <v>0</v>
      </c>
      <c r="O120" s="11"/>
      <c r="P120" s="7"/>
      <c r="Q120" s="2"/>
      <c r="R120" s="6">
        <f t="shared" si="56"/>
        <v>0</v>
      </c>
      <c r="S120" s="2"/>
      <c r="T120" s="7">
        <v>172.74</v>
      </c>
      <c r="U120" s="2"/>
      <c r="V120" s="6">
        <f t="shared" si="57"/>
        <v>3.5439178387148098E-4</v>
      </c>
      <c r="W120" s="2"/>
      <c r="X120" s="7">
        <f t="shared" si="58"/>
        <v>-172.74</v>
      </c>
      <c r="Y120" s="2"/>
      <c r="Z120" s="6">
        <f t="shared" si="59"/>
        <v>-1</v>
      </c>
    </row>
    <row r="121" spans="1:26" s="24" customFormat="1" hidden="1" outlineLevel="2" x14ac:dyDescent="0.25">
      <c r="A121" s="29"/>
      <c r="B121" s="11" t="str">
        <f>CONCATENATE("          ", "6241", " - ", "OFFICE EXPENSE")</f>
        <v xml:space="preserve">          6241 - OFFICE EXPENSE</v>
      </c>
      <c r="C121" s="11"/>
      <c r="D121" s="7">
        <v>293.76</v>
      </c>
      <c r="E121" s="2"/>
      <c r="F121" s="6">
        <f t="shared" si="52"/>
        <v>9.1053212847764576E-4</v>
      </c>
      <c r="G121" s="2"/>
      <c r="H121" s="7">
        <v>142.81</v>
      </c>
      <c r="I121" s="2"/>
      <c r="J121" s="6">
        <f t="shared" si="53"/>
        <v>5.1620892780105505E-4</v>
      </c>
      <c r="K121" s="2"/>
      <c r="L121" s="7">
        <f t="shared" si="54"/>
        <v>150.94999999999999</v>
      </c>
      <c r="M121" s="2"/>
      <c r="N121" s="6">
        <f t="shared" si="55"/>
        <v>1.0569988096071703</v>
      </c>
      <c r="O121" s="11"/>
      <c r="P121" s="7">
        <v>1844.04</v>
      </c>
      <c r="Q121" s="2"/>
      <c r="R121" s="6">
        <f t="shared" si="56"/>
        <v>3.3240809079605757E-3</v>
      </c>
      <c r="S121" s="2"/>
      <c r="T121" s="7">
        <v>875.4</v>
      </c>
      <c r="U121" s="2"/>
      <c r="V121" s="6">
        <f t="shared" si="57"/>
        <v>1.7959625309777378E-3</v>
      </c>
      <c r="W121" s="2"/>
      <c r="X121" s="7">
        <f t="shared" si="58"/>
        <v>968.64</v>
      </c>
      <c r="Y121" s="2"/>
      <c r="Z121" s="6">
        <f t="shared" si="59"/>
        <v>1.1065113091158327</v>
      </c>
    </row>
    <row r="122" spans="1:26" s="24" customFormat="1" hidden="1" outlineLevel="2" x14ac:dyDescent="0.25">
      <c r="A122" s="29"/>
      <c r="B122" s="11" t="str">
        <f>CONCATENATE("          ", "6245", " - ", "PRINTING")</f>
        <v xml:space="preserve">          6245 - PRINTING</v>
      </c>
      <c r="C122" s="11"/>
      <c r="D122" s="7"/>
      <c r="E122" s="2"/>
      <c r="F122" s="6">
        <f t="shared" si="52"/>
        <v>0</v>
      </c>
      <c r="G122" s="2"/>
      <c r="H122" s="7"/>
      <c r="I122" s="2"/>
      <c r="J122" s="6">
        <f t="shared" si="53"/>
        <v>0</v>
      </c>
      <c r="K122" s="2"/>
      <c r="L122" s="7">
        <f t="shared" si="54"/>
        <v>0</v>
      </c>
      <c r="M122" s="2"/>
      <c r="N122" s="6">
        <f t="shared" si="55"/>
        <v>0</v>
      </c>
      <c r="O122" s="11"/>
      <c r="P122" s="7"/>
      <c r="Q122" s="2"/>
      <c r="R122" s="6">
        <f t="shared" si="56"/>
        <v>0</v>
      </c>
      <c r="S122" s="2"/>
      <c r="T122" s="7">
        <v>970.75</v>
      </c>
      <c r="U122" s="2"/>
      <c r="V122" s="6">
        <f t="shared" si="57"/>
        <v>1.9915817077297681E-3</v>
      </c>
      <c r="W122" s="2"/>
      <c r="X122" s="7">
        <f t="shared" si="58"/>
        <v>-970.75</v>
      </c>
      <c r="Y122" s="2"/>
      <c r="Z122" s="6">
        <f t="shared" si="59"/>
        <v>-1</v>
      </c>
    </row>
    <row r="123" spans="1:26" s="24" customFormat="1" hidden="1" outlineLevel="2" x14ac:dyDescent="0.25">
      <c r="A123" s="29"/>
      <c r="B123" s="11" t="str">
        <f>CONCATENATE("          ", "6247", " - ", "STORE SUPPLIES")</f>
        <v xml:space="preserve">          6247 - STORE SUPPLIES</v>
      </c>
      <c r="C123" s="11"/>
      <c r="D123" s="7">
        <v>26.99</v>
      </c>
      <c r="E123" s="2"/>
      <c r="F123" s="6">
        <f t="shared" si="52"/>
        <v>8.3657618966542953E-5</v>
      </c>
      <c r="G123" s="2"/>
      <c r="H123" s="7">
        <v>13.6</v>
      </c>
      <c r="I123" s="2"/>
      <c r="J123" s="6">
        <f t="shared" si="53"/>
        <v>4.9159312499785368E-5</v>
      </c>
      <c r="K123" s="2"/>
      <c r="L123" s="7">
        <f t="shared" si="54"/>
        <v>13.389999999999999</v>
      </c>
      <c r="M123" s="2"/>
      <c r="N123" s="6">
        <f t="shared" si="55"/>
        <v>0.98455882352941171</v>
      </c>
      <c r="O123" s="11"/>
      <c r="P123" s="7">
        <v>26.99</v>
      </c>
      <c r="Q123" s="2"/>
      <c r="R123" s="6">
        <f t="shared" si="56"/>
        <v>4.8652384821292346E-5</v>
      </c>
      <c r="S123" s="2"/>
      <c r="T123" s="7">
        <v>88.6</v>
      </c>
      <c r="U123" s="2"/>
      <c r="V123" s="6">
        <f t="shared" si="57"/>
        <v>1.817709392787612E-4</v>
      </c>
      <c r="W123" s="2"/>
      <c r="X123" s="7">
        <f t="shared" si="58"/>
        <v>-61.61</v>
      </c>
      <c r="Y123" s="2"/>
      <c r="Z123" s="6">
        <f t="shared" si="59"/>
        <v>-0.69537246049661405</v>
      </c>
    </row>
    <row r="124" spans="1:26" s="27" customFormat="1" outlineLevel="1" collapsed="1" x14ac:dyDescent="0.25">
      <c r="A124" s="28"/>
      <c r="B124" s="14" t="str">
        <f>CONCATENATE("     ","Telephone/Data Lines                              ")</f>
        <v xml:space="preserve">     Telephone/Data Lines                              </v>
      </c>
      <c r="C124" s="14"/>
      <c r="D124" s="1">
        <f>SUM(OSRRefD22_19x_0)</f>
        <v>842.54</v>
      </c>
      <c r="E124" s="1"/>
      <c r="F124" s="5">
        <f t="shared" ref="F124:F131" si="60">IF(D$12=0,0,D124/D$12)</f>
        <v>2.6115187211586182E-3</v>
      </c>
      <c r="G124" s="1"/>
      <c r="H124" s="1">
        <f>SUM(OSRRefH22_19x_0)</f>
        <v>890.12</v>
      </c>
      <c r="I124" s="1"/>
      <c r="J124" s="5">
        <f t="shared" ref="J124:J131" si="61">IF(H$12=0,0,H124/H$12)</f>
        <v>3.2174770031109527E-3</v>
      </c>
      <c r="K124" s="1"/>
      <c r="L124" s="1">
        <f t="shared" ref="L124:L131" si="62">+D124-H124</f>
        <v>-47.580000000000041</v>
      </c>
      <c r="M124" s="1"/>
      <c r="N124" s="5">
        <f t="shared" ref="N124:N131" si="63">IF(H124=0,0,L124/H124)</f>
        <v>-5.3453466948276684E-2</v>
      </c>
      <c r="O124" s="14"/>
      <c r="P124" s="1">
        <f>SUM(OSRRefP22_19x_0)</f>
        <v>1360.45</v>
      </c>
      <c r="Q124" s="1"/>
      <c r="R124" s="5">
        <f t="shared" ref="R124:R131" si="64">IF(P$12=0,0,P124/P$12)</f>
        <v>2.4523577965960422E-3</v>
      </c>
      <c r="S124" s="1"/>
      <c r="T124" s="1">
        <f>SUM(OSRRefT22_19x_0)</f>
        <v>1682.48</v>
      </c>
      <c r="U124" s="1"/>
      <c r="V124" s="5">
        <f t="shared" ref="V124:V131" si="65">IF(T$12=0,0,T124/T$12)</f>
        <v>3.4517603828186248E-3</v>
      </c>
      <c r="W124" s="1"/>
      <c r="X124" s="1">
        <f t="shared" ref="X124:X131" si="66">+P124-T124</f>
        <v>-322.02999999999997</v>
      </c>
      <c r="Y124" s="1"/>
      <c r="Z124" s="5">
        <f t="shared" ref="Z124:Z131" si="67">IF(T124=0,0,X124/T124)</f>
        <v>-0.19140197803242831</v>
      </c>
    </row>
    <row r="125" spans="1:26" s="24" customFormat="1" hidden="1" outlineLevel="2" x14ac:dyDescent="0.25">
      <c r="A125" s="29"/>
      <c r="B125" s="11" t="str">
        <f>CONCATENATE("          ", "6309", " - ", "TELEPHONE")</f>
        <v xml:space="preserve">          6309 - TELEPHONE</v>
      </c>
      <c r="C125" s="11"/>
      <c r="D125" s="7">
        <v>842.54</v>
      </c>
      <c r="E125" s="2"/>
      <c r="F125" s="6">
        <f t="shared" si="60"/>
        <v>2.6115187211586182E-3</v>
      </c>
      <c r="G125" s="2"/>
      <c r="H125" s="7">
        <v>890.12</v>
      </c>
      <c r="I125" s="2"/>
      <c r="J125" s="6">
        <f t="shared" si="61"/>
        <v>3.2174770031109527E-3</v>
      </c>
      <c r="K125" s="2"/>
      <c r="L125" s="7">
        <f t="shared" si="62"/>
        <v>-47.580000000000041</v>
      </c>
      <c r="M125" s="2"/>
      <c r="N125" s="6">
        <f t="shared" si="63"/>
        <v>-5.3453466948276684E-2</v>
      </c>
      <c r="O125" s="11"/>
      <c r="P125" s="7">
        <v>1360.45</v>
      </c>
      <c r="Q125" s="2"/>
      <c r="R125" s="6">
        <f t="shared" si="64"/>
        <v>2.4523577965960422E-3</v>
      </c>
      <c r="S125" s="2"/>
      <c r="T125" s="7">
        <v>1682.48</v>
      </c>
      <c r="U125" s="2"/>
      <c r="V125" s="6">
        <f t="shared" si="65"/>
        <v>3.4517603828186248E-3</v>
      </c>
      <c r="W125" s="2"/>
      <c r="X125" s="7">
        <f t="shared" si="66"/>
        <v>-322.02999999999997</v>
      </c>
      <c r="Y125" s="2"/>
      <c r="Z125" s="6">
        <f t="shared" si="67"/>
        <v>-0.19140197803242831</v>
      </c>
    </row>
    <row r="126" spans="1:26" s="27" customFormat="1" outlineLevel="1" collapsed="1" x14ac:dyDescent="0.25">
      <c r="A126" s="28"/>
      <c r="B126" s="14" t="str">
        <f>CONCATENATE("     ","Training                                          ")</f>
        <v xml:space="preserve">     Training                                          </v>
      </c>
      <c r="C126" s="14"/>
      <c r="D126" s="1">
        <f>SUM(OSRRefD22_20x_0)</f>
        <v>0</v>
      </c>
      <c r="E126" s="1"/>
      <c r="F126" s="5">
        <f t="shared" si="60"/>
        <v>0</v>
      </c>
      <c r="G126" s="1"/>
      <c r="H126" s="1">
        <f>SUM(OSRRefH22_20x_0)</f>
        <v>595</v>
      </c>
      <c r="I126" s="1"/>
      <c r="J126" s="5">
        <f t="shared" si="61"/>
        <v>2.15071992186561E-3</v>
      </c>
      <c r="K126" s="1"/>
      <c r="L126" s="1">
        <f t="shared" si="62"/>
        <v>-595</v>
      </c>
      <c r="M126" s="1"/>
      <c r="N126" s="5">
        <f t="shared" si="63"/>
        <v>-1</v>
      </c>
      <c r="O126" s="14"/>
      <c r="P126" s="1">
        <f>SUM(OSRRefP22_20x_0)</f>
        <v>103.5</v>
      </c>
      <c r="Q126" s="1"/>
      <c r="R126" s="5">
        <f t="shared" si="64"/>
        <v>1.8656990844771241E-4</v>
      </c>
      <c r="S126" s="1"/>
      <c r="T126" s="1">
        <f>SUM(OSRRefT22_20x_0)</f>
        <v>279.39999999999998</v>
      </c>
      <c r="U126" s="1"/>
      <c r="V126" s="5">
        <f t="shared" si="65"/>
        <v>5.7321445185649976E-4</v>
      </c>
      <c r="W126" s="1"/>
      <c r="X126" s="1">
        <f t="shared" si="66"/>
        <v>-175.89999999999998</v>
      </c>
      <c r="Y126" s="1"/>
      <c r="Z126" s="5">
        <f t="shared" si="67"/>
        <v>-0.629563350035791</v>
      </c>
    </row>
    <row r="127" spans="1:26" s="24" customFormat="1" hidden="1" outlineLevel="2" x14ac:dyDescent="0.25">
      <c r="A127" s="29"/>
      <c r="B127" s="11" t="str">
        <f>CONCATENATE("          ", "6376", " - ", "TRAINING")</f>
        <v xml:space="preserve">          6376 - TRAINING</v>
      </c>
      <c r="C127" s="11"/>
      <c r="D127" s="7"/>
      <c r="E127" s="2"/>
      <c r="F127" s="6">
        <f t="shared" si="60"/>
        <v>0</v>
      </c>
      <c r="G127" s="2"/>
      <c r="H127" s="7">
        <v>595</v>
      </c>
      <c r="I127" s="2"/>
      <c r="J127" s="6">
        <f t="shared" si="61"/>
        <v>2.15071992186561E-3</v>
      </c>
      <c r="K127" s="2"/>
      <c r="L127" s="7">
        <f t="shared" si="62"/>
        <v>-595</v>
      </c>
      <c r="M127" s="2"/>
      <c r="N127" s="6">
        <f t="shared" si="63"/>
        <v>-1</v>
      </c>
      <c r="O127" s="11"/>
      <c r="P127" s="7">
        <v>103.5</v>
      </c>
      <c r="Q127" s="2"/>
      <c r="R127" s="6">
        <f t="shared" si="64"/>
        <v>1.8656990844771241E-4</v>
      </c>
      <c r="S127" s="2"/>
      <c r="T127" s="7">
        <v>279.39999999999998</v>
      </c>
      <c r="U127" s="2"/>
      <c r="V127" s="6">
        <f t="shared" si="65"/>
        <v>5.7321445185649976E-4</v>
      </c>
      <c r="W127" s="2"/>
      <c r="X127" s="7">
        <f t="shared" si="66"/>
        <v>-175.89999999999998</v>
      </c>
      <c r="Y127" s="2"/>
      <c r="Z127" s="6">
        <f t="shared" si="67"/>
        <v>-0.629563350035791</v>
      </c>
    </row>
    <row r="128" spans="1:26" s="27" customFormat="1" outlineLevel="1" collapsed="1" x14ac:dyDescent="0.25">
      <c r="A128" s="28"/>
      <c r="B128" s="14" t="str">
        <f>CONCATENATE("     ","Travel                                            ")</f>
        <v xml:space="preserve">     Travel                                            </v>
      </c>
      <c r="C128" s="14"/>
      <c r="D128" s="1">
        <f>SUM(OSRRefD22_21x_0)</f>
        <v>68.67</v>
      </c>
      <c r="E128" s="1"/>
      <c r="F128" s="5">
        <f t="shared" si="60"/>
        <v>2.1284804351361634E-4</v>
      </c>
      <c r="G128" s="1"/>
      <c r="H128" s="1">
        <f>SUM(OSRRefH22_21x_0)</f>
        <v>102.9</v>
      </c>
      <c r="I128" s="1"/>
      <c r="J128" s="5">
        <f t="shared" si="61"/>
        <v>3.7194803354617022E-4</v>
      </c>
      <c r="K128" s="1"/>
      <c r="L128" s="1">
        <f t="shared" si="62"/>
        <v>-34.230000000000004</v>
      </c>
      <c r="M128" s="1"/>
      <c r="N128" s="5">
        <f t="shared" si="63"/>
        <v>-0.33265306122448984</v>
      </c>
      <c r="O128" s="14"/>
      <c r="P128" s="1">
        <f>SUM(OSRRefP22_21x_0)</f>
        <v>68.67</v>
      </c>
      <c r="Q128" s="1"/>
      <c r="R128" s="5">
        <f t="shared" si="64"/>
        <v>1.2378507838748225E-4</v>
      </c>
      <c r="S128" s="1"/>
      <c r="T128" s="1">
        <f>SUM(OSRRefT22_21x_0)</f>
        <v>199.96</v>
      </c>
      <c r="U128" s="1"/>
      <c r="V128" s="5">
        <f t="shared" si="65"/>
        <v>4.102360837266489E-4</v>
      </c>
      <c r="W128" s="1"/>
      <c r="X128" s="1">
        <f t="shared" si="66"/>
        <v>-131.29000000000002</v>
      </c>
      <c r="Y128" s="1"/>
      <c r="Z128" s="5">
        <f t="shared" si="67"/>
        <v>-0.65658131626325278</v>
      </c>
    </row>
    <row r="129" spans="1:26" s="24" customFormat="1" hidden="1" outlineLevel="2" x14ac:dyDescent="0.25">
      <c r="A129" s="29"/>
      <c r="B129" s="11" t="str">
        <f>CONCATENATE("          ", "6294", " - ", "TRAVEL OPERATIONAL")</f>
        <v xml:space="preserve">          6294 - TRAVEL OPERATIONAL</v>
      </c>
      <c r="C129" s="11"/>
      <c r="D129" s="7">
        <v>68.67</v>
      </c>
      <c r="E129" s="2"/>
      <c r="F129" s="6">
        <f t="shared" si="60"/>
        <v>2.1284804351361634E-4</v>
      </c>
      <c r="G129" s="2"/>
      <c r="H129" s="7">
        <v>102.9</v>
      </c>
      <c r="I129" s="2"/>
      <c r="J129" s="6">
        <f t="shared" si="61"/>
        <v>3.7194803354617022E-4</v>
      </c>
      <c r="K129" s="2"/>
      <c r="L129" s="7">
        <f t="shared" si="62"/>
        <v>-34.230000000000004</v>
      </c>
      <c r="M129" s="2"/>
      <c r="N129" s="6">
        <f t="shared" si="63"/>
        <v>-0.33265306122448984</v>
      </c>
      <c r="O129" s="11"/>
      <c r="P129" s="7">
        <v>68.67</v>
      </c>
      <c r="Q129" s="2"/>
      <c r="R129" s="6">
        <f t="shared" si="64"/>
        <v>1.2378507838748225E-4</v>
      </c>
      <c r="S129" s="2"/>
      <c r="T129" s="7">
        <v>199.96</v>
      </c>
      <c r="U129" s="2"/>
      <c r="V129" s="6">
        <f t="shared" si="65"/>
        <v>4.102360837266489E-4</v>
      </c>
      <c r="W129" s="2"/>
      <c r="X129" s="7">
        <f t="shared" si="66"/>
        <v>-131.29000000000002</v>
      </c>
      <c r="Y129" s="2"/>
      <c r="Z129" s="6">
        <f t="shared" si="67"/>
        <v>-0.65658131626325278</v>
      </c>
    </row>
    <row r="130" spans="1:26" s="27" customFormat="1" outlineLevel="1" collapsed="1" x14ac:dyDescent="0.25">
      <c r="A130" s="28"/>
      <c r="B130" s="14" t="str">
        <f>CONCATENATE("     ","Utilities                                         ")</f>
        <v xml:space="preserve">     Utilities                                         </v>
      </c>
      <c r="C130" s="14"/>
      <c r="D130" s="1">
        <f>SUM(OSRRefD22_22x_0)</f>
        <v>53.78</v>
      </c>
      <c r="E130" s="1"/>
      <c r="F130" s="5">
        <f t="shared" si="60"/>
        <v>1.6669532226827271E-4</v>
      </c>
      <c r="G130" s="1"/>
      <c r="H130" s="1">
        <f>SUM(OSRRefH22_22x_0)</f>
        <v>76.11</v>
      </c>
      <c r="I130" s="1"/>
      <c r="J130" s="5">
        <f t="shared" si="61"/>
        <v>2.7511141723225474E-4</v>
      </c>
      <c r="K130" s="1"/>
      <c r="L130" s="1">
        <f t="shared" si="62"/>
        <v>-22.33</v>
      </c>
      <c r="M130" s="1"/>
      <c r="N130" s="5">
        <f t="shared" si="63"/>
        <v>-0.29339114439626857</v>
      </c>
      <c r="O130" s="14"/>
      <c r="P130" s="1">
        <f>SUM(OSRRefP22_22x_0)</f>
        <v>96.78</v>
      </c>
      <c r="Q130" s="1"/>
      <c r="R130" s="5">
        <f t="shared" si="64"/>
        <v>1.7445638395719427E-4</v>
      </c>
      <c r="S130" s="1"/>
      <c r="T130" s="1">
        <f>SUM(OSRRefT22_22x_0)</f>
        <v>141.36000000000001</v>
      </c>
      <c r="U130" s="1"/>
      <c r="V130" s="5">
        <f t="shared" si="65"/>
        <v>2.9001286655130573E-4</v>
      </c>
      <c r="W130" s="1"/>
      <c r="X130" s="1">
        <f t="shared" si="66"/>
        <v>-44.580000000000013</v>
      </c>
      <c r="Y130" s="1"/>
      <c r="Z130" s="5">
        <f t="shared" si="67"/>
        <v>-0.3153650254668931</v>
      </c>
    </row>
    <row r="131" spans="1:26" s="24" customFormat="1" hidden="1" outlineLevel="2" x14ac:dyDescent="0.25">
      <c r="A131" s="29"/>
      <c r="B131" s="11" t="str">
        <f>CONCATENATE("          ", "6274", " - ", "UTILITIES")</f>
        <v xml:space="preserve">          6274 - UTILITIES</v>
      </c>
      <c r="C131" s="11"/>
      <c r="D131" s="7">
        <v>53.78</v>
      </c>
      <c r="E131" s="2"/>
      <c r="F131" s="6">
        <f t="shared" si="60"/>
        <v>1.6669532226827271E-4</v>
      </c>
      <c r="G131" s="2"/>
      <c r="H131" s="7">
        <v>76.11</v>
      </c>
      <c r="I131" s="2"/>
      <c r="J131" s="6">
        <f t="shared" si="61"/>
        <v>2.7511141723225474E-4</v>
      </c>
      <c r="K131" s="2"/>
      <c r="L131" s="7">
        <f t="shared" si="62"/>
        <v>-22.33</v>
      </c>
      <c r="M131" s="2"/>
      <c r="N131" s="6">
        <f t="shared" si="63"/>
        <v>-0.29339114439626857</v>
      </c>
      <c r="O131" s="11"/>
      <c r="P131" s="7">
        <v>96.78</v>
      </c>
      <c r="Q131" s="2"/>
      <c r="R131" s="6">
        <f t="shared" si="64"/>
        <v>1.7445638395719427E-4</v>
      </c>
      <c r="S131" s="2"/>
      <c r="T131" s="7">
        <v>141.36000000000001</v>
      </c>
      <c r="U131" s="2"/>
      <c r="V131" s="6">
        <f t="shared" si="65"/>
        <v>2.9001286655130573E-4</v>
      </c>
      <c r="W131" s="2"/>
      <c r="X131" s="7">
        <f t="shared" si="66"/>
        <v>-44.580000000000013</v>
      </c>
      <c r="Y131" s="2"/>
      <c r="Z131" s="6">
        <f t="shared" si="67"/>
        <v>-0.3153650254668931</v>
      </c>
    </row>
    <row r="132" spans="1:26" s="62" customFormat="1" x14ac:dyDescent="0.25">
      <c r="A132" s="37"/>
      <c r="B132" s="37"/>
      <c r="C132" s="37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7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3" customFormat="1" collapsed="1" x14ac:dyDescent="0.25">
      <c r="A133" s="10"/>
      <c r="B133" s="25" t="s">
        <v>0</v>
      </c>
      <c r="C133" s="10"/>
      <c r="D133" s="4">
        <f>SUM(OSRRefD25x_0)</f>
        <v>5022.16</v>
      </c>
      <c r="E133" s="4"/>
      <c r="F133" s="12">
        <f t="shared" ref="F133:F134" si="68">IF(D$12=0,0,D133/D$12)</f>
        <v>1.5566578275991604E-2</v>
      </c>
      <c r="G133" s="4"/>
      <c r="H133" s="4">
        <f>SUM(OSRRefH25x_0)</f>
        <v>4765.58</v>
      </c>
      <c r="I133" s="4"/>
      <c r="J133" s="12">
        <f t="shared" ref="J133:J134" si="69">IF(H$12=0,0,H133/H$12)</f>
        <v>1.7225929151671114E-2</v>
      </c>
      <c r="K133" s="4"/>
      <c r="L133" s="4">
        <f t="shared" ref="L133:L134" si="70">+D133-H133</f>
        <v>256.57999999999993</v>
      </c>
      <c r="M133" s="4"/>
      <c r="N133" s="12">
        <f t="shared" ref="N133:N134" si="71">IF(H133=0,0,L133/H133)</f>
        <v>5.3840246098061505E-2</v>
      </c>
      <c r="O133" s="10"/>
      <c r="P133" s="4">
        <f>SUM(OSRRefP25x_0)</f>
        <v>14396.98</v>
      </c>
      <c r="Q133" s="4"/>
      <c r="R133" s="12">
        <f t="shared" ref="R133:R134" si="72">IF(P$12=0,0,P133/P$12)</f>
        <v>2.5952108604092236E-2</v>
      </c>
      <c r="S133" s="4"/>
      <c r="T133" s="4">
        <f>SUM(OSRRefT25x_0)</f>
        <v>18385.810000000001</v>
      </c>
      <c r="U133" s="4"/>
      <c r="V133" s="12">
        <f t="shared" ref="V133:V134" si="73">IF(T$12=0,0,T133/T$12)</f>
        <v>3.7720157484208136E-2</v>
      </c>
      <c r="W133" s="4"/>
      <c r="X133" s="4">
        <f t="shared" ref="X133:X134" si="74">+P133-T133</f>
        <v>-3988.8300000000017</v>
      </c>
      <c r="Y133" s="4"/>
      <c r="Z133" s="12">
        <f t="shared" ref="Z133:Z134" si="75">IF(T133=0,0,X133/T133)</f>
        <v>-0.21695155122347079</v>
      </c>
    </row>
    <row r="134" spans="1:26" s="24" customFormat="1" hidden="1" outlineLevel="1" x14ac:dyDescent="0.25">
      <c r="A134" s="50"/>
      <c r="B134" s="11" t="str">
        <f>CONCATENATE("          ", "9150", " - ", "MISC. INCOME")</f>
        <v xml:space="preserve">          9150 - MISC. INCOME</v>
      </c>
      <c r="C134" s="11"/>
      <c r="D134" s="2">
        <f>--5022.16</f>
        <v>5022.16</v>
      </c>
      <c r="E134" s="2"/>
      <c r="F134" s="21">
        <f t="shared" si="68"/>
        <v>1.5566578275991604E-2</v>
      </c>
      <c r="G134" s="2"/>
      <c r="H134" s="2">
        <f>--4765.58</f>
        <v>4765.58</v>
      </c>
      <c r="I134" s="2"/>
      <c r="J134" s="21">
        <f t="shared" si="69"/>
        <v>1.7225929151671114E-2</v>
      </c>
      <c r="K134" s="2"/>
      <c r="L134" s="2">
        <f t="shared" si="70"/>
        <v>256.57999999999993</v>
      </c>
      <c r="M134" s="2"/>
      <c r="N134" s="21">
        <f t="shared" si="71"/>
        <v>5.3840246098061505E-2</v>
      </c>
      <c r="O134" s="11"/>
      <c r="P134" s="2">
        <f>--14396.98</f>
        <v>14396.98</v>
      </c>
      <c r="Q134" s="2"/>
      <c r="R134" s="21">
        <f t="shared" si="72"/>
        <v>2.5952108604092236E-2</v>
      </c>
      <c r="S134" s="2"/>
      <c r="T134" s="2">
        <f>--18385.81</f>
        <v>18385.810000000001</v>
      </c>
      <c r="U134" s="2"/>
      <c r="V134" s="21">
        <f t="shared" si="73"/>
        <v>3.7720157484208136E-2</v>
      </c>
      <c r="W134" s="2"/>
      <c r="X134" s="2">
        <f t="shared" si="74"/>
        <v>-3988.8300000000017</v>
      </c>
      <c r="Y134" s="2"/>
      <c r="Z134" s="21">
        <f t="shared" si="75"/>
        <v>-0.21695155122347079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10"/>
      <c r="B136" s="26" t="s">
        <v>3</v>
      </c>
      <c r="C136" s="26"/>
      <c r="D136" s="20">
        <f>+D64-D66+D133</f>
        <v>94739.159999999974</v>
      </c>
      <c r="E136" s="13"/>
      <c r="F136" s="19">
        <f>IF(D$12=0,0,D136/D$12)</f>
        <v>0.29365144677622623</v>
      </c>
      <c r="G136" s="13"/>
      <c r="H136" s="20">
        <f>+H64-H66+H133</f>
        <v>85775.060000000056</v>
      </c>
      <c r="I136" s="13"/>
      <c r="J136" s="19">
        <f>IF(H$12=0,0,H136/H$12)</f>
        <v>0.31004727788440023</v>
      </c>
      <c r="K136" s="15"/>
      <c r="L136" s="20">
        <f>+D136-H136</f>
        <v>8964.0999999999185</v>
      </c>
      <c r="M136" s="15"/>
      <c r="N136" s="19">
        <f>IF(H136=0,0,L136/H136)</f>
        <v>0.10450706767211719</v>
      </c>
      <c r="O136" s="25"/>
      <c r="P136" s="20">
        <f>+P64-P66+P133</f>
        <v>144693.65999999989</v>
      </c>
      <c r="Q136" s="13"/>
      <c r="R136" s="19">
        <f>IF(P$12=0,0,P136/P$12)</f>
        <v>0.26082592173105706</v>
      </c>
      <c r="S136" s="13"/>
      <c r="T136" s="20">
        <f>+T64-T66+T133</f>
        <v>129731.49000000005</v>
      </c>
      <c r="U136" s="13"/>
      <c r="V136" s="19">
        <f>IF(T$12=0,0,T136/T$12)</f>
        <v>0.26615592315274522</v>
      </c>
      <c r="W136" s="15"/>
      <c r="X136" s="20">
        <f>+P136-T136</f>
        <v>14962.169999999838</v>
      </c>
      <c r="Y136" s="15"/>
      <c r="Z136" s="19">
        <f>IF(T136=0,0,X136/T136)</f>
        <v>0.11533182884124613</v>
      </c>
    </row>
    <row r="137" spans="1:26" x14ac:dyDescent="0.25">
      <c r="A137" s="9"/>
      <c r="B137" s="10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25">
      <c r="A138" s="51"/>
      <c r="B138" s="10" t="s">
        <v>13</v>
      </c>
      <c r="C138" s="10"/>
      <c r="D138" s="4">
        <v>20901.329999999998</v>
      </c>
      <c r="E138" s="4"/>
      <c r="F138" s="12">
        <f>IF(D$12=0,0,D138/D$12)</f>
        <v>6.4785309412151659E-2</v>
      </c>
      <c r="G138" s="4"/>
      <c r="H138" s="4">
        <v>6491.7</v>
      </c>
      <c r="I138" s="4"/>
      <c r="J138" s="12">
        <f>IF(H$12=0,0,H138/H$12)</f>
        <v>2.3465258011386519E-2</v>
      </c>
      <c r="K138" s="4"/>
      <c r="L138" s="4">
        <f>+D138-H138</f>
        <v>14409.629999999997</v>
      </c>
      <c r="M138" s="4"/>
      <c r="N138" s="12">
        <f>IF(H138=0,0,L138/H138)</f>
        <v>2.2197005406904196</v>
      </c>
      <c r="O138" s="10"/>
      <c r="P138" s="4">
        <v>69167.44</v>
      </c>
      <c r="Q138" s="4"/>
      <c r="R138" s="12">
        <f>IF(P$12=0,0,P138/P$12)</f>
        <v>0.12468176761703036</v>
      </c>
      <c r="S138" s="4"/>
      <c r="T138" s="4">
        <v>49763.96</v>
      </c>
      <c r="U138" s="4"/>
      <c r="V138" s="12">
        <f>IF(T$12=0,0,T138/T$12)</f>
        <v>0.10209527936152034</v>
      </c>
      <c r="W138" s="4"/>
      <c r="X138" s="4">
        <f>+P138-T138</f>
        <v>19403.480000000003</v>
      </c>
      <c r="Y138" s="4"/>
      <c r="Z138" s="12">
        <f>IF(T138=0,0,X138/T138)</f>
        <v>0.38991028848990322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6" t="s">
        <v>4</v>
      </c>
      <c r="C140" s="26"/>
      <c r="D140" s="31">
        <f>+D136-D138</f>
        <v>73837.829999999973</v>
      </c>
      <c r="E140" s="13"/>
      <c r="F140" s="36">
        <f>IF(D$12=0,0,D140/D$12)</f>
        <v>0.22886613736407455</v>
      </c>
      <c r="G140" s="13"/>
      <c r="H140" s="31">
        <f>+H136-H138</f>
        <v>79283.360000000059</v>
      </c>
      <c r="I140" s="13"/>
      <c r="J140" s="36">
        <f>IF(H$12=0,0,H140/H$12)</f>
        <v>0.28658201987301368</v>
      </c>
      <c r="K140" s="15"/>
      <c r="L140" s="31">
        <f>D140-H140</f>
        <v>-5445.5300000000861</v>
      </c>
      <c r="M140" s="15"/>
      <c r="N140" s="36">
        <f>IF(H140=0,0,L140/H140)</f>
        <v>-6.8684399853892186E-2</v>
      </c>
      <c r="O140" s="25"/>
      <c r="P140" s="31">
        <f>+P136-P138</f>
        <v>75526.219999999885</v>
      </c>
      <c r="Q140" s="13"/>
      <c r="R140" s="36">
        <f>IF(P$12=0,0,P140/P$12)</f>
        <v>0.13614415411402672</v>
      </c>
      <c r="S140" s="13"/>
      <c r="T140" s="31">
        <f>+T136-T138</f>
        <v>79967.530000000057</v>
      </c>
      <c r="U140" s="13"/>
      <c r="V140" s="36">
        <f>IF(T$12=0,0,T140/T$12)</f>
        <v>0.1640606437912249</v>
      </c>
      <c r="W140" s="15"/>
      <c r="X140" s="31">
        <f>P140-T140</f>
        <v>-4441.3100000001723</v>
      </c>
      <c r="Y140" s="15"/>
      <c r="Z140" s="36">
        <f>IF(T140=0,0,X140/T140)</f>
        <v>-5.5538916857881808E-2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6" t="s">
        <v>5</v>
      </c>
      <c r="C143" s="26"/>
      <c r="D143" s="32">
        <f>SUM(D140:D142)</f>
        <v>73837.829999999973</v>
      </c>
      <c r="E143" s="13"/>
      <c r="F143" s="30">
        <f>IF(D$12=0,0,D143/D$12)</f>
        <v>0.22886613736407455</v>
      </c>
      <c r="G143" s="13"/>
      <c r="H143" s="32">
        <f>SUM(H140:H142)</f>
        <v>79283.360000000059</v>
      </c>
      <c r="I143" s="13"/>
      <c r="J143" s="30">
        <f>IF(H$12=0,0,H143/H$12)</f>
        <v>0.28658201987301368</v>
      </c>
      <c r="K143" s="15"/>
      <c r="L143" s="32">
        <f>+D143-H143</f>
        <v>-5445.5300000000861</v>
      </c>
      <c r="M143" s="15"/>
      <c r="N143" s="30">
        <f>IF(H143=0,0,L143/H143)</f>
        <v>-6.8684399853892186E-2</v>
      </c>
      <c r="O143" s="25"/>
      <c r="P143" s="32">
        <f>SUM(P140:P142)</f>
        <v>75526.219999999885</v>
      </c>
      <c r="Q143" s="13"/>
      <c r="R143" s="30">
        <f>IF(P$12=0,0,P143/P$12)</f>
        <v>0.13614415411402672</v>
      </c>
      <c r="S143" s="13"/>
      <c r="T143" s="32">
        <f>SUM(T140:T142)</f>
        <v>79967.530000000057</v>
      </c>
      <c r="U143" s="13"/>
      <c r="V143" s="30">
        <f>IF(T$12=0,0,T143/T$12)</f>
        <v>0.1640606437912249</v>
      </c>
      <c r="W143" s="15"/>
      <c r="X143" s="32">
        <f>+P143-T143</f>
        <v>-4441.3100000001723</v>
      </c>
      <c r="Y143" s="15"/>
      <c r="Z143" s="30">
        <f>IF(T143=0,0,X143/T143)</f>
        <v>-5.5538916857881808E-2</v>
      </c>
    </row>
    <row r="144" spans="1:26" ht="15.75" thickTop="1" x14ac:dyDescent="0.25">
      <c r="A144" s="9"/>
      <c r="C144" s="9"/>
      <c r="D144" s="17"/>
      <c r="E144" s="17"/>
      <c r="G144" s="17"/>
      <c r="H144" s="17"/>
      <c r="I144" s="17"/>
      <c r="J144" s="43"/>
      <c r="K144" s="17"/>
      <c r="L144" s="17"/>
      <c r="M144" s="17"/>
      <c r="P144" s="17"/>
      <c r="Q144" s="17"/>
      <c r="R144" s="43"/>
      <c r="S144" s="17"/>
      <c r="T144" s="17"/>
      <c r="U144" s="17"/>
      <c r="V144" s="43"/>
      <c r="W144" s="17"/>
      <c r="X144" s="17"/>
    </row>
    <row r="145" spans="1:24" x14ac:dyDescent="0.25">
      <c r="A145" s="9"/>
      <c r="B145" s="57">
        <v>43732.709218402779</v>
      </c>
      <c r="D145" s="17"/>
      <c r="E145" s="17"/>
      <c r="G145" s="17"/>
      <c r="H145" s="17"/>
      <c r="I145" s="17"/>
      <c r="J145" s="43"/>
      <c r="K145" s="17"/>
      <c r="L145" s="17"/>
      <c r="M145" s="17"/>
      <c r="P145" s="17"/>
      <c r="Q145" s="17"/>
      <c r="R145" s="43"/>
      <c r="S145" s="17"/>
      <c r="T145" s="17"/>
      <c r="U145" s="17"/>
      <c r="V145" s="43"/>
      <c r="W145" s="17"/>
      <c r="X145" s="17"/>
    </row>
    <row r="146" spans="1:24" x14ac:dyDescent="0.25">
      <c r="A146" s="9"/>
      <c r="B146" s="60" t="s">
        <v>313</v>
      </c>
      <c r="D146" s="17"/>
      <c r="E146" s="17"/>
      <c r="G146" s="17"/>
      <c r="H146" s="17"/>
      <c r="I146" s="17"/>
      <c r="J146" s="43"/>
      <c r="K146" s="17"/>
      <c r="L146" s="17"/>
      <c r="M146" s="17"/>
      <c r="P146" s="17"/>
      <c r="Q146" s="17"/>
      <c r="R146" s="43"/>
      <c r="S146" s="17"/>
      <c r="T146" s="17"/>
      <c r="U146" s="17"/>
      <c r="V146" s="43"/>
      <c r="W146" s="17"/>
      <c r="X146" s="17"/>
    </row>
    <row r="147" spans="1:24" x14ac:dyDescent="0.25">
      <c r="A147" s="9"/>
      <c r="B147" s="56"/>
      <c r="D147" s="17"/>
      <c r="E147" s="17"/>
      <c r="G147" s="17"/>
      <c r="H147" s="17"/>
      <c r="I147" s="17"/>
      <c r="J147" s="43"/>
      <c r="K147" s="17"/>
      <c r="L147" s="17"/>
      <c r="M147" s="17"/>
      <c r="P147" s="17"/>
      <c r="Q147" s="17"/>
      <c r="R147" s="43"/>
      <c r="S147" s="17"/>
      <c r="T147" s="17"/>
      <c r="U147" s="17"/>
      <c r="V147" s="43"/>
      <c r="W147" s="17"/>
      <c r="X147" s="17"/>
    </row>
    <row r="148" spans="1:24" x14ac:dyDescent="0.25">
      <c r="D148" s="17"/>
      <c r="E148" s="17"/>
      <c r="G148" s="17"/>
      <c r="H148" s="17"/>
      <c r="I148" s="17"/>
      <c r="J148" s="43"/>
      <c r="K148" s="17"/>
      <c r="L148" s="17"/>
      <c r="M148" s="17"/>
      <c r="P148" s="17"/>
      <c r="Q148" s="17"/>
      <c r="R148" s="43"/>
      <c r="S148" s="17"/>
      <c r="T148" s="17"/>
      <c r="U148" s="17"/>
      <c r="V148" s="43"/>
      <c r="W148" s="17"/>
      <c r="X148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","315", " - ", "Beach Shop")</f>
        <v>Department 315 - Beach Shop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253130.69999999995</v>
      </c>
      <c r="E12" s="4"/>
      <c r="F12" s="12"/>
      <c r="G12" s="4"/>
      <c r="H12" s="4">
        <f>SUM(OSRRefH13x_0)</f>
        <v>231757.23000000004</v>
      </c>
      <c r="I12" s="4"/>
      <c r="J12" s="12"/>
      <c r="K12" s="4"/>
      <c r="L12" s="4">
        <f t="shared" ref="L12:L30" si="0">+D12-H12</f>
        <v>21373.469999999914</v>
      </c>
      <c r="M12" s="4"/>
      <c r="N12" s="12">
        <f t="shared" ref="N12:N30" si="1">IF(H12=0,0,L12/H12)</f>
        <v>9.2223530631600617E-2</v>
      </c>
      <c r="O12" s="10"/>
      <c r="P12" s="4">
        <f>SUM(OSRRefP13x_0)</f>
        <v>433775.86</v>
      </c>
      <c r="Q12" s="4"/>
      <c r="R12" s="12"/>
      <c r="S12" s="4"/>
      <c r="T12" s="4">
        <f>SUM(OSRRefT13x_0)</f>
        <v>392478.83999999997</v>
      </c>
      <c r="U12" s="4"/>
      <c r="V12" s="12"/>
      <c r="W12" s="4"/>
      <c r="X12" s="4">
        <f t="shared" ref="X12:X30" si="2">+P12-T12</f>
        <v>41297.020000000019</v>
      </c>
      <c r="Y12" s="4"/>
      <c r="Z12" s="12">
        <f t="shared" ref="Z12:Z30" si="3">IF(T12=0,0,X12/T12)</f>
        <v>0.10522101013139976</v>
      </c>
    </row>
    <row r="13" spans="1:26" s="24" customFormat="1" hidden="1" outlineLevel="1" x14ac:dyDescent="0.25">
      <c r="A13" s="50"/>
      <c r="B13" s="11" t="str">
        <f>CONCATENATE("          ", "4040", " - ", "TAXABLE SALES-LOGO CLOTHING")</f>
        <v xml:space="preserve">          4040 - TAXABLE SALES-LOGO CLOTHING</v>
      </c>
      <c r="C13" s="11"/>
      <c r="D13" s="2">
        <f>--162637.27</f>
        <v>162637.26999999999</v>
      </c>
      <c r="E13" s="2"/>
      <c r="F13" s="21"/>
      <c r="G13" s="2"/>
      <c r="H13" s="2">
        <f>--148434.81</f>
        <v>148434.81</v>
      </c>
      <c r="I13" s="2"/>
      <c r="J13" s="21"/>
      <c r="K13" s="2"/>
      <c r="L13" s="2">
        <f t="shared" si="0"/>
        <v>14202.459999999992</v>
      </c>
      <c r="M13" s="2"/>
      <c r="N13" s="21">
        <f t="shared" si="1"/>
        <v>9.5681464475886699E-2</v>
      </c>
      <c r="O13" s="11"/>
      <c r="P13" s="2">
        <f>--289196.88</f>
        <v>289196.88</v>
      </c>
      <c r="Q13" s="2"/>
      <c r="R13" s="21"/>
      <c r="S13" s="2"/>
      <c r="T13" s="2">
        <f>--251930.27</f>
        <v>251930.27</v>
      </c>
      <c r="U13" s="2"/>
      <c r="V13" s="21"/>
      <c r="W13" s="2"/>
      <c r="X13" s="2">
        <f t="shared" si="2"/>
        <v>37266.610000000015</v>
      </c>
      <c r="Y13" s="2"/>
      <c r="Z13" s="21">
        <f t="shared" si="3"/>
        <v>0.14792430461016065</v>
      </c>
    </row>
    <row r="14" spans="1:26" s="24" customFormat="1" hidden="1" outlineLevel="1" x14ac:dyDescent="0.25">
      <c r="A14" s="50"/>
      <c r="B14" s="11" t="str">
        <f>CONCATENATE("          ", "4041", " - ", "TAXABLE SALES-LOGO GIFTS")</f>
        <v xml:space="preserve">          4041 - TAXABLE SALES-LOGO GIFTS</v>
      </c>
      <c r="C14" s="11"/>
      <c r="D14" s="2">
        <f>--39506.72</f>
        <v>39506.720000000001</v>
      </c>
      <c r="E14" s="2"/>
      <c r="F14" s="21"/>
      <c r="G14" s="2"/>
      <c r="H14" s="2">
        <f>--33666.63</f>
        <v>33666.629999999997</v>
      </c>
      <c r="I14" s="2"/>
      <c r="J14" s="21"/>
      <c r="K14" s="2"/>
      <c r="L14" s="2">
        <f t="shared" si="0"/>
        <v>5840.0900000000038</v>
      </c>
      <c r="M14" s="2"/>
      <c r="N14" s="21">
        <f t="shared" si="1"/>
        <v>0.1734682087277522</v>
      </c>
      <c r="O14" s="11"/>
      <c r="P14" s="2">
        <f>--63859.08</f>
        <v>63859.08</v>
      </c>
      <c r="Q14" s="2"/>
      <c r="R14" s="21"/>
      <c r="S14" s="2"/>
      <c r="T14" s="2">
        <f>--57434.38</f>
        <v>57434.38</v>
      </c>
      <c r="U14" s="2"/>
      <c r="V14" s="21"/>
      <c r="W14" s="2"/>
      <c r="X14" s="2">
        <f t="shared" si="2"/>
        <v>6424.7000000000044</v>
      </c>
      <c r="Y14" s="2"/>
      <c r="Z14" s="21">
        <f t="shared" si="3"/>
        <v>0.11186157141419485</v>
      </c>
    </row>
    <row r="15" spans="1:26" s="24" customFormat="1" hidden="1" outlineLevel="1" x14ac:dyDescent="0.25">
      <c r="A15" s="50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--29699.27</f>
        <v>29699.27</v>
      </c>
      <c r="E15" s="2"/>
      <c r="F15" s="21"/>
      <c r="G15" s="2"/>
      <c r="H15" s="2">
        <f>--17392.02</f>
        <v>17392.02</v>
      </c>
      <c r="I15" s="2"/>
      <c r="J15" s="21"/>
      <c r="K15" s="2"/>
      <c r="L15" s="2">
        <f t="shared" si="0"/>
        <v>12307.25</v>
      </c>
      <c r="M15" s="2"/>
      <c r="N15" s="21">
        <f t="shared" si="1"/>
        <v>0.70763775570635268</v>
      </c>
      <c r="O15" s="11"/>
      <c r="P15" s="2">
        <f>--38798.79</f>
        <v>38798.79</v>
      </c>
      <c r="Q15" s="2"/>
      <c r="R15" s="21"/>
      <c r="S15" s="2"/>
      <c r="T15" s="2">
        <f>--24283.94</f>
        <v>24283.94</v>
      </c>
      <c r="U15" s="2"/>
      <c r="V15" s="21"/>
      <c r="W15" s="2"/>
      <c r="X15" s="2">
        <f t="shared" si="2"/>
        <v>14514.850000000002</v>
      </c>
      <c r="Y15" s="2"/>
      <c r="Z15" s="21">
        <f t="shared" si="3"/>
        <v>0.59771396239654695</v>
      </c>
    </row>
    <row r="16" spans="1:26" s="24" customFormat="1" hidden="1" outlineLevel="1" x14ac:dyDescent="0.25">
      <c r="A16" s="50"/>
      <c r="B16" s="11" t="str">
        <f>CONCATENATE("          ", "4043", " - ", "TAXABLE SALES-CARDS")</f>
        <v xml:space="preserve">          4043 - TAXABLE SALES-CARDS</v>
      </c>
      <c r="C16" s="11"/>
      <c r="D16" s="2">
        <f>--67.34</f>
        <v>67.34</v>
      </c>
      <c r="E16" s="2"/>
      <c r="F16" s="21"/>
      <c r="G16" s="2"/>
      <c r="H16" s="2">
        <f>--63.7</f>
        <v>63.7</v>
      </c>
      <c r="I16" s="2"/>
      <c r="J16" s="21"/>
      <c r="K16" s="2"/>
      <c r="L16" s="2">
        <f t="shared" si="0"/>
        <v>3.6400000000000006</v>
      </c>
      <c r="M16" s="2"/>
      <c r="N16" s="21">
        <f t="shared" si="1"/>
        <v>5.7142857142857148E-2</v>
      </c>
      <c r="O16" s="11"/>
      <c r="P16" s="2">
        <f>--108.19</f>
        <v>108.19</v>
      </c>
      <c r="Q16" s="2"/>
      <c r="R16" s="21"/>
      <c r="S16" s="2"/>
      <c r="T16" s="2">
        <f>--144.94</f>
        <v>144.94</v>
      </c>
      <c r="U16" s="2"/>
      <c r="V16" s="21"/>
      <c r="W16" s="2"/>
      <c r="X16" s="2">
        <f t="shared" si="2"/>
        <v>-36.75</v>
      </c>
      <c r="Y16" s="2"/>
      <c r="Z16" s="21">
        <f t="shared" si="3"/>
        <v>-0.2535531944252794</v>
      </c>
    </row>
    <row r="17" spans="1:26" s="24" customFormat="1" hidden="1" outlineLevel="1" x14ac:dyDescent="0.25">
      <c r="A17" s="50"/>
      <c r="B17" s="11" t="str">
        <f>CONCATENATE("          ", "4044", " - ", "TAXABLE SALES-ACCESSORIES")</f>
        <v xml:space="preserve">          4044 - TAXABLE SALES-ACCESSORIES</v>
      </c>
      <c r="C17" s="11"/>
      <c r="D17" s="2">
        <f>--18920.67</f>
        <v>18920.669999999998</v>
      </c>
      <c r="E17" s="2"/>
      <c r="F17" s="21"/>
      <c r="G17" s="2"/>
      <c r="H17" s="2">
        <f>--18314.78</f>
        <v>18314.78</v>
      </c>
      <c r="I17" s="2"/>
      <c r="J17" s="21"/>
      <c r="K17" s="2"/>
      <c r="L17" s="2">
        <f t="shared" si="0"/>
        <v>605.88999999999942</v>
      </c>
      <c r="M17" s="2"/>
      <c r="N17" s="21">
        <f t="shared" si="1"/>
        <v>3.3082024463302287E-2</v>
      </c>
      <c r="O17" s="11"/>
      <c r="P17" s="2">
        <f>--21015.12</f>
        <v>21015.119999999999</v>
      </c>
      <c r="Q17" s="2"/>
      <c r="R17" s="21"/>
      <c r="S17" s="2"/>
      <c r="T17" s="2">
        <f>--21413.38</f>
        <v>21413.38</v>
      </c>
      <c r="U17" s="2"/>
      <c r="V17" s="21"/>
      <c r="W17" s="2"/>
      <c r="X17" s="2">
        <f t="shared" si="2"/>
        <v>-398.26000000000204</v>
      </c>
      <c r="Y17" s="2"/>
      <c r="Z17" s="21">
        <f t="shared" si="3"/>
        <v>-1.8598651870933128E-2</v>
      </c>
    </row>
    <row r="18" spans="1:26" s="24" customFormat="1" hidden="1" outlineLevel="1" x14ac:dyDescent="0.25">
      <c r="A18" s="50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--5973.45</f>
        <v>5973.45</v>
      </c>
      <c r="E18" s="2"/>
      <c r="F18" s="21"/>
      <c r="G18" s="2"/>
      <c r="H18" s="2">
        <f>--17485.31</f>
        <v>17485.310000000001</v>
      </c>
      <c r="I18" s="2"/>
      <c r="J18" s="21"/>
      <c r="K18" s="2"/>
      <c r="L18" s="2">
        <f t="shared" si="0"/>
        <v>-11511.86</v>
      </c>
      <c r="M18" s="2"/>
      <c r="N18" s="21">
        <f t="shared" si="1"/>
        <v>-0.65837322872742887</v>
      </c>
      <c r="O18" s="11"/>
      <c r="P18" s="2">
        <f>--25156.28</f>
        <v>25156.28</v>
      </c>
      <c r="Q18" s="2"/>
      <c r="R18" s="21"/>
      <c r="S18" s="2"/>
      <c r="T18" s="2">
        <f>--42509.63</f>
        <v>42509.63</v>
      </c>
      <c r="U18" s="2"/>
      <c r="V18" s="21"/>
      <c r="W18" s="2"/>
      <c r="X18" s="2">
        <f t="shared" si="2"/>
        <v>-17353.349999999999</v>
      </c>
      <c r="Y18" s="2"/>
      <c r="Z18" s="21">
        <f t="shared" si="3"/>
        <v>-0.40822161943070312</v>
      </c>
    </row>
    <row r="19" spans="1:26" s="24" customFormat="1" hidden="1" outlineLevel="1" x14ac:dyDescent="0.25">
      <c r="A19" s="50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--1979.29</f>
        <v>1979.29</v>
      </c>
      <c r="E19" s="2"/>
      <c r="F19" s="21"/>
      <c r="G19" s="2"/>
      <c r="H19" s="2">
        <f>--3444.26</f>
        <v>3444.26</v>
      </c>
      <c r="I19" s="2"/>
      <c r="J19" s="21"/>
      <c r="K19" s="2"/>
      <c r="L19" s="2">
        <f t="shared" si="0"/>
        <v>-1464.9700000000003</v>
      </c>
      <c r="M19" s="2"/>
      <c r="N19" s="21">
        <f t="shared" si="1"/>
        <v>-0.42533664705916513</v>
      </c>
      <c r="O19" s="11"/>
      <c r="P19" s="2">
        <f>--5142.96</f>
        <v>5142.96</v>
      </c>
      <c r="Q19" s="2"/>
      <c r="R19" s="21"/>
      <c r="S19" s="2"/>
      <c r="T19" s="2">
        <f>--5257.81</f>
        <v>5257.81</v>
      </c>
      <c r="U19" s="2"/>
      <c r="V19" s="21"/>
      <c r="W19" s="2"/>
      <c r="X19" s="2">
        <f t="shared" si="2"/>
        <v>-114.85000000000036</v>
      </c>
      <c r="Y19" s="2"/>
      <c r="Z19" s="21">
        <f t="shared" si="3"/>
        <v>-2.1843695378874543E-2</v>
      </c>
    </row>
    <row r="20" spans="1:26" s="24" customFormat="1" hidden="1" outlineLevel="1" x14ac:dyDescent="0.25">
      <c r="A20" s="50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--262.7</f>
        <v>262.7</v>
      </c>
      <c r="E20" s="2"/>
      <c r="F20" s="21"/>
      <c r="G20" s="2"/>
      <c r="H20" s="2">
        <f>--150.1</f>
        <v>150.1</v>
      </c>
      <c r="I20" s="2"/>
      <c r="J20" s="21"/>
      <c r="K20" s="2"/>
      <c r="L20" s="2">
        <f t="shared" si="0"/>
        <v>112.6</v>
      </c>
      <c r="M20" s="2"/>
      <c r="N20" s="21">
        <f t="shared" si="1"/>
        <v>0.75016655562958023</v>
      </c>
      <c r="O20" s="11"/>
      <c r="P20" s="2">
        <f>--516.9</f>
        <v>516.9</v>
      </c>
      <c r="Q20" s="2"/>
      <c r="R20" s="21"/>
      <c r="S20" s="2"/>
      <c r="T20" s="2">
        <f>--335.75</f>
        <v>335.75</v>
      </c>
      <c r="U20" s="2"/>
      <c r="V20" s="21"/>
      <c r="W20" s="2"/>
      <c r="X20" s="2">
        <f t="shared" si="2"/>
        <v>181.14999999999998</v>
      </c>
      <c r="Y20" s="2"/>
      <c r="Z20" s="21">
        <f t="shared" si="3"/>
        <v>0.53953834698436332</v>
      </c>
    </row>
    <row r="21" spans="1:26" s="24" customFormat="1" hidden="1" outlineLevel="1" x14ac:dyDescent="0.25">
      <c r="A21" s="50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--153.61</f>
        <v>153.61000000000001</v>
      </c>
      <c r="E21" s="2"/>
      <c r="F21" s="21"/>
      <c r="G21" s="2"/>
      <c r="H21" s="2">
        <f>--81.54</f>
        <v>81.540000000000006</v>
      </c>
      <c r="I21" s="2"/>
      <c r="J21" s="21"/>
      <c r="K21" s="2"/>
      <c r="L21" s="2">
        <f t="shared" si="0"/>
        <v>72.070000000000007</v>
      </c>
      <c r="M21" s="2"/>
      <c r="N21" s="21">
        <f t="shared" si="1"/>
        <v>0.88386068187392697</v>
      </c>
      <c r="O21" s="11"/>
      <c r="P21" s="2">
        <f>--305.13</f>
        <v>305.13</v>
      </c>
      <c r="Q21" s="2"/>
      <c r="R21" s="21"/>
      <c r="S21" s="2"/>
      <c r="T21" s="2">
        <f>--88.49</f>
        <v>88.49</v>
      </c>
      <c r="U21" s="2"/>
      <c r="V21" s="21"/>
      <c r="W21" s="2"/>
      <c r="X21" s="2">
        <f t="shared" si="2"/>
        <v>216.64</v>
      </c>
      <c r="Y21" s="2"/>
      <c r="Z21" s="21">
        <f t="shared" si="3"/>
        <v>2.4481862357328512</v>
      </c>
    </row>
    <row r="22" spans="1:26" s="24" customFormat="1" hidden="1" outlineLevel="1" x14ac:dyDescent="0.25">
      <c r="A22" s="50"/>
      <c r="B22" s="11" t="str">
        <f>CONCATENATE("          ", "4144", " - ", "NON-TAXABLE SALES-ACCESSORIES")</f>
        <v xml:space="preserve">          4144 - NON-TAXABLE SALES-ACCESSORIES</v>
      </c>
      <c r="C22" s="11"/>
      <c r="D22" s="2">
        <f>--117.86</f>
        <v>117.86</v>
      </c>
      <c r="E22" s="2"/>
      <c r="F22" s="21"/>
      <c r="G22" s="2"/>
      <c r="H22" s="2">
        <f>--39.95</f>
        <v>39.950000000000003</v>
      </c>
      <c r="I22" s="2"/>
      <c r="J22" s="21"/>
      <c r="K22" s="2"/>
      <c r="L22" s="2">
        <f t="shared" si="0"/>
        <v>77.91</v>
      </c>
      <c r="M22" s="2"/>
      <c r="N22" s="21">
        <f t="shared" si="1"/>
        <v>1.9501877346683352</v>
      </c>
      <c r="O22" s="11"/>
      <c r="P22" s="2">
        <f>--139.76</f>
        <v>139.76</v>
      </c>
      <c r="Q22" s="2"/>
      <c r="R22" s="21"/>
      <c r="S22" s="2"/>
      <c r="T22" s="2">
        <f>--84.9</f>
        <v>84.9</v>
      </c>
      <c r="U22" s="2"/>
      <c r="V22" s="21"/>
      <c r="W22" s="2"/>
      <c r="X22" s="2">
        <f t="shared" si="2"/>
        <v>54.859999999999985</v>
      </c>
      <c r="Y22" s="2"/>
      <c r="Z22" s="21">
        <f t="shared" si="3"/>
        <v>0.64617196702002333</v>
      </c>
    </row>
    <row r="23" spans="1:26" s="24" customFormat="1" hidden="1" outlineLevel="1" x14ac:dyDescent="0.25">
      <c r="A23" s="50"/>
      <c r="B23" s="11" t="str">
        <f>CONCATENATE("          ", "4145", " - ", "NON-TAXABLE SALES-SPECIAL ORDE")</f>
        <v xml:space="preserve">          4145 - NON-TAXABLE SALES-SPECIAL ORDE</v>
      </c>
      <c r="C23" s="11"/>
      <c r="D23" s="2">
        <f>--90</f>
        <v>90</v>
      </c>
      <c r="E23" s="2"/>
      <c r="F23" s="21"/>
      <c r="G23" s="2"/>
      <c r="H23" s="2">
        <f>--141.9</f>
        <v>141.9</v>
      </c>
      <c r="I23" s="2"/>
      <c r="J23" s="21"/>
      <c r="K23" s="2"/>
      <c r="L23" s="2">
        <f t="shared" si="0"/>
        <v>-51.900000000000006</v>
      </c>
      <c r="M23" s="2"/>
      <c r="N23" s="21">
        <f t="shared" si="1"/>
        <v>-0.36575052854122625</v>
      </c>
      <c r="O23" s="11"/>
      <c r="P23" s="2">
        <f>--90</f>
        <v>90</v>
      </c>
      <c r="Q23" s="2"/>
      <c r="R23" s="21"/>
      <c r="S23" s="2"/>
      <c r="T23" s="2">
        <f>--201.75</f>
        <v>201.75</v>
      </c>
      <c r="U23" s="2"/>
      <c r="V23" s="21"/>
      <c r="W23" s="2"/>
      <c r="X23" s="2">
        <f t="shared" si="2"/>
        <v>-111.75</v>
      </c>
      <c r="Y23" s="2"/>
      <c r="Z23" s="21">
        <f t="shared" si="3"/>
        <v>-0.55390334572490707</v>
      </c>
    </row>
    <row r="24" spans="1:26" s="24" customFormat="1" hidden="1" outlineLevel="1" x14ac:dyDescent="0.25">
      <c r="A24" s="50"/>
      <c r="B24" s="11" t="str">
        <f>CONCATENATE("          ", "4240", " - ", "SALES RETURN TAXABLE-LOGO CLOT")</f>
        <v xml:space="preserve">          4240 - SALES RETURN TAXABLE-LOGO CLOT</v>
      </c>
      <c r="C24" s="11"/>
      <c r="D24" s="2">
        <f>-5099.76</f>
        <v>-5099.76</v>
      </c>
      <c r="E24" s="2"/>
      <c r="F24" s="21"/>
      <c r="G24" s="2"/>
      <c r="H24" s="2">
        <f>-4744.62</f>
        <v>-4744.62</v>
      </c>
      <c r="I24" s="2"/>
      <c r="J24" s="21"/>
      <c r="K24" s="2"/>
      <c r="L24" s="2">
        <f t="shared" si="0"/>
        <v>-355.14000000000033</v>
      </c>
      <c r="M24" s="2"/>
      <c r="N24" s="21">
        <f t="shared" si="1"/>
        <v>7.4851094502826426E-2</v>
      </c>
      <c r="O24" s="11"/>
      <c r="P24" s="2">
        <f>-8188.65</f>
        <v>-8188.65</v>
      </c>
      <c r="Q24" s="2"/>
      <c r="R24" s="21"/>
      <c r="S24" s="2"/>
      <c r="T24" s="2">
        <f>-7930.04</f>
        <v>-7930.04</v>
      </c>
      <c r="U24" s="2"/>
      <c r="V24" s="21"/>
      <c r="W24" s="2"/>
      <c r="X24" s="2">
        <f t="shared" si="2"/>
        <v>-258.60999999999967</v>
      </c>
      <c r="Y24" s="2"/>
      <c r="Z24" s="21">
        <f t="shared" si="3"/>
        <v>3.2611437016711098E-2</v>
      </c>
    </row>
    <row r="25" spans="1:26" s="24" customFormat="1" hidden="1" outlineLevel="1" x14ac:dyDescent="0.25">
      <c r="A25" s="50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-348.61</f>
        <v>-348.61</v>
      </c>
      <c r="E25" s="2"/>
      <c r="F25" s="21"/>
      <c r="G25" s="2"/>
      <c r="H25" s="2">
        <f>-583.95</f>
        <v>-583.95000000000005</v>
      </c>
      <c r="I25" s="2"/>
      <c r="J25" s="21"/>
      <c r="K25" s="2"/>
      <c r="L25" s="2">
        <f t="shared" si="0"/>
        <v>235.34000000000003</v>
      </c>
      <c r="M25" s="2"/>
      <c r="N25" s="21">
        <f t="shared" si="1"/>
        <v>-0.40301395667437284</v>
      </c>
      <c r="O25" s="11"/>
      <c r="P25" s="2">
        <f>-890.3</f>
        <v>-890.3</v>
      </c>
      <c r="Q25" s="2"/>
      <c r="R25" s="21"/>
      <c r="S25" s="2"/>
      <c r="T25" s="2">
        <f>-952.46</f>
        <v>-952.46</v>
      </c>
      <c r="U25" s="2"/>
      <c r="V25" s="21"/>
      <c r="W25" s="2"/>
      <c r="X25" s="2">
        <f t="shared" si="2"/>
        <v>62.160000000000082</v>
      </c>
      <c r="Y25" s="2"/>
      <c r="Z25" s="21">
        <f t="shared" si="3"/>
        <v>-6.5262583205594013E-2</v>
      </c>
    </row>
    <row r="26" spans="1:26" s="24" customFormat="1" hidden="1" outlineLevel="1" x14ac:dyDescent="0.25">
      <c r="A26" s="50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-349.49</f>
        <v>-349.49</v>
      </c>
      <c r="E26" s="2"/>
      <c r="F26" s="21"/>
      <c r="G26" s="2"/>
      <c r="H26" s="2">
        <f>-188.15</f>
        <v>-188.15</v>
      </c>
      <c r="I26" s="2"/>
      <c r="J26" s="21"/>
      <c r="K26" s="2"/>
      <c r="L26" s="2">
        <f t="shared" si="0"/>
        <v>-161.34</v>
      </c>
      <c r="M26" s="2"/>
      <c r="N26" s="21">
        <f t="shared" si="1"/>
        <v>0.85750730799893704</v>
      </c>
      <c r="O26" s="11"/>
      <c r="P26" s="2">
        <f>-664.32</f>
        <v>-664.32</v>
      </c>
      <c r="Q26" s="2"/>
      <c r="R26" s="21"/>
      <c r="S26" s="2"/>
      <c r="T26" s="2">
        <f>-317.95</f>
        <v>-317.95</v>
      </c>
      <c r="U26" s="2"/>
      <c r="V26" s="21"/>
      <c r="W26" s="2"/>
      <c r="X26" s="2">
        <f t="shared" si="2"/>
        <v>-346.37000000000006</v>
      </c>
      <c r="Y26" s="2"/>
      <c r="Z26" s="21">
        <f t="shared" si="3"/>
        <v>1.089385123447083</v>
      </c>
    </row>
    <row r="27" spans="1:26" s="24" customFormat="1" hidden="1" outlineLevel="1" x14ac:dyDescent="0.25">
      <c r="A27" s="50"/>
      <c r="B27" s="11" t="str">
        <f>CONCATENATE("          ", "4244", " - ", "SALES RETURN TAXABLE-ACCESSORI")</f>
        <v xml:space="preserve">          4244 - SALES RETURN TAXABLE-ACCESSORI</v>
      </c>
      <c r="C27" s="11"/>
      <c r="D27" s="2">
        <f>-420.73</f>
        <v>-420.73</v>
      </c>
      <c r="E27" s="2"/>
      <c r="F27" s="21"/>
      <c r="G27" s="2"/>
      <c r="H27" s="2">
        <f>-1614.36</f>
        <v>-1614.36</v>
      </c>
      <c r="I27" s="2"/>
      <c r="J27" s="21"/>
      <c r="K27" s="2"/>
      <c r="L27" s="2">
        <f t="shared" si="0"/>
        <v>1193.6299999999999</v>
      </c>
      <c r="M27" s="2"/>
      <c r="N27" s="21">
        <f t="shared" si="1"/>
        <v>-0.7393827894645556</v>
      </c>
      <c r="O27" s="11"/>
      <c r="P27" s="2">
        <f>-527.52</f>
        <v>-527.52</v>
      </c>
      <c r="Q27" s="2"/>
      <c r="R27" s="21"/>
      <c r="S27" s="2"/>
      <c r="T27" s="2">
        <f>-1659.31</f>
        <v>-1659.31</v>
      </c>
      <c r="U27" s="2"/>
      <c r="V27" s="21"/>
      <c r="W27" s="2"/>
      <c r="X27" s="2">
        <f t="shared" si="2"/>
        <v>1131.79</v>
      </c>
      <c r="Y27" s="2"/>
      <c r="Z27" s="21">
        <f t="shared" si="3"/>
        <v>-0.6820847219627435</v>
      </c>
    </row>
    <row r="28" spans="1:26" s="24" customFormat="1" hidden="1" outlineLevel="1" x14ac:dyDescent="0.25">
      <c r="A28" s="50"/>
      <c r="B28" s="11" t="str">
        <f>CONCATENATE("          ", "4245", " - ", "SALES RETURN TAXABLE-SPECIAL O")</f>
        <v xml:space="preserve">          4245 - SALES RETURN TAXABLE-SPECIAL O</v>
      </c>
      <c r="C28" s="11"/>
      <c r="D28" s="2">
        <f>-9.99</f>
        <v>-9.99</v>
      </c>
      <c r="E28" s="2"/>
      <c r="F28" s="21"/>
      <c r="G28" s="2"/>
      <c r="H28" s="2">
        <f>-134.95</f>
        <v>-134.94999999999999</v>
      </c>
      <c r="I28" s="2"/>
      <c r="J28" s="21"/>
      <c r="K28" s="2"/>
      <c r="L28" s="2">
        <f t="shared" si="0"/>
        <v>124.96</v>
      </c>
      <c r="M28" s="2"/>
      <c r="N28" s="21">
        <f t="shared" si="1"/>
        <v>-0.92597258243794001</v>
      </c>
      <c r="O28" s="11"/>
      <c r="P28" s="2">
        <f>-9.99</f>
        <v>-9.99</v>
      </c>
      <c r="Q28" s="2"/>
      <c r="R28" s="21"/>
      <c r="S28" s="2"/>
      <c r="T28" s="2">
        <f>-154.9</f>
        <v>-154.9</v>
      </c>
      <c r="U28" s="2"/>
      <c r="V28" s="21"/>
      <c r="W28" s="2"/>
      <c r="X28" s="2">
        <f t="shared" si="2"/>
        <v>144.91</v>
      </c>
      <c r="Y28" s="2"/>
      <c r="Z28" s="21">
        <f t="shared" si="3"/>
        <v>-0.9355067785668173</v>
      </c>
    </row>
    <row r="29" spans="1:26" s="24" customFormat="1" hidden="1" outlineLevel="1" x14ac:dyDescent="0.25">
      <c r="A29" s="50"/>
      <c r="B29" s="11" t="str">
        <f>CONCATENATE("          ", "4340", " - ", "SALES RETURN NON TAXABLE-LOGO")</f>
        <v xml:space="preserve">          4340 - SALES RETURN NON TAXABLE-LOGO</v>
      </c>
      <c r="C29" s="11"/>
      <c r="D29" s="2">
        <f>-44.95</f>
        <v>-44.95</v>
      </c>
      <c r="E29" s="2"/>
      <c r="F29" s="21"/>
      <c r="G29" s="2"/>
      <c r="H29" s="2">
        <f>-191.74</f>
        <v>-191.74</v>
      </c>
      <c r="I29" s="2"/>
      <c r="J29" s="21"/>
      <c r="K29" s="2"/>
      <c r="L29" s="2">
        <f t="shared" si="0"/>
        <v>146.79000000000002</v>
      </c>
      <c r="M29" s="2"/>
      <c r="N29" s="21">
        <f t="shared" si="1"/>
        <v>-0.76556795660790666</v>
      </c>
      <c r="O29" s="11"/>
      <c r="P29" s="2">
        <f>-268.5</f>
        <v>-268.5</v>
      </c>
      <c r="Q29" s="2"/>
      <c r="R29" s="21"/>
      <c r="S29" s="2"/>
      <c r="T29" s="2">
        <f>-191.74</f>
        <v>-191.74</v>
      </c>
      <c r="U29" s="2"/>
      <c r="V29" s="21"/>
      <c r="W29" s="2"/>
      <c r="X29" s="2">
        <f t="shared" si="2"/>
        <v>-76.759999999999991</v>
      </c>
      <c r="Y29" s="2"/>
      <c r="Z29" s="21">
        <f t="shared" si="3"/>
        <v>0.4003337853343068</v>
      </c>
    </row>
    <row r="30" spans="1:26" s="24" customFormat="1" hidden="1" outlineLevel="1" x14ac:dyDescent="0.25">
      <c r="A30" s="50"/>
      <c r="B30" s="11" t="str">
        <f>CONCATENATE("          ", "4341", " - ", "SALES RETURN NON TAXABLE-LOGO")</f>
        <v xml:space="preserve">          4341 - SALES RETURN NON TAXABLE-LOGO</v>
      </c>
      <c r="C30" s="11"/>
      <c r="D30" s="2">
        <f>-3.95</f>
        <v>-3.95</v>
      </c>
      <c r="E30" s="2"/>
      <c r="F30" s="21"/>
      <c r="G30" s="2"/>
      <c r="H30" s="2">
        <f>0</f>
        <v>0</v>
      </c>
      <c r="I30" s="2"/>
      <c r="J30" s="21"/>
      <c r="K30" s="2"/>
      <c r="L30" s="2">
        <f t="shared" si="0"/>
        <v>-3.95</v>
      </c>
      <c r="M30" s="2"/>
      <c r="N30" s="21">
        <f t="shared" si="1"/>
        <v>0</v>
      </c>
      <c r="O30" s="11"/>
      <c r="P30" s="2">
        <f>-3.95</f>
        <v>-3.95</v>
      </c>
      <c r="Q30" s="2"/>
      <c r="R30" s="21"/>
      <c r="S30" s="2"/>
      <c r="T30" s="2">
        <f>0</f>
        <v>0</v>
      </c>
      <c r="U30" s="2"/>
      <c r="V30" s="21"/>
      <c r="W30" s="2"/>
      <c r="X30" s="2">
        <f t="shared" si="2"/>
        <v>-3.95</v>
      </c>
      <c r="Y30" s="2"/>
      <c r="Z30" s="21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5" t="s">
        <v>8</v>
      </c>
      <c r="C32" s="10"/>
      <c r="D32" s="4">
        <f>SUM(OSRRefD16x_0)</f>
        <v>115676.49999999999</v>
      </c>
      <c r="E32" s="4"/>
      <c r="F32" s="12">
        <f t="shared" ref="F32:F46" si="4">IF(D$12=0,0,D32/D$12)</f>
        <v>0.45698328966024276</v>
      </c>
      <c r="G32" s="4"/>
      <c r="H32" s="4">
        <f>SUM(OSRRefH16x_0)</f>
        <v>108257.79</v>
      </c>
      <c r="I32" s="4"/>
      <c r="J32" s="12">
        <f t="shared" ref="J32:J46" si="5">IF(H$12=0,0,H32/H$12)</f>
        <v>0.46711720708777876</v>
      </c>
      <c r="K32" s="4"/>
      <c r="L32" s="4">
        <f t="shared" ref="L32:L46" si="6">+D32-H32</f>
        <v>7418.7099999999919</v>
      </c>
      <c r="M32" s="4"/>
      <c r="N32" s="12">
        <f t="shared" ref="N32:N46" si="7">IF(H32=0,0,L32/H32)</f>
        <v>6.8528186285716636E-2</v>
      </c>
      <c r="O32" s="10"/>
      <c r="P32" s="4">
        <f>SUM(OSRRefP16x_0)</f>
        <v>201523.28000000003</v>
      </c>
      <c r="Q32" s="4"/>
      <c r="R32" s="12">
        <f t="shared" ref="R32:R46" si="8">IF(P$12=0,0,P32/P$12)</f>
        <v>0.46457928756109212</v>
      </c>
      <c r="S32" s="4"/>
      <c r="T32" s="4">
        <f>SUM(OSRRefT16x_0)</f>
        <v>186079.13</v>
      </c>
      <c r="U32" s="4"/>
      <c r="V32" s="12">
        <f t="shared" ref="V32:V46" si="9">IF(T$12=0,0,T32/T$12)</f>
        <v>0.47411251521228515</v>
      </c>
      <c r="W32" s="4"/>
      <c r="X32" s="4">
        <f t="shared" ref="X32:X46" si="10">+P32-T32</f>
        <v>15444.150000000023</v>
      </c>
      <c r="Y32" s="4"/>
      <c r="Z32" s="12">
        <f t="shared" ref="Z32:Z46" si="11">IF(T32=0,0,X32/T32)</f>
        <v>8.2997754772391852E-2</v>
      </c>
    </row>
    <row r="33" spans="1:26" s="24" customFormat="1" hidden="1" outlineLevel="1" x14ac:dyDescent="0.25">
      <c r="A33" s="50"/>
      <c r="B33" s="11" t="str">
        <f>CONCATENATE("          ", "5040", " - ", "PURCHASES @ COST-LOGO CLOTHING")</f>
        <v xml:space="preserve">          5040 - PURCHASES @ COST-LOGO CLOTHING</v>
      </c>
      <c r="C33" s="11"/>
      <c r="D33" s="2">
        <v>73580.819999999992</v>
      </c>
      <c r="E33" s="2"/>
      <c r="F33" s="21">
        <f t="shared" si="4"/>
        <v>0.29068311350618475</v>
      </c>
      <c r="G33" s="2"/>
      <c r="H33" s="2">
        <v>65472.060000000005</v>
      </c>
      <c r="I33" s="2"/>
      <c r="J33" s="21">
        <f t="shared" si="5"/>
        <v>0.28250277240541749</v>
      </c>
      <c r="K33" s="2"/>
      <c r="L33" s="2">
        <f t="shared" si="6"/>
        <v>8108.7599999999875</v>
      </c>
      <c r="M33" s="2"/>
      <c r="N33" s="21">
        <f t="shared" si="7"/>
        <v>0.12385069295207737</v>
      </c>
      <c r="O33" s="11"/>
      <c r="P33" s="2">
        <v>127717.81</v>
      </c>
      <c r="Q33" s="2"/>
      <c r="R33" s="21">
        <f t="shared" si="8"/>
        <v>0.2944327284602698</v>
      </c>
      <c r="S33" s="2"/>
      <c r="T33" s="2">
        <v>125321.12</v>
      </c>
      <c r="U33" s="2"/>
      <c r="V33" s="21">
        <f t="shared" si="9"/>
        <v>0.31930669179515514</v>
      </c>
      <c r="W33" s="2"/>
      <c r="X33" s="2">
        <f t="shared" si="10"/>
        <v>2396.6900000000023</v>
      </c>
      <c r="Y33" s="2"/>
      <c r="Z33" s="21">
        <f t="shared" si="11"/>
        <v>1.9124390206535041E-2</v>
      </c>
    </row>
    <row r="34" spans="1:26" s="24" customFormat="1" hidden="1" outlineLevel="1" x14ac:dyDescent="0.25">
      <c r="A34" s="50"/>
      <c r="B34" s="11" t="str">
        <f>CONCATENATE("          ", "5041", " - ", "PURCHASES @ COST-LOGO GIFTS")</f>
        <v xml:space="preserve">          5041 - PURCHASES @ COST-LOGO GIFTS</v>
      </c>
      <c r="C34" s="11"/>
      <c r="D34" s="2">
        <v>13295.03</v>
      </c>
      <c r="E34" s="2"/>
      <c r="F34" s="21">
        <f t="shared" si="4"/>
        <v>5.2522392582171992E-2</v>
      </c>
      <c r="G34" s="2"/>
      <c r="H34" s="2">
        <v>13876.91</v>
      </c>
      <c r="I34" s="2"/>
      <c r="J34" s="21">
        <f t="shared" si="5"/>
        <v>5.9876923796508948E-2</v>
      </c>
      <c r="K34" s="2"/>
      <c r="L34" s="2">
        <f t="shared" si="6"/>
        <v>-581.8799999999992</v>
      </c>
      <c r="M34" s="2"/>
      <c r="N34" s="21">
        <f t="shared" si="7"/>
        <v>-4.1931525101769715E-2</v>
      </c>
      <c r="O34" s="11"/>
      <c r="P34" s="2">
        <v>20062.54</v>
      </c>
      <c r="Q34" s="2"/>
      <c r="R34" s="21">
        <f t="shared" si="8"/>
        <v>4.6250937062288347E-2</v>
      </c>
      <c r="S34" s="2"/>
      <c r="T34" s="2">
        <v>33937.310000000005</v>
      </c>
      <c r="U34" s="2"/>
      <c r="V34" s="21">
        <f t="shared" si="9"/>
        <v>8.6469145699676467E-2</v>
      </c>
      <c r="W34" s="2"/>
      <c r="X34" s="2">
        <f t="shared" si="10"/>
        <v>-13874.770000000004</v>
      </c>
      <c r="Y34" s="2"/>
      <c r="Z34" s="21">
        <f t="shared" si="11"/>
        <v>-0.4088352907169131</v>
      </c>
    </row>
    <row r="35" spans="1:26" s="24" customFormat="1" hidden="1" outlineLevel="1" x14ac:dyDescent="0.25">
      <c r="A35" s="50"/>
      <c r="B35" s="11" t="str">
        <f>CONCATENATE("          ", "5042", " - ", "PURCHASES @ COST-EVERYDAY GIFT")</f>
        <v xml:space="preserve">          5042 - PURCHASES @ COST-EVERYDAY GIFT</v>
      </c>
      <c r="C35" s="11"/>
      <c r="D35" s="2">
        <v>12210.66</v>
      </c>
      <c r="E35" s="2"/>
      <c r="F35" s="21">
        <f t="shared" si="4"/>
        <v>4.8238558183578688E-2</v>
      </c>
      <c r="G35" s="2"/>
      <c r="H35" s="2">
        <v>16779.009999999998</v>
      </c>
      <c r="I35" s="2"/>
      <c r="J35" s="21">
        <f t="shared" si="5"/>
        <v>7.2399078984504581E-2</v>
      </c>
      <c r="K35" s="2"/>
      <c r="L35" s="2">
        <f t="shared" si="6"/>
        <v>-4568.3499999999985</v>
      </c>
      <c r="M35" s="2"/>
      <c r="N35" s="21">
        <f t="shared" si="7"/>
        <v>-0.27226576538186692</v>
      </c>
      <c r="O35" s="11"/>
      <c r="P35" s="2">
        <v>17343.7</v>
      </c>
      <c r="Q35" s="2"/>
      <c r="R35" s="21">
        <f t="shared" si="8"/>
        <v>3.9983091728525419E-2</v>
      </c>
      <c r="S35" s="2"/>
      <c r="T35" s="2">
        <v>20112.25</v>
      </c>
      <c r="U35" s="2"/>
      <c r="V35" s="21">
        <f t="shared" si="9"/>
        <v>5.1244163889192097E-2</v>
      </c>
      <c r="W35" s="2"/>
      <c r="X35" s="2">
        <f t="shared" si="10"/>
        <v>-2768.5499999999993</v>
      </c>
      <c r="Y35" s="2"/>
      <c r="Z35" s="21">
        <f t="shared" si="11"/>
        <v>-0.13765491180748049</v>
      </c>
    </row>
    <row r="36" spans="1:26" s="24" customFormat="1" hidden="1" outlineLevel="1" x14ac:dyDescent="0.25">
      <c r="A36" s="50"/>
      <c r="B36" s="11" t="str">
        <f>CONCATENATE("          ", "5043", " - ", "PURCHASES @ COST-CARDS")</f>
        <v xml:space="preserve">          5043 - PURCHASES @ COST-CARDS</v>
      </c>
      <c r="C36" s="11"/>
      <c r="D36" s="2">
        <v>15.24</v>
      </c>
      <c r="E36" s="2"/>
      <c r="F36" s="21">
        <f t="shared" si="4"/>
        <v>6.0206051656318267E-5</v>
      </c>
      <c r="G36" s="2"/>
      <c r="H36" s="2">
        <v>-6.92</v>
      </c>
      <c r="I36" s="2"/>
      <c r="J36" s="21">
        <f t="shared" si="5"/>
        <v>-2.9858831157068966E-5</v>
      </c>
      <c r="K36" s="2"/>
      <c r="L36" s="2">
        <f t="shared" si="6"/>
        <v>22.16</v>
      </c>
      <c r="M36" s="2"/>
      <c r="N36" s="21">
        <f t="shared" si="7"/>
        <v>-3.2023121387283235</v>
      </c>
      <c r="O36" s="11"/>
      <c r="P36" s="2">
        <v>513.5</v>
      </c>
      <c r="Q36" s="2"/>
      <c r="R36" s="21">
        <f t="shared" si="8"/>
        <v>1.1837910943223074E-3</v>
      </c>
      <c r="S36" s="2"/>
      <c r="T36" s="2">
        <v>463.81</v>
      </c>
      <c r="U36" s="2"/>
      <c r="V36" s="21">
        <f t="shared" si="9"/>
        <v>1.1817452375266907E-3</v>
      </c>
      <c r="W36" s="2"/>
      <c r="X36" s="2">
        <f t="shared" si="10"/>
        <v>49.69</v>
      </c>
      <c r="Y36" s="2"/>
      <c r="Z36" s="21">
        <f t="shared" si="11"/>
        <v>0.10713438692568077</v>
      </c>
    </row>
    <row r="37" spans="1:26" s="24" customFormat="1" hidden="1" outlineLevel="1" x14ac:dyDescent="0.25">
      <c r="A37" s="50"/>
      <c r="B37" s="11" t="str">
        <f>CONCATENATE("          ", "5044", " - ", "PURCHASES @ COST-ACCESSORIES")</f>
        <v xml:space="preserve">          5044 - PURCHASES @ COST-ACCESSORIES</v>
      </c>
      <c r="C37" s="11"/>
      <c r="D37" s="2">
        <v>12089.9</v>
      </c>
      <c r="E37" s="2"/>
      <c r="F37" s="21">
        <f t="shared" si="4"/>
        <v>4.7761492383183869E-2</v>
      </c>
      <c r="G37" s="2"/>
      <c r="H37" s="2">
        <v>424.14</v>
      </c>
      <c r="I37" s="2"/>
      <c r="J37" s="21">
        <f t="shared" si="5"/>
        <v>1.8301047177686752E-3</v>
      </c>
      <c r="K37" s="2"/>
      <c r="L37" s="2">
        <f t="shared" si="6"/>
        <v>11665.76</v>
      </c>
      <c r="M37" s="2"/>
      <c r="N37" s="21">
        <f t="shared" si="7"/>
        <v>27.504503230065545</v>
      </c>
      <c r="O37" s="11"/>
      <c r="P37" s="2">
        <v>16594.79</v>
      </c>
      <c r="Q37" s="2"/>
      <c r="R37" s="21">
        <f t="shared" si="8"/>
        <v>3.825660100126365E-2</v>
      </c>
      <c r="S37" s="2"/>
      <c r="T37" s="2">
        <v>5486.19</v>
      </c>
      <c r="U37" s="2"/>
      <c r="V37" s="21">
        <f t="shared" si="9"/>
        <v>1.3978307722271091E-2</v>
      </c>
      <c r="W37" s="2"/>
      <c r="X37" s="2">
        <f t="shared" si="10"/>
        <v>11108.600000000002</v>
      </c>
      <c r="Y37" s="2"/>
      <c r="Z37" s="21">
        <f t="shared" si="11"/>
        <v>2.024829617639929</v>
      </c>
    </row>
    <row r="38" spans="1:26" s="24" customFormat="1" hidden="1" outlineLevel="1" x14ac:dyDescent="0.25">
      <c r="A38" s="50"/>
      <c r="B38" s="11" t="str">
        <f>CONCATENATE("          ", "5045", " - ", "PURCHASES @ COST-SPECIAL ORDER")</f>
        <v xml:space="preserve">          5045 - PURCHASES @ COST-SPECIAL ORDER</v>
      </c>
      <c r="C38" s="11"/>
      <c r="D38" s="2">
        <v>3898.78</v>
      </c>
      <c r="E38" s="2"/>
      <c r="F38" s="21">
        <f t="shared" si="4"/>
        <v>1.5402240818675889E-2</v>
      </c>
      <c r="G38" s="2"/>
      <c r="H38" s="2">
        <v>11242.49</v>
      </c>
      <c r="I38" s="2"/>
      <c r="J38" s="21">
        <f t="shared" si="5"/>
        <v>4.8509770331652644E-2</v>
      </c>
      <c r="K38" s="2"/>
      <c r="L38" s="2">
        <f t="shared" si="6"/>
        <v>-7343.7099999999991</v>
      </c>
      <c r="M38" s="2"/>
      <c r="N38" s="21">
        <f t="shared" si="7"/>
        <v>-0.65321027637115969</v>
      </c>
      <c r="O38" s="11"/>
      <c r="P38" s="2">
        <v>19846.63</v>
      </c>
      <c r="Q38" s="2"/>
      <c r="R38" s="21">
        <f t="shared" si="8"/>
        <v>4.5753191521538339E-2</v>
      </c>
      <c r="S38" s="2"/>
      <c r="T38" s="2">
        <v>29907.05</v>
      </c>
      <c r="U38" s="2"/>
      <c r="V38" s="21">
        <f t="shared" si="9"/>
        <v>7.620041375988576E-2</v>
      </c>
      <c r="W38" s="2"/>
      <c r="X38" s="2">
        <f t="shared" si="10"/>
        <v>-10060.419999999998</v>
      </c>
      <c r="Y38" s="2"/>
      <c r="Z38" s="21">
        <f t="shared" si="11"/>
        <v>-0.33638958038322064</v>
      </c>
    </row>
    <row r="39" spans="1:26" s="24" customFormat="1" hidden="1" outlineLevel="1" x14ac:dyDescent="0.25">
      <c r="A39" s="50"/>
      <c r="B39" s="11" t="str">
        <f>CONCATENATE("          ", "5200", " - ", "PURCHASES OFFSET")</f>
        <v xml:space="preserve">          5200 - PURCHASES OFFSET</v>
      </c>
      <c r="C39" s="11"/>
      <c r="D39" s="2">
        <v>-117616</v>
      </c>
      <c r="E39" s="2"/>
      <c r="F39" s="21">
        <f t="shared" si="4"/>
        <v>-0.46464533934445734</v>
      </c>
      <c r="G39" s="2"/>
      <c r="H39" s="2">
        <v>-111459</v>
      </c>
      <c r="I39" s="2"/>
      <c r="J39" s="21">
        <f t="shared" si="5"/>
        <v>-0.48092998004851878</v>
      </c>
      <c r="K39" s="2"/>
      <c r="L39" s="2">
        <f t="shared" si="6"/>
        <v>-6157</v>
      </c>
      <c r="M39" s="2"/>
      <c r="N39" s="21">
        <f t="shared" si="7"/>
        <v>5.5240043424039334E-2</v>
      </c>
      <c r="O39" s="11"/>
      <c r="P39" s="2">
        <v>-205588</v>
      </c>
      <c r="Q39" s="2"/>
      <c r="R39" s="21">
        <f t="shared" si="8"/>
        <v>-0.47394984128439055</v>
      </c>
      <c r="S39" s="2"/>
      <c r="T39" s="2">
        <v>-221109</v>
      </c>
      <c r="U39" s="2"/>
      <c r="V39" s="21">
        <f t="shared" si="9"/>
        <v>-0.56336540334250895</v>
      </c>
      <c r="W39" s="2"/>
      <c r="X39" s="2">
        <f t="shared" si="10"/>
        <v>15521</v>
      </c>
      <c r="Y39" s="2"/>
      <c r="Z39" s="21">
        <f t="shared" si="11"/>
        <v>-7.0196147601409256E-2</v>
      </c>
    </row>
    <row r="40" spans="1:26" s="24" customFormat="1" hidden="1" outlineLevel="1" x14ac:dyDescent="0.25">
      <c r="A40" s="50"/>
      <c r="B40" s="11" t="str">
        <f>CONCATENATE("          ", "5300", " - ", "COG$ OFFSET")</f>
        <v xml:space="preserve">          5300 - COG$ OFFSET</v>
      </c>
      <c r="C40" s="11"/>
      <c r="D40" s="2">
        <v>115678</v>
      </c>
      <c r="E40" s="2"/>
      <c r="F40" s="21">
        <f t="shared" si="4"/>
        <v>0.45698921545272864</v>
      </c>
      <c r="G40" s="2"/>
      <c r="H40" s="2">
        <v>108258</v>
      </c>
      <c r="I40" s="2"/>
      <c r="J40" s="21">
        <f t="shared" si="5"/>
        <v>0.46711811320837748</v>
      </c>
      <c r="K40" s="2"/>
      <c r="L40" s="2">
        <f t="shared" si="6"/>
        <v>7420</v>
      </c>
      <c r="M40" s="2"/>
      <c r="N40" s="21">
        <f t="shared" si="7"/>
        <v>6.8539969332520462E-2</v>
      </c>
      <c r="O40" s="11"/>
      <c r="P40" s="2">
        <v>201525</v>
      </c>
      <c r="Q40" s="2"/>
      <c r="R40" s="21">
        <f t="shared" si="8"/>
        <v>0.46458325274255696</v>
      </c>
      <c r="S40" s="2"/>
      <c r="T40" s="2">
        <v>186080</v>
      </c>
      <c r="U40" s="2"/>
      <c r="V40" s="21">
        <f t="shared" si="9"/>
        <v>0.47411473189229775</v>
      </c>
      <c r="W40" s="2"/>
      <c r="X40" s="2">
        <f t="shared" si="10"/>
        <v>15445</v>
      </c>
      <c r="Y40" s="2"/>
      <c r="Z40" s="21">
        <f t="shared" si="11"/>
        <v>8.3001934651762685E-2</v>
      </c>
    </row>
    <row r="41" spans="1:26" s="24" customFormat="1" hidden="1" outlineLevel="1" x14ac:dyDescent="0.25">
      <c r="A41" s="50"/>
      <c r="B41" s="11" t="str">
        <f>CONCATENATE("          ", "5540", " - ", "FREIGHT-IN-LOGO CLOTHING")</f>
        <v xml:space="preserve">          5540 - FREIGHT-IN-LOGO CLOTHING</v>
      </c>
      <c r="C41" s="11"/>
      <c r="D41" s="2">
        <v>1936.72</v>
      </c>
      <c r="E41" s="2"/>
      <c r="F41" s="21">
        <f t="shared" si="4"/>
        <v>7.6510672154740632E-3</v>
      </c>
      <c r="G41" s="2"/>
      <c r="H41" s="2">
        <v>1818.66</v>
      </c>
      <c r="I41" s="2"/>
      <c r="J41" s="21">
        <f t="shared" si="5"/>
        <v>7.8472632763172036E-3</v>
      </c>
      <c r="K41" s="2"/>
      <c r="L41" s="2">
        <f t="shared" si="6"/>
        <v>118.05999999999995</v>
      </c>
      <c r="M41" s="2"/>
      <c r="N41" s="21">
        <f t="shared" si="7"/>
        <v>6.4915927111169724E-2</v>
      </c>
      <c r="O41" s="11"/>
      <c r="P41" s="2">
        <v>2331.94</v>
      </c>
      <c r="Q41" s="2"/>
      <c r="R41" s="21">
        <f t="shared" si="8"/>
        <v>5.3759100379629247E-3</v>
      </c>
      <c r="S41" s="2"/>
      <c r="T41" s="2">
        <v>2908.19</v>
      </c>
      <c r="U41" s="2"/>
      <c r="V41" s="21">
        <f t="shared" si="9"/>
        <v>7.4098007423788765E-3</v>
      </c>
      <c r="W41" s="2"/>
      <c r="X41" s="2">
        <f t="shared" si="10"/>
        <v>-576.25</v>
      </c>
      <c r="Y41" s="2"/>
      <c r="Z41" s="21">
        <f t="shared" si="11"/>
        <v>-0.1981473012423535</v>
      </c>
    </row>
    <row r="42" spans="1:26" s="24" customFormat="1" hidden="1" outlineLevel="1" x14ac:dyDescent="0.25">
      <c r="A42" s="50"/>
      <c r="B42" s="11" t="str">
        <f>CONCATENATE("          ", "5541", " - ", "FREIGHT-IN-LOGO GIFTS")</f>
        <v xml:space="preserve">          5541 - FREIGHT-IN-LOGO GIFTS</v>
      </c>
      <c r="C42" s="11"/>
      <c r="D42" s="2">
        <v>405.92</v>
      </c>
      <c r="E42" s="2"/>
      <c r="F42" s="21">
        <f t="shared" si="4"/>
        <v>1.6035984572396794E-3</v>
      </c>
      <c r="G42" s="2"/>
      <c r="H42" s="2">
        <v>456.13</v>
      </c>
      <c r="I42" s="2"/>
      <c r="J42" s="21">
        <f t="shared" si="5"/>
        <v>1.9681370889702123E-3</v>
      </c>
      <c r="K42" s="2"/>
      <c r="L42" s="2">
        <f t="shared" si="6"/>
        <v>-50.20999999999998</v>
      </c>
      <c r="M42" s="2"/>
      <c r="N42" s="21">
        <f t="shared" si="7"/>
        <v>-0.11007826716067784</v>
      </c>
      <c r="O42" s="11"/>
      <c r="P42" s="2">
        <v>720.41</v>
      </c>
      <c r="Q42" s="2"/>
      <c r="R42" s="21">
        <f t="shared" si="8"/>
        <v>1.6607885925233369E-3</v>
      </c>
      <c r="S42" s="2"/>
      <c r="T42" s="2">
        <v>1241.53</v>
      </c>
      <c r="U42" s="2"/>
      <c r="V42" s="21">
        <f t="shared" si="9"/>
        <v>3.1633042943155867E-3</v>
      </c>
      <c r="W42" s="2"/>
      <c r="X42" s="2">
        <f t="shared" si="10"/>
        <v>-521.12</v>
      </c>
      <c r="Y42" s="2"/>
      <c r="Z42" s="21">
        <f t="shared" si="11"/>
        <v>-0.41974015931954928</v>
      </c>
    </row>
    <row r="43" spans="1:26" s="24" customFormat="1" hidden="1" outlineLevel="1" x14ac:dyDescent="0.25">
      <c r="A43" s="50"/>
      <c r="B43" s="11" t="str">
        <f>CONCATENATE("          ", "5542", " - ", "FREIGHT-IN-EVERYDAY GIFTS")</f>
        <v xml:space="preserve">          5542 - FREIGHT-IN-EVERYDAY GIFTS</v>
      </c>
      <c r="C43" s="11"/>
      <c r="D43" s="2">
        <v>83.05</v>
      </c>
      <c r="E43" s="2"/>
      <c r="F43" s="21">
        <f t="shared" si="4"/>
        <v>3.2809137730034328E-4</v>
      </c>
      <c r="G43" s="2"/>
      <c r="H43" s="2">
        <v>422.79</v>
      </c>
      <c r="I43" s="2"/>
      <c r="J43" s="21">
        <f t="shared" si="5"/>
        <v>1.8242796567770505E-3</v>
      </c>
      <c r="K43" s="2"/>
      <c r="L43" s="2">
        <f t="shared" si="6"/>
        <v>-339.74</v>
      </c>
      <c r="M43" s="2"/>
      <c r="N43" s="21">
        <f t="shared" si="7"/>
        <v>-0.8035667825634476</v>
      </c>
      <c r="O43" s="11"/>
      <c r="P43" s="2">
        <v>112.77</v>
      </c>
      <c r="Q43" s="2"/>
      <c r="R43" s="21">
        <f t="shared" si="8"/>
        <v>2.5997297313870809E-4</v>
      </c>
      <c r="S43" s="2"/>
      <c r="T43" s="2">
        <v>422.79</v>
      </c>
      <c r="U43" s="2"/>
      <c r="V43" s="21">
        <f t="shared" si="9"/>
        <v>1.0772300488862026E-3</v>
      </c>
      <c r="W43" s="2"/>
      <c r="X43" s="2">
        <f t="shared" si="10"/>
        <v>-310.02000000000004</v>
      </c>
      <c r="Y43" s="2"/>
      <c r="Z43" s="21">
        <f t="shared" si="11"/>
        <v>-0.73327183708223942</v>
      </c>
    </row>
    <row r="44" spans="1:26" s="24" customFormat="1" hidden="1" outlineLevel="1" x14ac:dyDescent="0.25">
      <c r="A44" s="50"/>
      <c r="B44" s="11" t="str">
        <f>CONCATENATE("          ", "5543", " - ", "FREIGHT-IN-CARDS")</f>
        <v xml:space="preserve">          5543 - FREIGHT-IN-CARDS</v>
      </c>
      <c r="C44" s="11"/>
      <c r="D44" s="2">
        <v>4.58</v>
      </c>
      <c r="E44" s="2"/>
      <c r="F44" s="21">
        <f t="shared" si="4"/>
        <v>1.8093419723486725E-5</v>
      </c>
      <c r="G44" s="2"/>
      <c r="H44" s="2"/>
      <c r="I44" s="2"/>
      <c r="J44" s="21">
        <f t="shared" si="5"/>
        <v>0</v>
      </c>
      <c r="K44" s="2"/>
      <c r="L44" s="2">
        <f t="shared" si="6"/>
        <v>4.58</v>
      </c>
      <c r="M44" s="2"/>
      <c r="N44" s="21">
        <f t="shared" si="7"/>
        <v>0</v>
      </c>
      <c r="O44" s="11"/>
      <c r="P44" s="2">
        <v>4.58</v>
      </c>
      <c r="Q44" s="2"/>
      <c r="R44" s="21">
        <f t="shared" si="8"/>
        <v>1.0558448319369363E-5</v>
      </c>
      <c r="S44" s="2"/>
      <c r="T44" s="2"/>
      <c r="U44" s="2"/>
      <c r="V44" s="21">
        <f t="shared" si="9"/>
        <v>0</v>
      </c>
      <c r="W44" s="2"/>
      <c r="X44" s="2">
        <f t="shared" si="10"/>
        <v>4.58</v>
      </c>
      <c r="Y44" s="2"/>
      <c r="Z44" s="21">
        <f t="shared" si="11"/>
        <v>0</v>
      </c>
    </row>
    <row r="45" spans="1:26" s="24" customFormat="1" hidden="1" outlineLevel="1" x14ac:dyDescent="0.25">
      <c r="A45" s="50"/>
      <c r="B45" s="11" t="str">
        <f>CONCATENATE("          ", "5544", " - ", "FREIGHT-IN-ACCESSORIES")</f>
        <v xml:space="preserve">          5544 - FREIGHT-IN-ACCESSORIES</v>
      </c>
      <c r="C45" s="11"/>
      <c r="D45" s="2">
        <v>84.93</v>
      </c>
      <c r="E45" s="2"/>
      <c r="F45" s="21">
        <f t="shared" si="4"/>
        <v>3.3551837054928552E-4</v>
      </c>
      <c r="G45" s="2"/>
      <c r="H45" s="2">
        <v>123.59</v>
      </c>
      <c r="I45" s="2"/>
      <c r="J45" s="21">
        <f t="shared" si="5"/>
        <v>5.3327354663325918E-4</v>
      </c>
      <c r="K45" s="2"/>
      <c r="L45" s="2">
        <f t="shared" si="6"/>
        <v>-38.659999999999997</v>
      </c>
      <c r="M45" s="2"/>
      <c r="N45" s="21">
        <f t="shared" si="7"/>
        <v>-0.31280847965045711</v>
      </c>
      <c r="O45" s="11"/>
      <c r="P45" s="2">
        <v>101.66</v>
      </c>
      <c r="Q45" s="2"/>
      <c r="R45" s="21">
        <f t="shared" si="8"/>
        <v>2.3436066728102389E-4</v>
      </c>
      <c r="S45" s="2"/>
      <c r="T45" s="2">
        <v>152.85</v>
      </c>
      <c r="U45" s="2"/>
      <c r="V45" s="21">
        <f t="shared" si="9"/>
        <v>3.8944774704287245E-4</v>
      </c>
      <c r="W45" s="2"/>
      <c r="X45" s="2">
        <f t="shared" si="10"/>
        <v>-51.19</v>
      </c>
      <c r="Y45" s="2"/>
      <c r="Z45" s="21">
        <f t="shared" si="11"/>
        <v>-0.33490350016355902</v>
      </c>
    </row>
    <row r="46" spans="1:26" s="24" customFormat="1" hidden="1" outlineLevel="1" x14ac:dyDescent="0.25">
      <c r="A46" s="50"/>
      <c r="B46" s="11" t="str">
        <f>CONCATENATE("          ", "5545", " - ", "FREIGHT-IN-SPECIAL ORDERS")</f>
        <v xml:space="preserve">          5545 - FREIGHT-IN-SPECIAL ORDERS</v>
      </c>
      <c r="C46" s="11"/>
      <c r="D46" s="2">
        <v>8.8699999999999992</v>
      </c>
      <c r="E46" s="2"/>
      <c r="F46" s="21">
        <f t="shared" si="4"/>
        <v>3.5041186233040882E-5</v>
      </c>
      <c r="G46" s="2"/>
      <c r="H46" s="2">
        <v>849.93</v>
      </c>
      <c r="I46" s="2"/>
      <c r="J46" s="21">
        <f t="shared" si="5"/>
        <v>3.6673289545271137E-3</v>
      </c>
      <c r="K46" s="2"/>
      <c r="L46" s="2">
        <f t="shared" si="6"/>
        <v>-841.06</v>
      </c>
      <c r="M46" s="2"/>
      <c r="N46" s="21">
        <f t="shared" si="7"/>
        <v>-0.9895638464344122</v>
      </c>
      <c r="O46" s="11"/>
      <c r="P46" s="2">
        <v>235.95</v>
      </c>
      <c r="Q46" s="2"/>
      <c r="R46" s="21">
        <f t="shared" si="8"/>
        <v>5.43944515492402E-4</v>
      </c>
      <c r="S46" s="2"/>
      <c r="T46" s="2">
        <v>1155.04</v>
      </c>
      <c r="U46" s="2"/>
      <c r="V46" s="21">
        <f t="shared" si="9"/>
        <v>2.9429357261655177E-3</v>
      </c>
      <c r="W46" s="2"/>
      <c r="X46" s="2">
        <f t="shared" si="10"/>
        <v>-919.08999999999992</v>
      </c>
      <c r="Y46" s="2"/>
      <c r="Z46" s="21">
        <f t="shared" si="11"/>
        <v>-0.79572136029921037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6" t="s">
        <v>6</v>
      </c>
      <c r="C48" s="26"/>
      <c r="D48" s="20">
        <f>D12-D32</f>
        <v>137454.19999999995</v>
      </c>
      <c r="E48" s="13"/>
      <c r="F48" s="19">
        <f>IF(D$12=0,0,D48/D$12)</f>
        <v>0.54301671033975718</v>
      </c>
      <c r="G48" s="13"/>
      <c r="H48" s="20">
        <f>H12-H32</f>
        <v>123499.44000000005</v>
      </c>
      <c r="I48" s="13"/>
      <c r="J48" s="19">
        <f>IF(H$12=0,0,H48/H$12)</f>
        <v>0.53288279291222118</v>
      </c>
      <c r="K48" s="15"/>
      <c r="L48" s="20">
        <f>+D48-H48</f>
        <v>13954.759999999907</v>
      </c>
      <c r="M48" s="15"/>
      <c r="N48" s="19">
        <f>IF(H48=0,0,L48/H48)</f>
        <v>0.11299452046098267</v>
      </c>
      <c r="O48" s="25"/>
      <c r="P48" s="20">
        <f>P12-P32</f>
        <v>232252.57999999996</v>
      </c>
      <c r="Q48" s="13"/>
      <c r="R48" s="19">
        <f>IF(P$12=0,0,P48/P$12)</f>
        <v>0.53542071243890788</v>
      </c>
      <c r="S48" s="13"/>
      <c r="T48" s="20">
        <f>T12-T32</f>
        <v>206399.70999999996</v>
      </c>
      <c r="U48" s="13"/>
      <c r="V48" s="19">
        <f>IF(T$12=0,0,T48/T$12)</f>
        <v>0.52588748478771485</v>
      </c>
      <c r="W48" s="15"/>
      <c r="X48" s="20">
        <f>+P48-T48</f>
        <v>25852.869999999995</v>
      </c>
      <c r="Y48" s="15"/>
      <c r="Z48" s="19">
        <f>IF(T48=0,0,X48/T48)</f>
        <v>0.12525632909077247</v>
      </c>
    </row>
    <row r="49" spans="1:26" x14ac:dyDescent="0.25">
      <c r="A49" s="9"/>
      <c r="B49" s="10"/>
      <c r="C49" s="9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7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25">
      <c r="A50" s="10"/>
      <c r="B50" s="25" t="s">
        <v>9</v>
      </c>
      <c r="C50" s="10"/>
      <c r="D50" s="22">
        <f>SUM(OSRRefD22x_0)</f>
        <v>50269.74</v>
      </c>
      <c r="E50" s="22"/>
      <c r="F50" s="33">
        <f t="shared" ref="F50:F59" si="12">IF(D$12=0,0,D50/D$12)</f>
        <v>0.19859203170536013</v>
      </c>
      <c r="G50" s="22"/>
      <c r="H50" s="22">
        <f>SUM(OSRRefH22x_0)</f>
        <v>42647.749999999993</v>
      </c>
      <c r="I50" s="22"/>
      <c r="J50" s="33">
        <f t="shared" ref="J50:J59" si="13">IF(H$12=0,0,H50/H$12)</f>
        <v>0.18401907030041731</v>
      </c>
      <c r="K50" s="4"/>
      <c r="L50" s="22">
        <f t="shared" ref="L50:L59" si="14">+D50-H50</f>
        <v>7621.9900000000052</v>
      </c>
      <c r="M50" s="4"/>
      <c r="N50" s="33">
        <f t="shared" ref="N50:N59" si="15">IF(H50=0,0,L50/H50)</f>
        <v>0.17871962764741414</v>
      </c>
      <c r="O50" s="10"/>
      <c r="P50" s="22">
        <f>SUM(OSRRefP22x_0)</f>
        <v>107002.96000000002</v>
      </c>
      <c r="Q50" s="22"/>
      <c r="R50" s="33">
        <f t="shared" ref="R50:R59" si="16">IF(P$12=0,0,P50/P$12)</f>
        <v>0.24667799632741211</v>
      </c>
      <c r="S50" s="22"/>
      <c r="T50" s="22">
        <f>SUM(OSRRefT22x_0)</f>
        <v>89182.36</v>
      </c>
      <c r="U50" s="22"/>
      <c r="V50" s="33">
        <f t="shared" ref="V50:V59" si="17">IF(T$12=0,0,T50/T$12)</f>
        <v>0.22722845389575655</v>
      </c>
      <c r="W50" s="4"/>
      <c r="X50" s="22">
        <f t="shared" ref="X50:X59" si="18">+P50-T50</f>
        <v>17820.60000000002</v>
      </c>
      <c r="Y50" s="4"/>
      <c r="Z50" s="33">
        <f t="shared" ref="Z50:Z59" si="19">IF(T50=0,0,X50/T50)</f>
        <v>0.19982202758482753</v>
      </c>
    </row>
    <row r="51" spans="1:26" s="27" customFormat="1" outlineLevel="1" collapsed="1" x14ac:dyDescent="0.25">
      <c r="A51" s="28"/>
      <c r="B51" s="14" t="str">
        <f>CONCATENATE("     ","*Benefits                                         ")</f>
        <v xml:space="preserve">     *Benefits                                         </v>
      </c>
      <c r="C51" s="14"/>
      <c r="D51" s="1">
        <f>SUM(OSRRefD22_0x_0)</f>
        <v>5904.8899999999994</v>
      </c>
      <c r="E51" s="1"/>
      <c r="F51" s="5">
        <f t="shared" si="12"/>
        <v>2.3327435194545745E-2</v>
      </c>
      <c r="G51" s="1"/>
      <c r="H51" s="1">
        <f>SUM(OSRRefH22_0x_0)</f>
        <v>5149.55</v>
      </c>
      <c r="I51" s="1"/>
      <c r="J51" s="5">
        <f t="shared" si="13"/>
        <v>2.2219587281052673E-2</v>
      </c>
      <c r="K51" s="1"/>
      <c r="L51" s="1">
        <f t="shared" si="14"/>
        <v>755.33999999999924</v>
      </c>
      <c r="M51" s="1"/>
      <c r="N51" s="5">
        <f t="shared" si="15"/>
        <v>0.14668077793205217</v>
      </c>
      <c r="O51" s="14"/>
      <c r="P51" s="1">
        <f>SUM(OSRRefP22_0x_0)</f>
        <v>14523.439999999999</v>
      </c>
      <c r="Q51" s="1"/>
      <c r="R51" s="5">
        <f t="shared" si="16"/>
        <v>3.348143900861611E-2</v>
      </c>
      <c r="S51" s="1"/>
      <c r="T51" s="1">
        <f>SUM(OSRRefT22_0x_0)</f>
        <v>10938.42</v>
      </c>
      <c r="U51" s="1"/>
      <c r="V51" s="5">
        <f t="shared" si="17"/>
        <v>2.7870088486808615E-2</v>
      </c>
      <c r="W51" s="1"/>
      <c r="X51" s="1">
        <f t="shared" si="18"/>
        <v>3585.0199999999986</v>
      </c>
      <c r="Y51" s="1"/>
      <c r="Z51" s="5">
        <f t="shared" si="19"/>
        <v>0.32774568904832679</v>
      </c>
    </row>
    <row r="52" spans="1:26" s="24" customFormat="1" hidden="1" outlineLevel="2" x14ac:dyDescent="0.25">
      <c r="A52" s="29"/>
      <c r="B52" s="11" t="str">
        <f>CONCATENATE("          ", "6111", " - ", "F.I.C.A.")</f>
        <v xml:space="preserve">          6111 - F.I.C.A.</v>
      </c>
      <c r="C52" s="11"/>
      <c r="D52" s="7">
        <v>1775.23</v>
      </c>
      <c r="E52" s="2"/>
      <c r="F52" s="6">
        <f t="shared" si="12"/>
        <v>7.0130963964465803E-3</v>
      </c>
      <c r="G52" s="2"/>
      <c r="H52" s="7">
        <v>1411.25</v>
      </c>
      <c r="I52" s="2"/>
      <c r="J52" s="6">
        <f t="shared" si="13"/>
        <v>6.0893461662447374E-3</v>
      </c>
      <c r="K52" s="2"/>
      <c r="L52" s="7">
        <f t="shared" si="14"/>
        <v>363.98</v>
      </c>
      <c r="M52" s="2"/>
      <c r="N52" s="6">
        <f t="shared" si="15"/>
        <v>0.25791319751992914</v>
      </c>
      <c r="O52" s="11"/>
      <c r="P52" s="7">
        <v>3397.81</v>
      </c>
      <c r="Q52" s="2"/>
      <c r="R52" s="6">
        <f t="shared" si="16"/>
        <v>7.8331007170385179E-3</v>
      </c>
      <c r="S52" s="2"/>
      <c r="T52" s="7">
        <v>2673.11</v>
      </c>
      <c r="U52" s="2"/>
      <c r="V52" s="6">
        <f t="shared" si="17"/>
        <v>6.8108385155235384E-3</v>
      </c>
      <c r="W52" s="2"/>
      <c r="X52" s="7">
        <f t="shared" si="18"/>
        <v>724.69999999999982</v>
      </c>
      <c r="Y52" s="2"/>
      <c r="Z52" s="6">
        <f t="shared" si="19"/>
        <v>0.27110743665617942</v>
      </c>
    </row>
    <row r="53" spans="1:26" s="24" customFormat="1" hidden="1" outlineLevel="2" x14ac:dyDescent="0.25">
      <c r="A53" s="29"/>
      <c r="B53" s="11" t="str">
        <f>CONCATENATE("          ", "6112", " - ", "COMPENSATION INSURANCE")</f>
        <v xml:space="preserve">          6112 - COMPENSATION INSURANCE</v>
      </c>
      <c r="C53" s="11"/>
      <c r="D53" s="7">
        <v>525.63</v>
      </c>
      <c r="E53" s="2"/>
      <c r="F53" s="6">
        <f t="shared" si="12"/>
        <v>2.0765162028943945E-3</v>
      </c>
      <c r="G53" s="2"/>
      <c r="H53" s="7">
        <v>231.24</v>
      </c>
      <c r="I53" s="2"/>
      <c r="J53" s="6">
        <f t="shared" si="13"/>
        <v>9.9776822496540872E-4</v>
      </c>
      <c r="K53" s="2"/>
      <c r="L53" s="7">
        <f t="shared" si="14"/>
        <v>294.39</v>
      </c>
      <c r="M53" s="2"/>
      <c r="N53" s="6">
        <f t="shared" si="15"/>
        <v>1.2730928905033729</v>
      </c>
      <c r="O53" s="11"/>
      <c r="P53" s="7">
        <v>882.11</v>
      </c>
      <c r="Q53" s="2"/>
      <c r="R53" s="6">
        <f t="shared" si="16"/>
        <v>2.0335617569866614E-3</v>
      </c>
      <c r="S53" s="2"/>
      <c r="T53" s="7">
        <v>500</v>
      </c>
      <c r="U53" s="2"/>
      <c r="V53" s="6">
        <f t="shared" si="17"/>
        <v>1.2739540302351077E-3</v>
      </c>
      <c r="W53" s="2"/>
      <c r="X53" s="7">
        <f t="shared" si="18"/>
        <v>382.11</v>
      </c>
      <c r="Y53" s="2"/>
      <c r="Z53" s="6">
        <f t="shared" si="19"/>
        <v>0.76422000000000001</v>
      </c>
    </row>
    <row r="54" spans="1:26" s="24" customFormat="1" hidden="1" outlineLevel="2" x14ac:dyDescent="0.25">
      <c r="A54" s="29"/>
      <c r="B54" s="11" t="str">
        <f>CONCATENATE("          ", "6113", " - ", "GROUP INSURANCE")</f>
        <v xml:space="preserve">          6113 - GROUP INSURANCE</v>
      </c>
      <c r="C54" s="11"/>
      <c r="D54" s="7">
        <v>1818.68</v>
      </c>
      <c r="E54" s="2"/>
      <c r="F54" s="6">
        <f t="shared" si="12"/>
        <v>7.1847468521202698E-3</v>
      </c>
      <c r="G54" s="2"/>
      <c r="H54" s="7">
        <v>1774.1</v>
      </c>
      <c r="I54" s="2"/>
      <c r="J54" s="6">
        <f t="shared" si="13"/>
        <v>7.6549931149936488E-3</v>
      </c>
      <c r="K54" s="2"/>
      <c r="L54" s="7">
        <f t="shared" si="14"/>
        <v>44.580000000000155</v>
      </c>
      <c r="M54" s="2"/>
      <c r="N54" s="6">
        <f t="shared" si="15"/>
        <v>2.5128234034158252E-2</v>
      </c>
      <c r="O54" s="11"/>
      <c r="P54" s="7">
        <v>4572.66</v>
      </c>
      <c r="Q54" s="2"/>
      <c r="R54" s="6">
        <f t="shared" si="16"/>
        <v>1.054152713800164E-2</v>
      </c>
      <c r="S54" s="2"/>
      <c r="T54" s="7">
        <v>2216.4</v>
      </c>
      <c r="U54" s="2"/>
      <c r="V54" s="6">
        <f t="shared" si="17"/>
        <v>5.6471834252261859E-3</v>
      </c>
      <c r="W54" s="2"/>
      <c r="X54" s="7">
        <f t="shared" si="18"/>
        <v>2356.2599999999998</v>
      </c>
      <c r="Y54" s="2"/>
      <c r="Z54" s="6">
        <f t="shared" si="19"/>
        <v>1.0631023280996208</v>
      </c>
    </row>
    <row r="55" spans="1:26" s="24" customFormat="1" hidden="1" outlineLevel="2" x14ac:dyDescent="0.25">
      <c r="A55" s="29"/>
      <c r="B55" s="11" t="str">
        <f>CONCATENATE("          ", "6114", " - ", "STATE UNEMPLOYMENT INSURANCE")</f>
        <v xml:space="preserve">          6114 - STATE UNEMPLOYMENT INSURANCE</v>
      </c>
      <c r="C55" s="11"/>
      <c r="D55" s="7">
        <v>63.2</v>
      </c>
      <c r="E55" s="2"/>
      <c r="F55" s="6">
        <f t="shared" si="12"/>
        <v>2.4967339007082119E-4</v>
      </c>
      <c r="G55" s="2"/>
      <c r="H55" s="7">
        <v>50.52</v>
      </c>
      <c r="I55" s="2"/>
      <c r="J55" s="6">
        <f t="shared" si="13"/>
        <v>2.1798672688657866E-4</v>
      </c>
      <c r="K55" s="2"/>
      <c r="L55" s="7">
        <f t="shared" si="14"/>
        <v>12.68</v>
      </c>
      <c r="M55" s="2"/>
      <c r="N55" s="6">
        <f t="shared" si="15"/>
        <v>0.25098970704671414</v>
      </c>
      <c r="O55" s="11"/>
      <c r="P55" s="7">
        <v>111.98</v>
      </c>
      <c r="Q55" s="2"/>
      <c r="R55" s="6">
        <f t="shared" si="16"/>
        <v>2.5815175607051991E-4</v>
      </c>
      <c r="S55" s="2"/>
      <c r="T55" s="7">
        <v>109.24</v>
      </c>
      <c r="U55" s="2"/>
      <c r="V55" s="6">
        <f t="shared" si="17"/>
        <v>2.7833347652576635E-4</v>
      </c>
      <c r="W55" s="2"/>
      <c r="X55" s="7">
        <f t="shared" si="18"/>
        <v>2.7400000000000091</v>
      </c>
      <c r="Y55" s="2"/>
      <c r="Z55" s="6">
        <f t="shared" si="19"/>
        <v>2.5082387403881447E-2</v>
      </c>
    </row>
    <row r="56" spans="1:26" s="24" customFormat="1" hidden="1" outlineLevel="2" x14ac:dyDescent="0.25">
      <c r="A56" s="29"/>
      <c r="B56" s="11" t="str">
        <f>CONCATENATE("          ", "6115", " - ", "P.E.R.S.")</f>
        <v xml:space="preserve">          6115 - P.E.R.S.</v>
      </c>
      <c r="C56" s="11"/>
      <c r="D56" s="7">
        <v>691.92</v>
      </c>
      <c r="E56" s="2"/>
      <c r="F56" s="6">
        <f t="shared" si="12"/>
        <v>2.7334495578766231E-3</v>
      </c>
      <c r="G56" s="2"/>
      <c r="H56" s="7">
        <v>616.73</v>
      </c>
      <c r="I56" s="2"/>
      <c r="J56" s="6">
        <f t="shared" si="13"/>
        <v>2.661103603973865E-3</v>
      </c>
      <c r="K56" s="2"/>
      <c r="L56" s="7">
        <f t="shared" si="14"/>
        <v>75.189999999999941</v>
      </c>
      <c r="M56" s="2"/>
      <c r="N56" s="6">
        <f t="shared" si="15"/>
        <v>0.12191720850291041</v>
      </c>
      <c r="O56" s="11"/>
      <c r="P56" s="7">
        <v>1364.79</v>
      </c>
      <c r="Q56" s="2"/>
      <c r="R56" s="6">
        <f t="shared" si="16"/>
        <v>3.1463023322690202E-3</v>
      </c>
      <c r="S56" s="2"/>
      <c r="T56" s="7">
        <v>1532.85</v>
      </c>
      <c r="U56" s="2"/>
      <c r="V56" s="6">
        <f t="shared" si="17"/>
        <v>3.9055608704917696E-3</v>
      </c>
      <c r="W56" s="2"/>
      <c r="X56" s="7">
        <f t="shared" si="18"/>
        <v>-168.05999999999995</v>
      </c>
      <c r="Y56" s="2"/>
      <c r="Z56" s="6">
        <f t="shared" si="19"/>
        <v>-0.10963890791662587</v>
      </c>
    </row>
    <row r="57" spans="1:26" s="24" customFormat="1" hidden="1" outlineLevel="2" x14ac:dyDescent="0.25">
      <c r="A57" s="29"/>
      <c r="B57" s="11" t="str">
        <f>CONCATENATE("          ", "6118", " - ", "VACATION")</f>
        <v xml:space="preserve">          6118 - VACATION</v>
      </c>
      <c r="C57" s="11"/>
      <c r="D57" s="7">
        <v>556.86</v>
      </c>
      <c r="E57" s="2"/>
      <c r="F57" s="6">
        <f t="shared" si="12"/>
        <v>2.1998912024499603E-3</v>
      </c>
      <c r="G57" s="2"/>
      <c r="H57" s="7">
        <v>548.74</v>
      </c>
      <c r="I57" s="2"/>
      <c r="J57" s="6">
        <f t="shared" si="13"/>
        <v>2.3677362729956682E-3</v>
      </c>
      <c r="K57" s="2"/>
      <c r="L57" s="7">
        <f t="shared" si="14"/>
        <v>8.1200000000000045</v>
      </c>
      <c r="M57" s="2"/>
      <c r="N57" s="6">
        <f t="shared" si="15"/>
        <v>1.479753617377994E-2</v>
      </c>
      <c r="O57" s="11"/>
      <c r="P57" s="7">
        <v>1519.01</v>
      </c>
      <c r="Q57" s="2"/>
      <c r="R57" s="6">
        <f t="shared" si="16"/>
        <v>3.5018315680360821E-3</v>
      </c>
      <c r="S57" s="2"/>
      <c r="T57" s="7">
        <v>1603.38</v>
      </c>
      <c r="U57" s="2"/>
      <c r="V57" s="6">
        <f t="shared" si="17"/>
        <v>4.0852648259967345E-3</v>
      </c>
      <c r="W57" s="2"/>
      <c r="X57" s="7">
        <f t="shared" si="18"/>
        <v>-84.370000000000118</v>
      </c>
      <c r="Y57" s="2"/>
      <c r="Z57" s="6">
        <f t="shared" si="19"/>
        <v>-5.2620090059748853E-2</v>
      </c>
    </row>
    <row r="58" spans="1:26" s="24" customFormat="1" hidden="1" outlineLevel="2" x14ac:dyDescent="0.25">
      <c r="A58" s="29"/>
      <c r="B58" s="11" t="str">
        <f>CONCATENATE("          ", "6119", " - ", "SICK LEAVE")</f>
        <v xml:space="preserve">          6119 - SICK LEAVE</v>
      </c>
      <c r="C58" s="11"/>
      <c r="D58" s="7">
        <v>326.89</v>
      </c>
      <c r="E58" s="2"/>
      <c r="F58" s="6">
        <f t="shared" si="12"/>
        <v>1.2913882038014357E-3</v>
      </c>
      <c r="G58" s="2"/>
      <c r="H58" s="7">
        <v>339.1</v>
      </c>
      <c r="I58" s="2"/>
      <c r="J58" s="6">
        <f t="shared" si="13"/>
        <v>1.4631690238962555E-3</v>
      </c>
      <c r="K58" s="2"/>
      <c r="L58" s="7">
        <f t="shared" si="14"/>
        <v>-12.210000000000036</v>
      </c>
      <c r="M58" s="2"/>
      <c r="N58" s="6">
        <f t="shared" si="15"/>
        <v>-3.6007077558242513E-2</v>
      </c>
      <c r="O58" s="11"/>
      <c r="P58" s="7">
        <v>2380.5</v>
      </c>
      <c r="Q58" s="2"/>
      <c r="R58" s="6">
        <f t="shared" si="16"/>
        <v>5.4878572542049718E-3</v>
      </c>
      <c r="S58" s="2"/>
      <c r="T58" s="7">
        <v>2006.84</v>
      </c>
      <c r="U58" s="2"/>
      <c r="V58" s="6">
        <f t="shared" si="17"/>
        <v>5.1132438120740477E-3</v>
      </c>
      <c r="W58" s="2"/>
      <c r="X58" s="7">
        <f t="shared" si="18"/>
        <v>373.66000000000008</v>
      </c>
      <c r="Y58" s="2"/>
      <c r="Z58" s="6">
        <f t="shared" si="19"/>
        <v>0.18619321919036899</v>
      </c>
    </row>
    <row r="59" spans="1:26" s="24" customFormat="1" hidden="1" outlineLevel="2" x14ac:dyDescent="0.25">
      <c r="A59" s="29"/>
      <c r="B59" s="11" t="str">
        <f>CONCATENATE("          ", "6156", " - ", "EMPLOYEE MEALS")</f>
        <v xml:space="preserve">          6156 - EMPLOYEE MEALS</v>
      </c>
      <c r="C59" s="11"/>
      <c r="D59" s="7">
        <v>146.47999999999999</v>
      </c>
      <c r="E59" s="2"/>
      <c r="F59" s="6">
        <f t="shared" si="12"/>
        <v>5.7867338888566264E-4</v>
      </c>
      <c r="G59" s="2"/>
      <c r="H59" s="7">
        <v>177.87</v>
      </c>
      <c r="I59" s="2"/>
      <c r="J59" s="6">
        <f t="shared" si="13"/>
        <v>7.6748414709651121E-4</v>
      </c>
      <c r="K59" s="2"/>
      <c r="L59" s="7">
        <f t="shared" si="14"/>
        <v>-31.390000000000015</v>
      </c>
      <c r="M59" s="2"/>
      <c r="N59" s="6">
        <f t="shared" si="15"/>
        <v>-0.1764772024512285</v>
      </c>
      <c r="O59" s="11"/>
      <c r="P59" s="7">
        <v>294.58</v>
      </c>
      <c r="Q59" s="2"/>
      <c r="R59" s="6">
        <f t="shared" si="16"/>
        <v>6.7910648600869581E-4</v>
      </c>
      <c r="S59" s="2"/>
      <c r="T59" s="7">
        <v>296.60000000000002</v>
      </c>
      <c r="U59" s="2"/>
      <c r="V59" s="6">
        <f t="shared" si="17"/>
        <v>7.5570953073546602E-4</v>
      </c>
      <c r="W59" s="2"/>
      <c r="X59" s="7">
        <f t="shared" si="18"/>
        <v>-2.0200000000000387</v>
      </c>
      <c r="Y59" s="2"/>
      <c r="Z59" s="6">
        <f t="shared" si="19"/>
        <v>-6.8105192178018834E-3</v>
      </c>
    </row>
    <row r="60" spans="1:26" s="27" customFormat="1" outlineLevel="1" collapsed="1" x14ac:dyDescent="0.25">
      <c r="A60" s="28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23952.43</v>
      </c>
      <c r="E60" s="1"/>
      <c r="F60" s="5">
        <f t="shared" ref="F60:F65" si="20">IF(D$12=0,0,D60/D$12)</f>
        <v>9.4624753141361373E-2</v>
      </c>
      <c r="G60" s="1"/>
      <c r="H60" s="1">
        <f>SUM(OSRRefH22_1x_0)</f>
        <v>17749.28</v>
      </c>
      <c r="I60" s="1"/>
      <c r="J60" s="5">
        <f t="shared" ref="J60:J65" si="21">IF(H$12=0,0,H60/H$12)</f>
        <v>7.6585658190685121E-2</v>
      </c>
      <c r="K60" s="1"/>
      <c r="L60" s="1">
        <f t="shared" ref="L60:L65" si="22">+D60-H60</f>
        <v>6203.1500000000015</v>
      </c>
      <c r="M60" s="1"/>
      <c r="N60" s="5">
        <f t="shared" ref="N60:N65" si="23">IF(H60=0,0,L60/H60)</f>
        <v>0.3494874158275717</v>
      </c>
      <c r="O60" s="14"/>
      <c r="P60" s="1">
        <f>SUM(OSRRefP22_1x_0)</f>
        <v>49132.070000000007</v>
      </c>
      <c r="Q60" s="1"/>
      <c r="R60" s="5">
        <f t="shared" ref="R60:R65" si="24">IF(P$12=0,0,P60/P$12)</f>
        <v>0.11326603098660218</v>
      </c>
      <c r="S60" s="1"/>
      <c r="T60" s="1">
        <f>SUM(OSRRefT22_1x_0)</f>
        <v>37532.53</v>
      </c>
      <c r="U60" s="1"/>
      <c r="V60" s="5">
        <f t="shared" ref="V60:V65" si="25">IF(T$12=0,0,T60/T$12)</f>
        <v>9.5629435716840183E-2</v>
      </c>
      <c r="W60" s="1"/>
      <c r="X60" s="1">
        <f t="shared" ref="X60:X65" si="26">+P60-T60</f>
        <v>11599.540000000008</v>
      </c>
      <c r="Y60" s="1"/>
      <c r="Z60" s="5">
        <f t="shared" ref="Z60:Z65" si="27">IF(T60=0,0,X60/T60)</f>
        <v>0.30905297351390937</v>
      </c>
    </row>
    <row r="61" spans="1:26" s="24" customFormat="1" hidden="1" outlineLevel="2" x14ac:dyDescent="0.25">
      <c r="A61" s="29"/>
      <c r="B61" s="11" t="str">
        <f>CONCATENATE("          ", "6002", " - ", "STAFF SALARIES")</f>
        <v xml:space="preserve">          6002 - STAFF SALARIES</v>
      </c>
      <c r="C61" s="11"/>
      <c r="D61" s="7">
        <v>6858.33</v>
      </c>
      <c r="E61" s="2"/>
      <c r="F61" s="6">
        <f t="shared" si="20"/>
        <v>2.7094026919690109E-2</v>
      </c>
      <c r="G61" s="2"/>
      <c r="H61" s="7">
        <v>6244.34</v>
      </c>
      <c r="I61" s="2"/>
      <c r="J61" s="6">
        <f t="shared" si="21"/>
        <v>2.6943452853660701E-2</v>
      </c>
      <c r="K61" s="2"/>
      <c r="L61" s="7">
        <f t="shared" si="22"/>
        <v>613.98999999999978</v>
      </c>
      <c r="M61" s="2"/>
      <c r="N61" s="6">
        <f t="shared" si="23"/>
        <v>9.8327445334494876E-2</v>
      </c>
      <c r="O61" s="11"/>
      <c r="P61" s="7">
        <v>15620.070000000002</v>
      </c>
      <c r="Q61" s="2"/>
      <c r="R61" s="6">
        <f t="shared" si="24"/>
        <v>3.6009541886447997E-2</v>
      </c>
      <c r="S61" s="2"/>
      <c r="T61" s="7">
        <v>14256.03</v>
      </c>
      <c r="U61" s="2"/>
      <c r="V61" s="6">
        <f t="shared" si="25"/>
        <v>3.6323053747305212E-2</v>
      </c>
      <c r="W61" s="2"/>
      <c r="X61" s="7">
        <f t="shared" si="26"/>
        <v>1364.0400000000009</v>
      </c>
      <c r="Y61" s="2"/>
      <c r="Z61" s="6">
        <f t="shared" si="27"/>
        <v>9.5681616831614469E-2</v>
      </c>
    </row>
    <row r="62" spans="1:26" s="24" customFormat="1" hidden="1" outlineLevel="2" x14ac:dyDescent="0.25">
      <c r="A62" s="29"/>
      <c r="B62" s="11" t="str">
        <f>CONCATENATE("          ", "6005", " - ", "TEMPORARY WAGES-HOURLY")</f>
        <v xml:space="preserve">          6005 - TEMPORARY WAGES-HOURLY</v>
      </c>
      <c r="C62" s="11"/>
      <c r="D62" s="7">
        <v>3471.22</v>
      </c>
      <c r="E62" s="2"/>
      <c r="F62" s="6">
        <f t="shared" si="20"/>
        <v>1.3713152928506896E-2</v>
      </c>
      <c r="G62" s="2"/>
      <c r="H62" s="7">
        <v>3995.5</v>
      </c>
      <c r="I62" s="2"/>
      <c r="J62" s="6">
        <f t="shared" si="21"/>
        <v>1.724002310521229E-2</v>
      </c>
      <c r="K62" s="2"/>
      <c r="L62" s="7">
        <f t="shared" si="22"/>
        <v>-524.2800000000002</v>
      </c>
      <c r="M62" s="2"/>
      <c r="N62" s="6">
        <f t="shared" si="23"/>
        <v>-0.13121761982230012</v>
      </c>
      <c r="O62" s="11"/>
      <c r="P62" s="7">
        <v>7664.59</v>
      </c>
      <c r="Q62" s="2"/>
      <c r="R62" s="6">
        <f t="shared" si="24"/>
        <v>1.766947104894219E-2</v>
      </c>
      <c r="S62" s="2"/>
      <c r="T62" s="7">
        <v>5607.36</v>
      </c>
      <c r="U62" s="2"/>
      <c r="V62" s="6">
        <f t="shared" si="25"/>
        <v>1.4287037741958268E-2</v>
      </c>
      <c r="W62" s="2"/>
      <c r="X62" s="7">
        <f t="shared" si="26"/>
        <v>2057.2300000000005</v>
      </c>
      <c r="Y62" s="2"/>
      <c r="Z62" s="6">
        <f t="shared" si="27"/>
        <v>0.36688031444387387</v>
      </c>
    </row>
    <row r="63" spans="1:26" s="24" customFormat="1" hidden="1" outlineLevel="2" x14ac:dyDescent="0.25">
      <c r="A63" s="29"/>
      <c r="B63" s="11" t="str">
        <f>CONCATENATE("          ", "6006", " - ", "TEMPORARY PART TIME")</f>
        <v xml:space="preserve">          6006 - TEMPORARY PART TIME</v>
      </c>
      <c r="C63" s="11"/>
      <c r="D63" s="7"/>
      <c r="E63" s="2"/>
      <c r="F63" s="6">
        <f t="shared" si="20"/>
        <v>0</v>
      </c>
      <c r="G63" s="2"/>
      <c r="H63" s="7">
        <v>303.61</v>
      </c>
      <c r="I63" s="2"/>
      <c r="J63" s="6">
        <f t="shared" si="21"/>
        <v>1.310034642716432E-3</v>
      </c>
      <c r="K63" s="2"/>
      <c r="L63" s="7">
        <f t="shared" si="22"/>
        <v>-303.61</v>
      </c>
      <c r="M63" s="2"/>
      <c r="N63" s="6">
        <f t="shared" si="23"/>
        <v>-1</v>
      </c>
      <c r="O63" s="11"/>
      <c r="P63" s="7"/>
      <c r="Q63" s="2"/>
      <c r="R63" s="6">
        <f t="shared" si="24"/>
        <v>0</v>
      </c>
      <c r="S63" s="2"/>
      <c r="T63" s="7">
        <v>2535.25</v>
      </c>
      <c r="U63" s="2"/>
      <c r="V63" s="6">
        <f t="shared" si="25"/>
        <v>6.4595839103071141E-3</v>
      </c>
      <c r="W63" s="2"/>
      <c r="X63" s="7">
        <f t="shared" si="26"/>
        <v>-2535.25</v>
      </c>
      <c r="Y63" s="2"/>
      <c r="Z63" s="6">
        <f t="shared" si="27"/>
        <v>-1</v>
      </c>
    </row>
    <row r="64" spans="1:26" s="24" customFormat="1" hidden="1" outlineLevel="2" x14ac:dyDescent="0.25">
      <c r="A64" s="29"/>
      <c r="B64" s="11" t="str">
        <f>CONCATENATE("          ", "6007", " - ", "STUDENT HOURLY")</f>
        <v xml:space="preserve">          6007 - STUDENT HOURLY</v>
      </c>
      <c r="C64" s="11"/>
      <c r="D64" s="7">
        <v>13427.88</v>
      </c>
      <c r="E64" s="2"/>
      <c r="F64" s="6">
        <f t="shared" si="20"/>
        <v>5.3047220270002818E-2</v>
      </c>
      <c r="G64" s="2"/>
      <c r="H64" s="7">
        <v>7205.83</v>
      </c>
      <c r="I64" s="2"/>
      <c r="J64" s="6">
        <f t="shared" si="21"/>
        <v>3.1092147589095703E-2</v>
      </c>
      <c r="K64" s="2"/>
      <c r="L64" s="7">
        <f t="shared" si="22"/>
        <v>6222.0499999999993</v>
      </c>
      <c r="M64" s="2"/>
      <c r="N64" s="6">
        <f t="shared" si="23"/>
        <v>0.86347443667141732</v>
      </c>
      <c r="O64" s="11"/>
      <c r="P64" s="7">
        <v>25652.41</v>
      </c>
      <c r="Q64" s="2"/>
      <c r="R64" s="6">
        <f t="shared" si="24"/>
        <v>5.9137477129317433E-2</v>
      </c>
      <c r="S64" s="2"/>
      <c r="T64" s="7">
        <v>15133.889999999998</v>
      </c>
      <c r="U64" s="2"/>
      <c r="V64" s="6">
        <f t="shared" si="25"/>
        <v>3.8559760317269584E-2</v>
      </c>
      <c r="W64" s="2"/>
      <c r="X64" s="7">
        <f t="shared" si="26"/>
        <v>10518.520000000002</v>
      </c>
      <c r="Y64" s="2"/>
      <c r="Z64" s="6">
        <f t="shared" si="27"/>
        <v>0.69503082155348062</v>
      </c>
    </row>
    <row r="65" spans="1:26" s="24" customFormat="1" hidden="1" outlineLevel="2" x14ac:dyDescent="0.25">
      <c r="A65" s="29"/>
      <c r="B65" s="11" t="str">
        <f>CONCATENATE("          ", "6008", " - ", "STUDENT HOURLY-FICA EXEMPT")</f>
        <v xml:space="preserve">          6008 - STUDENT HOURLY-FICA EXEMPT</v>
      </c>
      <c r="C65" s="11"/>
      <c r="D65" s="7">
        <v>195</v>
      </c>
      <c r="E65" s="2"/>
      <c r="F65" s="6">
        <f t="shared" si="20"/>
        <v>7.7035302316155263E-4</v>
      </c>
      <c r="G65" s="2"/>
      <c r="H65" s="7"/>
      <c r="I65" s="2"/>
      <c r="J65" s="6">
        <f t="shared" si="21"/>
        <v>0</v>
      </c>
      <c r="K65" s="2"/>
      <c r="L65" s="7">
        <f t="shared" si="22"/>
        <v>195</v>
      </c>
      <c r="M65" s="2"/>
      <c r="N65" s="6">
        <f t="shared" si="23"/>
        <v>0</v>
      </c>
      <c r="O65" s="11"/>
      <c r="P65" s="7">
        <v>195</v>
      </c>
      <c r="Q65" s="2"/>
      <c r="R65" s="6">
        <f t="shared" si="24"/>
        <v>4.4954092189454715E-4</v>
      </c>
      <c r="S65" s="2"/>
      <c r="T65" s="7"/>
      <c r="U65" s="2"/>
      <c r="V65" s="6">
        <f t="shared" si="25"/>
        <v>0</v>
      </c>
      <c r="W65" s="2"/>
      <c r="X65" s="7">
        <f t="shared" si="26"/>
        <v>195</v>
      </c>
      <c r="Y65" s="2"/>
      <c r="Z65" s="6">
        <f t="shared" si="27"/>
        <v>0</v>
      </c>
    </row>
    <row r="66" spans="1:26" s="27" customFormat="1" outlineLevel="1" collapsed="1" x14ac:dyDescent="0.25">
      <c r="A66" s="28"/>
      <c r="B66" s="14" t="str">
        <f>CONCATENATE("     ","Advertising/Promo                                 ")</f>
        <v xml:space="preserve">     Advertising/Promo                                 </v>
      </c>
      <c r="C66" s="14"/>
      <c r="D66" s="1">
        <f>SUM(OSRRefD22_2x_0)</f>
        <v>2173.7800000000002</v>
      </c>
      <c r="E66" s="1"/>
      <c r="F66" s="5">
        <f t="shared" ref="F66:F82" si="28">IF(D$12=0,0,D66/D$12)</f>
        <v>8.5875794599390778E-3</v>
      </c>
      <c r="G66" s="1"/>
      <c r="H66" s="1">
        <f>SUM(OSRRefH22_2x_0)</f>
        <v>339.52</v>
      </c>
      <c r="I66" s="1"/>
      <c r="J66" s="5">
        <f t="shared" ref="J66:J82" si="29">IF(H$12=0,0,H66/H$12)</f>
        <v>1.4649812650936497E-3</v>
      </c>
      <c r="K66" s="1"/>
      <c r="L66" s="1">
        <f t="shared" ref="L66:L82" si="30">+D66-H66</f>
        <v>1834.2600000000002</v>
      </c>
      <c r="M66" s="1"/>
      <c r="N66" s="5">
        <f t="shared" ref="N66:N82" si="31">IF(H66=0,0,L66/H66)</f>
        <v>5.4025094250706891</v>
      </c>
      <c r="O66" s="14"/>
      <c r="P66" s="1">
        <f>SUM(OSRRefP22_2x_0)</f>
        <v>2365.7800000000002</v>
      </c>
      <c r="Q66" s="1"/>
      <c r="R66" s="5">
        <f t="shared" ref="R66:R82" si="32">IF(P$12=0,0,P66/P$12)</f>
        <v>5.4539226779470864E-3</v>
      </c>
      <c r="S66" s="1"/>
      <c r="T66" s="1">
        <f>SUM(OSRRefT22_2x_0)</f>
        <v>706.9</v>
      </c>
      <c r="U66" s="1"/>
      <c r="V66" s="5">
        <f t="shared" ref="V66:V82" si="33">IF(T$12=0,0,T66/T$12)</f>
        <v>1.8011162079463953E-3</v>
      </c>
      <c r="W66" s="1"/>
      <c r="X66" s="1">
        <f t="shared" ref="X66:X82" si="34">+P66-T66</f>
        <v>1658.88</v>
      </c>
      <c r="Y66" s="1"/>
      <c r="Z66" s="5">
        <f t="shared" ref="Z66:Z82" si="35">IF(T66=0,0,X66/T66)</f>
        <v>2.3466968453812425</v>
      </c>
    </row>
    <row r="67" spans="1:26" s="24" customFormat="1" hidden="1" outlineLevel="2" x14ac:dyDescent="0.25">
      <c r="A67" s="29"/>
      <c r="B67" s="11" t="str">
        <f>CONCATENATE("          ", "6362", " - ", "ADVERTISING EXPENSE")</f>
        <v xml:space="preserve">          6362 - ADVERTISING EXPENSE</v>
      </c>
      <c r="C67" s="11"/>
      <c r="D67" s="7">
        <v>2173.7800000000002</v>
      </c>
      <c r="E67" s="2"/>
      <c r="F67" s="6">
        <f t="shared" si="28"/>
        <v>8.5875794599390778E-3</v>
      </c>
      <c r="G67" s="2"/>
      <c r="H67" s="7">
        <v>339.52</v>
      </c>
      <c r="I67" s="2"/>
      <c r="J67" s="6">
        <f t="shared" si="29"/>
        <v>1.4649812650936497E-3</v>
      </c>
      <c r="K67" s="2"/>
      <c r="L67" s="7">
        <f t="shared" si="30"/>
        <v>1834.2600000000002</v>
      </c>
      <c r="M67" s="2"/>
      <c r="N67" s="6">
        <f t="shared" si="31"/>
        <v>5.4025094250706891</v>
      </c>
      <c r="O67" s="11"/>
      <c r="P67" s="7">
        <v>2365.7800000000002</v>
      </c>
      <c r="Q67" s="2"/>
      <c r="R67" s="6">
        <f t="shared" si="32"/>
        <v>5.4539226779470864E-3</v>
      </c>
      <c r="S67" s="2"/>
      <c r="T67" s="7">
        <v>706.9</v>
      </c>
      <c r="U67" s="2"/>
      <c r="V67" s="6">
        <f t="shared" si="33"/>
        <v>1.8011162079463953E-3</v>
      </c>
      <c r="W67" s="2"/>
      <c r="X67" s="7">
        <f t="shared" si="34"/>
        <v>1658.88</v>
      </c>
      <c r="Y67" s="2"/>
      <c r="Z67" s="6">
        <f t="shared" si="35"/>
        <v>2.3466968453812425</v>
      </c>
    </row>
    <row r="68" spans="1:26" s="27" customFormat="1" outlineLevel="1" collapsed="1" x14ac:dyDescent="0.25">
      <c r="A68" s="28"/>
      <c r="B68" s="14" t="str">
        <f>CONCATENATE("     ","Discounts and Markdowns                           ")</f>
        <v xml:space="preserve">     Discounts and Markdowns                           </v>
      </c>
      <c r="C68" s="14"/>
      <c r="D68" s="1">
        <f>SUM(OSRRefD22_3x_0)</f>
        <v>14457.36</v>
      </c>
      <c r="E68" s="1"/>
      <c r="F68" s="5">
        <f t="shared" si="28"/>
        <v>5.7114210168896951E-2</v>
      </c>
      <c r="G68" s="1"/>
      <c r="H68" s="1">
        <f>SUM(OSRRefH22_3x_0)</f>
        <v>16572.12</v>
      </c>
      <c r="I68" s="1"/>
      <c r="J68" s="5">
        <f t="shared" si="29"/>
        <v>7.150637760038811E-2</v>
      </c>
      <c r="K68" s="1"/>
      <c r="L68" s="1">
        <f t="shared" si="30"/>
        <v>-2114.7599999999984</v>
      </c>
      <c r="M68" s="1"/>
      <c r="N68" s="5">
        <f t="shared" si="31"/>
        <v>-0.12760950318969441</v>
      </c>
      <c r="O68" s="14"/>
      <c r="P68" s="1">
        <f>SUM(OSRRefP22_3x_0)</f>
        <v>28295</v>
      </c>
      <c r="Q68" s="1"/>
      <c r="R68" s="5">
        <f t="shared" si="32"/>
        <v>6.5229540435929281E-2</v>
      </c>
      <c r="S68" s="1"/>
      <c r="T68" s="1">
        <f>SUM(OSRRefT22_3x_0)</f>
        <v>28822.870000000003</v>
      </c>
      <c r="U68" s="1"/>
      <c r="V68" s="5">
        <f t="shared" si="33"/>
        <v>7.3438022798885172E-2</v>
      </c>
      <c r="W68" s="1"/>
      <c r="X68" s="1">
        <f t="shared" si="34"/>
        <v>-527.87000000000262</v>
      </c>
      <c r="Y68" s="1"/>
      <c r="Z68" s="5">
        <f t="shared" si="35"/>
        <v>-1.8314276128643767E-2</v>
      </c>
    </row>
    <row r="69" spans="1:26" s="24" customFormat="1" hidden="1" outlineLevel="2" x14ac:dyDescent="0.25">
      <c r="A69" s="29"/>
      <c r="B69" s="11" t="str">
        <f>CONCATENATE("          ", "6382", " - ", "DISCOUNTS/MARK DOWNS")</f>
        <v xml:space="preserve">          6382 - DISCOUNTS/MARK DOWNS</v>
      </c>
      <c r="C69" s="11"/>
      <c r="D69" s="7">
        <v>14457.36</v>
      </c>
      <c r="E69" s="2"/>
      <c r="F69" s="6">
        <f t="shared" si="28"/>
        <v>5.7114210168896951E-2</v>
      </c>
      <c r="G69" s="2"/>
      <c r="H69" s="7">
        <v>16572.12</v>
      </c>
      <c r="I69" s="2"/>
      <c r="J69" s="6">
        <f t="shared" si="29"/>
        <v>7.150637760038811E-2</v>
      </c>
      <c r="K69" s="2"/>
      <c r="L69" s="7">
        <f t="shared" si="30"/>
        <v>-2114.7599999999984</v>
      </c>
      <c r="M69" s="2"/>
      <c r="N69" s="6">
        <f t="shared" si="31"/>
        <v>-0.12760950318969441</v>
      </c>
      <c r="O69" s="11"/>
      <c r="P69" s="7">
        <v>28295</v>
      </c>
      <c r="Q69" s="2"/>
      <c r="R69" s="6">
        <f t="shared" si="32"/>
        <v>6.5229540435929281E-2</v>
      </c>
      <c r="S69" s="2"/>
      <c r="T69" s="7">
        <v>28822.870000000003</v>
      </c>
      <c r="U69" s="2"/>
      <c r="V69" s="6">
        <f t="shared" si="33"/>
        <v>7.3438022798885172E-2</v>
      </c>
      <c r="W69" s="2"/>
      <c r="X69" s="7">
        <f t="shared" si="34"/>
        <v>-527.87000000000262</v>
      </c>
      <c r="Y69" s="2"/>
      <c r="Z69" s="6">
        <f t="shared" si="35"/>
        <v>-1.8314276128643767E-2</v>
      </c>
    </row>
    <row r="70" spans="1:26" s="27" customFormat="1" outlineLevel="1" collapsed="1" x14ac:dyDescent="0.25">
      <c r="A70" s="28"/>
      <c r="B70" s="14" t="str">
        <f>CONCATENATE("     ","Employees' Appreciation                           ")</f>
        <v xml:space="preserve">     Employees' Appreciation                           </v>
      </c>
      <c r="C70" s="14"/>
      <c r="D70" s="1">
        <f>SUM(OSRRefD22_4x_0)</f>
        <v>0</v>
      </c>
      <c r="E70" s="1"/>
      <c r="F70" s="5">
        <f t="shared" si="28"/>
        <v>0</v>
      </c>
      <c r="G70" s="1"/>
      <c r="H70" s="1">
        <f>SUM(OSRRefH22_4x_0)</f>
        <v>0</v>
      </c>
      <c r="I70" s="1"/>
      <c r="J70" s="5">
        <f t="shared" si="29"/>
        <v>0</v>
      </c>
      <c r="K70" s="1"/>
      <c r="L70" s="1">
        <f t="shared" si="30"/>
        <v>0</v>
      </c>
      <c r="M70" s="1"/>
      <c r="N70" s="5">
        <f t="shared" si="31"/>
        <v>0</v>
      </c>
      <c r="O70" s="14"/>
      <c r="P70" s="1">
        <f>SUM(OSRRefP22_4x_0)</f>
        <v>12.98</v>
      </c>
      <c r="Q70" s="1"/>
      <c r="R70" s="5">
        <f t="shared" si="32"/>
        <v>2.9923288031749857E-5</v>
      </c>
      <c r="S70" s="1"/>
      <c r="T70" s="1">
        <f>SUM(OSRRefT22_4x_0)</f>
        <v>13.76</v>
      </c>
      <c r="U70" s="1"/>
      <c r="V70" s="5">
        <f t="shared" si="33"/>
        <v>3.5059214912070166E-5</v>
      </c>
      <c r="W70" s="1"/>
      <c r="X70" s="1">
        <f t="shared" si="34"/>
        <v>-0.77999999999999936</v>
      </c>
      <c r="Y70" s="1"/>
      <c r="Z70" s="5">
        <f t="shared" si="35"/>
        <v>-5.6686046511627862E-2</v>
      </c>
    </row>
    <row r="71" spans="1:26" s="24" customFormat="1" hidden="1" outlineLevel="2" x14ac:dyDescent="0.25">
      <c r="A71" s="29"/>
      <c r="B71" s="11" t="str">
        <f>CONCATENATE("          ", "6277", " - ", "EMPLOYEE APPRECIATION")</f>
        <v xml:space="preserve">          6277 - EMPLOYEE APPRECIATION</v>
      </c>
      <c r="C71" s="11"/>
      <c r="D71" s="7"/>
      <c r="E71" s="2"/>
      <c r="F71" s="6">
        <f t="shared" si="28"/>
        <v>0</v>
      </c>
      <c r="G71" s="2"/>
      <c r="H71" s="7"/>
      <c r="I71" s="2"/>
      <c r="J71" s="6">
        <f t="shared" si="29"/>
        <v>0</v>
      </c>
      <c r="K71" s="2"/>
      <c r="L71" s="7">
        <f t="shared" si="30"/>
        <v>0</v>
      </c>
      <c r="M71" s="2"/>
      <c r="N71" s="6">
        <f t="shared" si="31"/>
        <v>0</v>
      </c>
      <c r="O71" s="11"/>
      <c r="P71" s="7">
        <v>12.98</v>
      </c>
      <c r="Q71" s="2"/>
      <c r="R71" s="6">
        <f t="shared" si="32"/>
        <v>2.9923288031749857E-5</v>
      </c>
      <c r="S71" s="2"/>
      <c r="T71" s="7">
        <v>13.76</v>
      </c>
      <c r="U71" s="2"/>
      <c r="V71" s="6">
        <f t="shared" si="33"/>
        <v>3.5059214912070166E-5</v>
      </c>
      <c r="W71" s="2"/>
      <c r="X71" s="7">
        <f t="shared" si="34"/>
        <v>-0.77999999999999936</v>
      </c>
      <c r="Y71" s="2"/>
      <c r="Z71" s="6">
        <f t="shared" si="35"/>
        <v>-5.6686046511627862E-2</v>
      </c>
    </row>
    <row r="72" spans="1:26" s="27" customFormat="1" outlineLevel="1" collapsed="1" x14ac:dyDescent="0.25">
      <c r="A72" s="28"/>
      <c r="B72" s="14" t="str">
        <f>CONCATENATE("     ","Freight out/Postage                               ")</f>
        <v xml:space="preserve">     Freight out/Postage                               </v>
      </c>
      <c r="C72" s="14"/>
      <c r="D72" s="1">
        <f>SUM(OSRRefD22_5x_0)</f>
        <v>0</v>
      </c>
      <c r="E72" s="1"/>
      <c r="F72" s="5">
        <f t="shared" si="28"/>
        <v>0</v>
      </c>
      <c r="G72" s="1"/>
      <c r="H72" s="1">
        <f>SUM(OSRRefH22_5x_0)</f>
        <v>4.88</v>
      </c>
      <c r="I72" s="1"/>
      <c r="J72" s="5">
        <f t="shared" si="29"/>
        <v>2.1056516769724936E-5</v>
      </c>
      <c r="K72" s="1"/>
      <c r="L72" s="1">
        <f t="shared" si="30"/>
        <v>-4.88</v>
      </c>
      <c r="M72" s="1"/>
      <c r="N72" s="5">
        <f t="shared" si="31"/>
        <v>-1</v>
      </c>
      <c r="O72" s="14"/>
      <c r="P72" s="1">
        <f>SUM(OSRRefP22_5x_0)</f>
        <v>0</v>
      </c>
      <c r="Q72" s="1"/>
      <c r="R72" s="5">
        <f t="shared" si="32"/>
        <v>0</v>
      </c>
      <c r="S72" s="1"/>
      <c r="T72" s="1">
        <f>SUM(OSRRefT22_5x_0)</f>
        <v>4.88</v>
      </c>
      <c r="U72" s="1"/>
      <c r="V72" s="5">
        <f t="shared" si="33"/>
        <v>1.2433791335094652E-5</v>
      </c>
      <c r="W72" s="1"/>
      <c r="X72" s="1">
        <f t="shared" si="34"/>
        <v>-4.88</v>
      </c>
      <c r="Y72" s="1"/>
      <c r="Z72" s="5">
        <f t="shared" si="35"/>
        <v>-1</v>
      </c>
    </row>
    <row r="73" spans="1:26" s="24" customFormat="1" hidden="1" outlineLevel="2" x14ac:dyDescent="0.25">
      <c r="A73" s="29"/>
      <c r="B73" s="11" t="str">
        <f>CONCATENATE("          ", "6305", " - ", "FREIGHT OUT")</f>
        <v xml:space="preserve">          6305 - FREIGHT OUT</v>
      </c>
      <c r="C73" s="11"/>
      <c r="D73" s="7"/>
      <c r="E73" s="2"/>
      <c r="F73" s="6">
        <f t="shared" si="28"/>
        <v>0</v>
      </c>
      <c r="G73" s="2"/>
      <c r="H73" s="7">
        <v>4.88</v>
      </c>
      <c r="I73" s="2"/>
      <c r="J73" s="6">
        <f t="shared" si="29"/>
        <v>2.1056516769724936E-5</v>
      </c>
      <c r="K73" s="2"/>
      <c r="L73" s="7">
        <f t="shared" si="30"/>
        <v>-4.88</v>
      </c>
      <c r="M73" s="2"/>
      <c r="N73" s="6">
        <f t="shared" si="31"/>
        <v>-1</v>
      </c>
      <c r="O73" s="11"/>
      <c r="P73" s="7"/>
      <c r="Q73" s="2"/>
      <c r="R73" s="6">
        <f t="shared" si="32"/>
        <v>0</v>
      </c>
      <c r="S73" s="2"/>
      <c r="T73" s="7">
        <v>4.88</v>
      </c>
      <c r="U73" s="2"/>
      <c r="V73" s="6">
        <f t="shared" si="33"/>
        <v>1.2433791335094652E-5</v>
      </c>
      <c r="W73" s="2"/>
      <c r="X73" s="7">
        <f t="shared" si="34"/>
        <v>-4.88</v>
      </c>
      <c r="Y73" s="2"/>
      <c r="Z73" s="6">
        <f t="shared" si="35"/>
        <v>-1</v>
      </c>
    </row>
    <row r="74" spans="1:26" s="27" customFormat="1" outlineLevel="1" collapsed="1" x14ac:dyDescent="0.25">
      <c r="A74" s="28"/>
      <c r="B74" s="14" t="str">
        <f>CONCATENATE("     ","General                                           ")</f>
        <v xml:space="preserve">     General                                           </v>
      </c>
      <c r="C74" s="14"/>
      <c r="D74" s="1">
        <f>SUM(OSRRefD22_6x_0)</f>
        <v>0</v>
      </c>
      <c r="E74" s="1"/>
      <c r="F74" s="5">
        <f t="shared" si="28"/>
        <v>0</v>
      </c>
      <c r="G74" s="1"/>
      <c r="H74" s="1">
        <f>SUM(OSRRefH22_6x_0)</f>
        <v>33.06</v>
      </c>
      <c r="I74" s="1"/>
      <c r="J74" s="5">
        <f t="shared" si="29"/>
        <v>1.4264927139489886E-4</v>
      </c>
      <c r="K74" s="1"/>
      <c r="L74" s="1">
        <f t="shared" si="30"/>
        <v>-33.06</v>
      </c>
      <c r="M74" s="1"/>
      <c r="N74" s="5">
        <f t="shared" si="31"/>
        <v>-1</v>
      </c>
      <c r="O74" s="14"/>
      <c r="P74" s="1">
        <f>SUM(OSRRefP22_6x_0)</f>
        <v>0</v>
      </c>
      <c r="Q74" s="1"/>
      <c r="R74" s="5">
        <f t="shared" si="32"/>
        <v>0</v>
      </c>
      <c r="S74" s="1"/>
      <c r="T74" s="1">
        <f>SUM(OSRRefT22_6x_0)</f>
        <v>33.06</v>
      </c>
      <c r="U74" s="1"/>
      <c r="V74" s="5">
        <f t="shared" si="33"/>
        <v>8.4233840479145338E-5</v>
      </c>
      <c r="W74" s="1"/>
      <c r="X74" s="1">
        <f t="shared" si="34"/>
        <v>-33.06</v>
      </c>
      <c r="Y74" s="1"/>
      <c r="Z74" s="5">
        <f t="shared" si="35"/>
        <v>-1</v>
      </c>
    </row>
    <row r="75" spans="1:26" s="24" customFormat="1" hidden="1" outlineLevel="2" x14ac:dyDescent="0.25">
      <c r="A75" s="29"/>
      <c r="B75" s="11" t="str">
        <f>CONCATENATE("          ", "6279", " - ", "GENERAL EXPENSE")</f>
        <v xml:space="preserve">          6279 - GENERAL EXPENSE</v>
      </c>
      <c r="C75" s="11"/>
      <c r="D75" s="7"/>
      <c r="E75" s="2"/>
      <c r="F75" s="6">
        <f t="shared" si="28"/>
        <v>0</v>
      </c>
      <c r="G75" s="2"/>
      <c r="H75" s="7">
        <v>33.06</v>
      </c>
      <c r="I75" s="2"/>
      <c r="J75" s="6">
        <f t="shared" si="29"/>
        <v>1.4264927139489886E-4</v>
      </c>
      <c r="K75" s="2"/>
      <c r="L75" s="7">
        <f t="shared" si="30"/>
        <v>-33.06</v>
      </c>
      <c r="M75" s="2"/>
      <c r="N75" s="6">
        <f t="shared" si="31"/>
        <v>-1</v>
      </c>
      <c r="O75" s="11"/>
      <c r="P75" s="7"/>
      <c r="Q75" s="2"/>
      <c r="R75" s="6">
        <f t="shared" si="32"/>
        <v>0</v>
      </c>
      <c r="S75" s="2"/>
      <c r="T75" s="7">
        <v>33.06</v>
      </c>
      <c r="U75" s="2"/>
      <c r="V75" s="6">
        <f t="shared" si="33"/>
        <v>8.4233840479145338E-5</v>
      </c>
      <c r="W75" s="2"/>
      <c r="X75" s="7">
        <f t="shared" si="34"/>
        <v>-33.06</v>
      </c>
      <c r="Y75" s="2"/>
      <c r="Z75" s="6">
        <f t="shared" si="35"/>
        <v>-1</v>
      </c>
    </row>
    <row r="76" spans="1:26" s="27" customFormat="1" outlineLevel="1" collapsed="1" x14ac:dyDescent="0.25">
      <c r="A76" s="28"/>
      <c r="B76" s="14" t="str">
        <f>CONCATENATE("     ","Inventory Adjustment                              ")</f>
        <v xml:space="preserve">     Inventory Adjustment                              </v>
      </c>
      <c r="C76" s="14"/>
      <c r="D76" s="1">
        <f>SUM(OSRRefD22_7x_0)</f>
        <v>2850</v>
      </c>
      <c r="E76" s="1"/>
      <c r="F76" s="5">
        <f t="shared" si="28"/>
        <v>1.1259005723130384E-2</v>
      </c>
      <c r="G76" s="1"/>
      <c r="H76" s="1">
        <f>SUM(OSRRefH22_7x_0)</f>
        <v>1000</v>
      </c>
      <c r="I76" s="1"/>
      <c r="J76" s="5">
        <f t="shared" si="29"/>
        <v>4.3148599937960939E-3</v>
      </c>
      <c r="K76" s="1"/>
      <c r="L76" s="1">
        <f t="shared" si="30"/>
        <v>1850</v>
      </c>
      <c r="M76" s="1"/>
      <c r="N76" s="5">
        <f t="shared" si="31"/>
        <v>1.85</v>
      </c>
      <c r="O76" s="14"/>
      <c r="P76" s="1">
        <f>SUM(OSRRefP22_7x_0)</f>
        <v>5700</v>
      </c>
      <c r="Q76" s="1"/>
      <c r="R76" s="5">
        <f t="shared" si="32"/>
        <v>1.3140426947686763E-2</v>
      </c>
      <c r="S76" s="1"/>
      <c r="T76" s="1">
        <f>SUM(OSRRefT22_7x_0)</f>
        <v>2000</v>
      </c>
      <c r="U76" s="1"/>
      <c r="V76" s="5">
        <f t="shared" si="33"/>
        <v>5.0958161209404308E-3</v>
      </c>
      <c r="W76" s="1"/>
      <c r="X76" s="1">
        <f t="shared" si="34"/>
        <v>3700</v>
      </c>
      <c r="Y76" s="1"/>
      <c r="Z76" s="5">
        <f t="shared" si="35"/>
        <v>1.85</v>
      </c>
    </row>
    <row r="77" spans="1:26" s="24" customFormat="1" hidden="1" outlineLevel="2" x14ac:dyDescent="0.25">
      <c r="A77" s="29"/>
      <c r="B77" s="11" t="str">
        <f>CONCATENATE("          ", "6408", " - ", "INVENTORY ADJUSTMENT")</f>
        <v xml:space="preserve">          6408 - INVENTORY ADJUSTMENT</v>
      </c>
      <c r="C77" s="11"/>
      <c r="D77" s="7">
        <v>2850</v>
      </c>
      <c r="E77" s="2"/>
      <c r="F77" s="6">
        <f t="shared" si="28"/>
        <v>1.1259005723130384E-2</v>
      </c>
      <c r="G77" s="2"/>
      <c r="H77" s="7">
        <v>1000</v>
      </c>
      <c r="I77" s="2"/>
      <c r="J77" s="6">
        <f t="shared" si="29"/>
        <v>4.3148599937960939E-3</v>
      </c>
      <c r="K77" s="2"/>
      <c r="L77" s="7">
        <f t="shared" si="30"/>
        <v>1850</v>
      </c>
      <c r="M77" s="2"/>
      <c r="N77" s="6">
        <f t="shared" si="31"/>
        <v>1.85</v>
      </c>
      <c r="O77" s="11"/>
      <c r="P77" s="7">
        <v>5700</v>
      </c>
      <c r="Q77" s="2"/>
      <c r="R77" s="6">
        <f t="shared" si="32"/>
        <v>1.3140426947686763E-2</v>
      </c>
      <c r="S77" s="2"/>
      <c r="T77" s="7">
        <v>2000</v>
      </c>
      <c r="U77" s="2"/>
      <c r="V77" s="6">
        <f t="shared" si="33"/>
        <v>5.0958161209404308E-3</v>
      </c>
      <c r="W77" s="2"/>
      <c r="X77" s="7">
        <f t="shared" si="34"/>
        <v>3700</v>
      </c>
      <c r="Y77" s="2"/>
      <c r="Z77" s="6">
        <f t="shared" si="35"/>
        <v>1.85</v>
      </c>
    </row>
    <row r="78" spans="1:26" s="27" customFormat="1" outlineLevel="1" collapsed="1" x14ac:dyDescent="0.25">
      <c r="A78" s="28"/>
      <c r="B78" s="14" t="str">
        <f>CONCATENATE("     ","Repair and Maintenance                            ")</f>
        <v xml:space="preserve">     Repair and Maintenance                            </v>
      </c>
      <c r="C78" s="14"/>
      <c r="D78" s="1">
        <f>SUM(OSRRefD22_8x_0)</f>
        <v>0</v>
      </c>
      <c r="E78" s="1"/>
      <c r="F78" s="5">
        <f t="shared" si="28"/>
        <v>0</v>
      </c>
      <c r="G78" s="1"/>
      <c r="H78" s="1">
        <f>SUM(OSRRefH22_8x_0)</f>
        <v>0</v>
      </c>
      <c r="I78" s="1"/>
      <c r="J78" s="5">
        <f t="shared" si="29"/>
        <v>0</v>
      </c>
      <c r="K78" s="1"/>
      <c r="L78" s="1">
        <f t="shared" si="30"/>
        <v>0</v>
      </c>
      <c r="M78" s="1"/>
      <c r="N78" s="5">
        <f t="shared" si="31"/>
        <v>0</v>
      </c>
      <c r="O78" s="14"/>
      <c r="P78" s="1">
        <f>SUM(OSRRefP22_8x_0)</f>
        <v>0</v>
      </c>
      <c r="Q78" s="1"/>
      <c r="R78" s="5">
        <f t="shared" si="32"/>
        <v>0</v>
      </c>
      <c r="S78" s="1"/>
      <c r="T78" s="1">
        <f>SUM(OSRRefT22_8x_0)</f>
        <v>186.58</v>
      </c>
      <c r="U78" s="1"/>
      <c r="V78" s="5">
        <f t="shared" si="33"/>
        <v>4.7538868592253284E-4</v>
      </c>
      <c r="W78" s="1"/>
      <c r="X78" s="1">
        <f t="shared" si="34"/>
        <v>-186.58</v>
      </c>
      <c r="Y78" s="1"/>
      <c r="Z78" s="5">
        <f t="shared" si="35"/>
        <v>-1</v>
      </c>
    </row>
    <row r="79" spans="1:26" s="24" customFormat="1" hidden="1" outlineLevel="2" x14ac:dyDescent="0.25">
      <c r="A79" s="29"/>
      <c r="B79" s="11" t="str">
        <f>CONCATENATE("          ", "6371", " - ", "COMPUTER SOFTWARE MAINTENANCE")</f>
        <v xml:space="preserve">          6371 - COMPUTER SOFTWARE MAINTENANCE</v>
      </c>
      <c r="C79" s="11"/>
      <c r="D79" s="7"/>
      <c r="E79" s="2"/>
      <c r="F79" s="6">
        <f t="shared" si="28"/>
        <v>0</v>
      </c>
      <c r="G79" s="2"/>
      <c r="H79" s="7"/>
      <c r="I79" s="2"/>
      <c r="J79" s="6">
        <f t="shared" si="29"/>
        <v>0</v>
      </c>
      <c r="K79" s="2"/>
      <c r="L79" s="7">
        <f t="shared" si="30"/>
        <v>0</v>
      </c>
      <c r="M79" s="2"/>
      <c r="N79" s="6">
        <f t="shared" si="31"/>
        <v>0</v>
      </c>
      <c r="O79" s="11"/>
      <c r="P79" s="7"/>
      <c r="Q79" s="2"/>
      <c r="R79" s="6">
        <f t="shared" si="32"/>
        <v>0</v>
      </c>
      <c r="S79" s="2"/>
      <c r="T79" s="7">
        <v>186.58</v>
      </c>
      <c r="U79" s="2"/>
      <c r="V79" s="6">
        <f t="shared" si="33"/>
        <v>4.7538868592253284E-4</v>
      </c>
      <c r="W79" s="2"/>
      <c r="X79" s="7">
        <f t="shared" si="34"/>
        <v>-186.58</v>
      </c>
      <c r="Y79" s="2"/>
      <c r="Z79" s="6">
        <f t="shared" si="35"/>
        <v>-1</v>
      </c>
    </row>
    <row r="80" spans="1:26" s="27" customFormat="1" outlineLevel="1" collapsed="1" x14ac:dyDescent="0.25">
      <c r="A80" s="28"/>
      <c r="B80" s="14" t="str">
        <f>CONCATENATE("     ","Royalty &amp; Commissions                             ")</f>
        <v xml:space="preserve">     Royalty &amp; Commissions                             </v>
      </c>
      <c r="C80" s="14"/>
      <c r="D80" s="1">
        <f>SUM(OSRRefD22_9x_0)</f>
        <v>136.4</v>
      </c>
      <c r="E80" s="1"/>
      <c r="F80" s="5">
        <f t="shared" si="28"/>
        <v>5.3885206338069635E-4</v>
      </c>
      <c r="G80" s="1"/>
      <c r="H80" s="1">
        <f>SUM(OSRRefH22_9x_0)</f>
        <v>269.14</v>
      </c>
      <c r="I80" s="1"/>
      <c r="J80" s="5">
        <f t="shared" si="29"/>
        <v>1.1613014187302805E-3</v>
      </c>
      <c r="K80" s="1"/>
      <c r="L80" s="1">
        <f t="shared" si="30"/>
        <v>-132.73999999999998</v>
      </c>
      <c r="M80" s="1"/>
      <c r="N80" s="5">
        <f t="shared" si="31"/>
        <v>-0.49320056476183394</v>
      </c>
      <c r="O80" s="14"/>
      <c r="P80" s="1">
        <f>SUM(OSRRefP22_9x_0)</f>
        <v>4617.4399999999996</v>
      </c>
      <c r="Q80" s="1"/>
      <c r="R80" s="5">
        <f t="shared" si="32"/>
        <v>1.0644760176373115E-2</v>
      </c>
      <c r="S80" s="1"/>
      <c r="T80" s="1">
        <f>SUM(OSRRefT22_9x_0)</f>
        <v>6914.5300000000007</v>
      </c>
      <c r="U80" s="1"/>
      <c r="V80" s="5">
        <f t="shared" si="33"/>
        <v>1.7617586721363123E-2</v>
      </c>
      <c r="W80" s="1"/>
      <c r="X80" s="1">
        <f t="shared" si="34"/>
        <v>-2297.0900000000011</v>
      </c>
      <c r="Y80" s="1"/>
      <c r="Z80" s="5">
        <f t="shared" si="35"/>
        <v>-0.33221202308761416</v>
      </c>
    </row>
    <row r="81" spans="1:26" s="24" customFormat="1" hidden="1" outlineLevel="2" x14ac:dyDescent="0.25">
      <c r="A81" s="29"/>
      <c r="B81" s="11" t="str">
        <f>CONCATENATE("          ", "6253", " - ", "ROYALTY DUE ATHLETICS-LRG")</f>
        <v xml:space="preserve">          6253 - ROYALTY DUE ATHLETICS-LRG</v>
      </c>
      <c r="C81" s="11"/>
      <c r="D81" s="7"/>
      <c r="E81" s="2"/>
      <c r="F81" s="6">
        <f t="shared" si="28"/>
        <v>0</v>
      </c>
      <c r="G81" s="2"/>
      <c r="H81" s="7"/>
      <c r="I81" s="2"/>
      <c r="J81" s="6">
        <f t="shared" si="29"/>
        <v>0</v>
      </c>
      <c r="K81" s="2"/>
      <c r="L81" s="7">
        <f t="shared" si="30"/>
        <v>0</v>
      </c>
      <c r="M81" s="2"/>
      <c r="N81" s="6">
        <f t="shared" si="31"/>
        <v>0</v>
      </c>
      <c r="O81" s="11"/>
      <c r="P81" s="7">
        <v>4366.95</v>
      </c>
      <c r="Q81" s="2"/>
      <c r="R81" s="6">
        <f t="shared" si="32"/>
        <v>1.0067296045473807E-2</v>
      </c>
      <c r="S81" s="2"/>
      <c r="T81" s="7">
        <v>6645.39</v>
      </c>
      <c r="U81" s="2"/>
      <c r="V81" s="6">
        <f t="shared" si="33"/>
        <v>1.6931842745968168E-2</v>
      </c>
      <c r="W81" s="2"/>
      <c r="X81" s="7">
        <f t="shared" si="34"/>
        <v>-2278.4400000000005</v>
      </c>
      <c r="Y81" s="2"/>
      <c r="Z81" s="6">
        <f t="shared" si="35"/>
        <v>-0.34286023845101649</v>
      </c>
    </row>
    <row r="82" spans="1:26" s="24" customFormat="1" hidden="1" outlineLevel="2" x14ac:dyDescent="0.25">
      <c r="A82" s="29"/>
      <c r="B82" s="11" t="str">
        <f>CONCATENATE("          ", "6254", " - ", "ROYALTY &amp; COMMISSIONS")</f>
        <v xml:space="preserve">          6254 - ROYALTY &amp; COMMISSIONS</v>
      </c>
      <c r="C82" s="11"/>
      <c r="D82" s="7">
        <v>136.4</v>
      </c>
      <c r="E82" s="2"/>
      <c r="F82" s="6">
        <f t="shared" si="28"/>
        <v>5.3885206338069635E-4</v>
      </c>
      <c r="G82" s="2"/>
      <c r="H82" s="7">
        <v>269.14</v>
      </c>
      <c r="I82" s="2"/>
      <c r="J82" s="6">
        <f t="shared" si="29"/>
        <v>1.1613014187302805E-3</v>
      </c>
      <c r="K82" s="2"/>
      <c r="L82" s="7">
        <f t="shared" si="30"/>
        <v>-132.73999999999998</v>
      </c>
      <c r="M82" s="2"/>
      <c r="N82" s="6">
        <f t="shared" si="31"/>
        <v>-0.49320056476183394</v>
      </c>
      <c r="O82" s="11"/>
      <c r="P82" s="7">
        <v>250.49</v>
      </c>
      <c r="Q82" s="2"/>
      <c r="R82" s="6">
        <f t="shared" si="32"/>
        <v>5.7746413089930829E-4</v>
      </c>
      <c r="S82" s="2"/>
      <c r="T82" s="7">
        <v>269.14</v>
      </c>
      <c r="U82" s="2"/>
      <c r="V82" s="6">
        <f t="shared" si="33"/>
        <v>6.8574397539495377E-4</v>
      </c>
      <c r="W82" s="2"/>
      <c r="X82" s="7">
        <f t="shared" si="34"/>
        <v>-18.649999999999977</v>
      </c>
      <c r="Y82" s="2"/>
      <c r="Z82" s="6">
        <f t="shared" si="35"/>
        <v>-6.9294790815189036E-2</v>
      </c>
    </row>
    <row r="83" spans="1:26" s="27" customFormat="1" outlineLevel="1" collapsed="1" x14ac:dyDescent="0.25">
      <c r="A83" s="28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SUM(OSRRefD22_10x_0)</f>
        <v>0</v>
      </c>
      <c r="E83" s="1"/>
      <c r="F83" s="5">
        <f t="shared" ref="F83:F89" si="36">IF(D$12=0,0,D83/D$12)</f>
        <v>0</v>
      </c>
      <c r="G83" s="1"/>
      <c r="H83" s="1">
        <f>SUM(OSRRefH22_10x_0)</f>
        <v>283.5</v>
      </c>
      <c r="I83" s="1"/>
      <c r="J83" s="5">
        <f t="shared" ref="J83:J89" si="37">IF(H$12=0,0,H83/H$12)</f>
        <v>1.2232628082411924E-3</v>
      </c>
      <c r="K83" s="1"/>
      <c r="L83" s="1">
        <f t="shared" ref="L83:L89" si="38">+D83-H83</f>
        <v>-283.5</v>
      </c>
      <c r="M83" s="1"/>
      <c r="N83" s="5">
        <f t="shared" ref="N83:N89" si="39">IF(H83=0,0,L83/H83)</f>
        <v>-1</v>
      </c>
      <c r="O83" s="14"/>
      <c r="P83" s="1">
        <f>SUM(OSRRefP22_10x_0)</f>
        <v>0</v>
      </c>
      <c r="Q83" s="1"/>
      <c r="R83" s="5">
        <f t="shared" ref="R83:R89" si="40">IF(P$12=0,0,P83/P$12)</f>
        <v>0</v>
      </c>
      <c r="S83" s="1"/>
      <c r="T83" s="1">
        <f>SUM(OSRRefT22_10x_0)</f>
        <v>283.5</v>
      </c>
      <c r="U83" s="1"/>
      <c r="V83" s="5">
        <f t="shared" ref="V83:V89" si="41">IF(T$12=0,0,T83/T$12)</f>
        <v>7.223319351433061E-4</v>
      </c>
      <c r="W83" s="1"/>
      <c r="X83" s="1">
        <f t="shared" ref="X83:X89" si="42">+P83-T83</f>
        <v>-283.5</v>
      </c>
      <c r="Y83" s="1"/>
      <c r="Z83" s="5">
        <f t="shared" ref="Z83:Z89" si="43">IF(T83=0,0,X83/T83)</f>
        <v>-1</v>
      </c>
    </row>
    <row r="84" spans="1:26" s="24" customFormat="1" hidden="1" outlineLevel="2" x14ac:dyDescent="0.25">
      <c r="A84" s="29"/>
      <c r="B84" s="11" t="str">
        <f>CONCATENATE("          ", "6275", " - ", "SUBSCRIPTIONS")</f>
        <v xml:space="preserve">          6275 - SUBSCRIPTIONS</v>
      </c>
      <c r="C84" s="11"/>
      <c r="D84" s="7"/>
      <c r="E84" s="2"/>
      <c r="F84" s="6">
        <f t="shared" si="36"/>
        <v>0</v>
      </c>
      <c r="G84" s="2"/>
      <c r="H84" s="7">
        <v>283.5</v>
      </c>
      <c r="I84" s="2"/>
      <c r="J84" s="6">
        <f t="shared" si="37"/>
        <v>1.2232628082411924E-3</v>
      </c>
      <c r="K84" s="2"/>
      <c r="L84" s="7">
        <f t="shared" si="38"/>
        <v>-283.5</v>
      </c>
      <c r="M84" s="2"/>
      <c r="N84" s="6">
        <f t="shared" si="39"/>
        <v>-1</v>
      </c>
      <c r="O84" s="11"/>
      <c r="P84" s="7"/>
      <c r="Q84" s="2"/>
      <c r="R84" s="6">
        <f t="shared" si="40"/>
        <v>0</v>
      </c>
      <c r="S84" s="2"/>
      <c r="T84" s="7">
        <v>283.5</v>
      </c>
      <c r="U84" s="2"/>
      <c r="V84" s="6">
        <f t="shared" si="41"/>
        <v>7.223319351433061E-4</v>
      </c>
      <c r="W84" s="2"/>
      <c r="X84" s="7">
        <f t="shared" si="42"/>
        <v>-283.5</v>
      </c>
      <c r="Y84" s="2"/>
      <c r="Z84" s="6">
        <f t="shared" si="43"/>
        <v>-1</v>
      </c>
    </row>
    <row r="85" spans="1:26" s="27" customFormat="1" outlineLevel="1" collapsed="1" x14ac:dyDescent="0.25">
      <c r="A85" s="28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SUM(OSRRefD22_11x_0)</f>
        <v>273.63</v>
      </c>
      <c r="E85" s="1"/>
      <c r="F85" s="5">
        <f t="shared" si="36"/>
        <v>1.0809830652702341E-3</v>
      </c>
      <c r="G85" s="1"/>
      <c r="H85" s="1">
        <f>SUM(OSRRefH22_11x_0)</f>
        <v>130.94</v>
      </c>
      <c r="I85" s="1"/>
      <c r="J85" s="5">
        <f t="shared" si="37"/>
        <v>5.6498776758766051E-4</v>
      </c>
      <c r="K85" s="1"/>
      <c r="L85" s="1">
        <f t="shared" si="38"/>
        <v>142.69</v>
      </c>
      <c r="M85" s="1"/>
      <c r="N85" s="5">
        <f t="shared" si="39"/>
        <v>1.0897357568351917</v>
      </c>
      <c r="O85" s="14"/>
      <c r="P85" s="1">
        <f>SUM(OSRRefP22_11x_0)</f>
        <v>1143.23</v>
      </c>
      <c r="Q85" s="1"/>
      <c r="R85" s="5">
        <f t="shared" si="40"/>
        <v>2.6355316314743749E-3</v>
      </c>
      <c r="S85" s="1"/>
      <c r="T85" s="1">
        <f>SUM(OSRRefT22_11x_0)</f>
        <v>437.77</v>
      </c>
      <c r="U85" s="1"/>
      <c r="V85" s="5">
        <f t="shared" si="41"/>
        <v>1.1153977116320462E-3</v>
      </c>
      <c r="W85" s="1"/>
      <c r="X85" s="1">
        <f t="shared" si="42"/>
        <v>705.46</v>
      </c>
      <c r="Y85" s="1"/>
      <c r="Z85" s="5">
        <f t="shared" si="43"/>
        <v>1.6114854832446264</v>
      </c>
    </row>
    <row r="86" spans="1:26" s="24" customFormat="1" hidden="1" outlineLevel="2" x14ac:dyDescent="0.25">
      <c r="A86" s="29"/>
      <c r="B86" s="11" t="str">
        <f>CONCATENATE("          ", "6234", " - ", "EXPENDABLE SUPPLIES &amp; EQUIPMEN")</f>
        <v xml:space="preserve">          6234 - EXPENDABLE SUPPLIES &amp; EQUIPMEN</v>
      </c>
      <c r="C86" s="11"/>
      <c r="D86" s="7"/>
      <c r="E86" s="2"/>
      <c r="F86" s="6">
        <f t="shared" si="36"/>
        <v>0</v>
      </c>
      <c r="G86" s="2"/>
      <c r="H86" s="7"/>
      <c r="I86" s="2"/>
      <c r="J86" s="6">
        <f t="shared" si="37"/>
        <v>0</v>
      </c>
      <c r="K86" s="2"/>
      <c r="L86" s="7">
        <f t="shared" si="38"/>
        <v>0</v>
      </c>
      <c r="M86" s="2"/>
      <c r="N86" s="6">
        <f t="shared" si="39"/>
        <v>0</v>
      </c>
      <c r="O86" s="11"/>
      <c r="P86" s="7">
        <v>-15.95</v>
      </c>
      <c r="Q86" s="2"/>
      <c r="R86" s="6">
        <f t="shared" si="40"/>
        <v>-3.6770142072912952E-5</v>
      </c>
      <c r="S86" s="2"/>
      <c r="T86" s="7"/>
      <c r="U86" s="2"/>
      <c r="V86" s="6">
        <f t="shared" si="41"/>
        <v>0</v>
      </c>
      <c r="W86" s="2"/>
      <c r="X86" s="7">
        <f t="shared" si="42"/>
        <v>-15.95</v>
      </c>
      <c r="Y86" s="2"/>
      <c r="Z86" s="6">
        <f t="shared" si="43"/>
        <v>0</v>
      </c>
    </row>
    <row r="87" spans="1:26" s="24" customFormat="1" hidden="1" outlineLevel="2" x14ac:dyDescent="0.25">
      <c r="A87" s="29"/>
      <c r="B87" s="11" t="str">
        <f>CONCATENATE("          ", "6241", " - ", "OFFICE EXPENSE")</f>
        <v xml:space="preserve">          6241 - OFFICE EXPENSE</v>
      </c>
      <c r="C87" s="11"/>
      <c r="D87" s="7">
        <v>246.64</v>
      </c>
      <c r="E87" s="2"/>
      <c r="F87" s="6">
        <f t="shared" si="36"/>
        <v>9.7435830580802738E-4</v>
      </c>
      <c r="G87" s="2"/>
      <c r="H87" s="7">
        <v>117.34</v>
      </c>
      <c r="I87" s="2"/>
      <c r="J87" s="6">
        <f t="shared" si="37"/>
        <v>5.0630567167203361E-4</v>
      </c>
      <c r="K87" s="2"/>
      <c r="L87" s="7">
        <f t="shared" si="38"/>
        <v>129.29999999999998</v>
      </c>
      <c r="M87" s="2"/>
      <c r="N87" s="6">
        <f t="shared" si="39"/>
        <v>1.101926026930288</v>
      </c>
      <c r="O87" s="11"/>
      <c r="P87" s="7">
        <v>1132.19</v>
      </c>
      <c r="Q87" s="2"/>
      <c r="R87" s="6">
        <f t="shared" si="40"/>
        <v>2.6100806992809607E-3</v>
      </c>
      <c r="S87" s="2"/>
      <c r="T87" s="7">
        <v>203.67</v>
      </c>
      <c r="U87" s="2"/>
      <c r="V87" s="6">
        <f t="shared" si="41"/>
        <v>5.1893243467596877E-4</v>
      </c>
      <c r="W87" s="2"/>
      <c r="X87" s="7">
        <f t="shared" si="42"/>
        <v>928.5200000000001</v>
      </c>
      <c r="Y87" s="2"/>
      <c r="Z87" s="6">
        <f t="shared" si="43"/>
        <v>4.5589433888152415</v>
      </c>
    </row>
    <row r="88" spans="1:26" s="24" customFormat="1" hidden="1" outlineLevel="2" x14ac:dyDescent="0.25">
      <c r="A88" s="29"/>
      <c r="B88" s="11" t="str">
        <f>CONCATENATE("          ", "6245", " - ", "PRINTING")</f>
        <v xml:space="preserve">          6245 - PRINTING</v>
      </c>
      <c r="C88" s="11"/>
      <c r="D88" s="7"/>
      <c r="E88" s="2"/>
      <c r="F88" s="6">
        <f t="shared" si="36"/>
        <v>0</v>
      </c>
      <c r="G88" s="2"/>
      <c r="H88" s="7"/>
      <c r="I88" s="2"/>
      <c r="J88" s="6">
        <f t="shared" si="37"/>
        <v>0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/>
      <c r="Q88" s="2"/>
      <c r="R88" s="6">
        <f t="shared" si="40"/>
        <v>0</v>
      </c>
      <c r="S88" s="2"/>
      <c r="T88" s="7">
        <v>220.5</v>
      </c>
      <c r="U88" s="2"/>
      <c r="V88" s="6">
        <f t="shared" si="41"/>
        <v>5.6181372733368252E-4</v>
      </c>
      <c r="W88" s="2"/>
      <c r="X88" s="7">
        <f t="shared" si="42"/>
        <v>-220.5</v>
      </c>
      <c r="Y88" s="2"/>
      <c r="Z88" s="6">
        <f t="shared" si="43"/>
        <v>-1</v>
      </c>
    </row>
    <row r="89" spans="1:26" s="24" customFormat="1" hidden="1" outlineLevel="2" x14ac:dyDescent="0.25">
      <c r="A89" s="29"/>
      <c r="B89" s="11" t="str">
        <f>CONCATENATE("          ", "6247", " - ", "STORE SUPPLIES")</f>
        <v xml:space="preserve">          6247 - STORE SUPPLIES</v>
      </c>
      <c r="C89" s="11"/>
      <c r="D89" s="7">
        <v>26.99</v>
      </c>
      <c r="E89" s="2"/>
      <c r="F89" s="6">
        <f t="shared" si="36"/>
        <v>1.0662475946220669E-4</v>
      </c>
      <c r="G89" s="2"/>
      <c r="H89" s="7">
        <v>13.6</v>
      </c>
      <c r="I89" s="2"/>
      <c r="J89" s="6">
        <f t="shared" si="37"/>
        <v>5.8682095915626873E-5</v>
      </c>
      <c r="K89" s="2"/>
      <c r="L89" s="7">
        <f t="shared" si="38"/>
        <v>13.389999999999999</v>
      </c>
      <c r="M89" s="2"/>
      <c r="N89" s="6">
        <f t="shared" si="39"/>
        <v>0.98455882352941171</v>
      </c>
      <c r="O89" s="11"/>
      <c r="P89" s="7">
        <v>26.99</v>
      </c>
      <c r="Q89" s="2"/>
      <c r="R89" s="6">
        <f t="shared" si="40"/>
        <v>6.2221074266327313E-5</v>
      </c>
      <c r="S89" s="2"/>
      <c r="T89" s="7">
        <v>13.6</v>
      </c>
      <c r="U89" s="2"/>
      <c r="V89" s="6">
        <f t="shared" si="41"/>
        <v>3.465154962239493E-5</v>
      </c>
      <c r="W89" s="2"/>
      <c r="X89" s="7">
        <f t="shared" si="42"/>
        <v>13.389999999999999</v>
      </c>
      <c r="Y89" s="2"/>
      <c r="Z89" s="6">
        <f t="shared" si="43"/>
        <v>0.98455882352941171</v>
      </c>
    </row>
    <row r="90" spans="1:26" s="27" customFormat="1" outlineLevel="1" collapsed="1" x14ac:dyDescent="0.25">
      <c r="A90" s="28"/>
      <c r="B90" s="14" t="str">
        <f>CONCATENATE("     ","Telephone/Data Lines                              ")</f>
        <v xml:space="preserve">     Telephone/Data Lines                              </v>
      </c>
      <c r="C90" s="14"/>
      <c r="D90" s="1">
        <f>SUM(OSRRefD22_12x_0)</f>
        <v>521.25</v>
      </c>
      <c r="E90" s="1"/>
      <c r="F90" s="5">
        <f t="shared" ref="F90:F95" si="44">IF(D$12=0,0,D90/D$12)</f>
        <v>2.059212888835689E-3</v>
      </c>
      <c r="G90" s="1"/>
      <c r="H90" s="1">
        <f>SUM(OSRRefH22_12x_0)</f>
        <v>520.76</v>
      </c>
      <c r="I90" s="1"/>
      <c r="J90" s="5">
        <f t="shared" ref="J90:J95" si="45">IF(H$12=0,0,H90/H$12)</f>
        <v>2.2470064903692536E-3</v>
      </c>
      <c r="K90" s="1"/>
      <c r="L90" s="1">
        <f t="shared" ref="L90:L95" si="46">+D90-H90</f>
        <v>0.49000000000000909</v>
      </c>
      <c r="M90" s="1"/>
      <c r="N90" s="5">
        <f t="shared" ref="N90:N95" si="47">IF(H90=0,0,L90/H90)</f>
        <v>9.4093248329366519E-4</v>
      </c>
      <c r="O90" s="14"/>
      <c r="P90" s="1">
        <f>SUM(OSRRefP22_12x_0)</f>
        <v>1109.52</v>
      </c>
      <c r="Q90" s="1"/>
      <c r="R90" s="5">
        <f t="shared" ref="R90:R95" si="48">IF(P$12=0,0,P90/P$12)</f>
        <v>2.5578186854381432E-3</v>
      </c>
      <c r="S90" s="1"/>
      <c r="T90" s="1">
        <f>SUM(OSRRefT22_12x_0)</f>
        <v>988.81</v>
      </c>
      <c r="U90" s="1"/>
      <c r="V90" s="5">
        <f t="shared" ref="V90:V95" si="49">IF(T$12=0,0,T90/T$12)</f>
        <v>2.5193969692735539E-3</v>
      </c>
      <c r="W90" s="1"/>
      <c r="X90" s="1">
        <f t="shared" ref="X90:X95" si="50">+P90-T90</f>
        <v>120.71000000000004</v>
      </c>
      <c r="Y90" s="1"/>
      <c r="Z90" s="5">
        <f t="shared" ref="Z90:Z95" si="51">IF(T90=0,0,X90/T90)</f>
        <v>0.12207603078447836</v>
      </c>
    </row>
    <row r="91" spans="1:26" s="24" customFormat="1" hidden="1" outlineLevel="2" x14ac:dyDescent="0.25">
      <c r="A91" s="29"/>
      <c r="B91" s="11" t="str">
        <f>CONCATENATE("          ", "6309", " - ", "TELEPHONE")</f>
        <v xml:space="preserve">          6309 - TELEPHONE</v>
      </c>
      <c r="C91" s="11"/>
      <c r="D91" s="7">
        <v>521.25</v>
      </c>
      <c r="E91" s="2"/>
      <c r="F91" s="6">
        <f t="shared" si="44"/>
        <v>2.059212888835689E-3</v>
      </c>
      <c r="G91" s="2"/>
      <c r="H91" s="7">
        <v>520.76</v>
      </c>
      <c r="I91" s="2"/>
      <c r="J91" s="6">
        <f t="shared" si="45"/>
        <v>2.2470064903692536E-3</v>
      </c>
      <c r="K91" s="2"/>
      <c r="L91" s="7">
        <f t="shared" si="46"/>
        <v>0.49000000000000909</v>
      </c>
      <c r="M91" s="2"/>
      <c r="N91" s="6">
        <f t="shared" si="47"/>
        <v>9.4093248329366519E-4</v>
      </c>
      <c r="O91" s="11"/>
      <c r="P91" s="7">
        <v>1109.52</v>
      </c>
      <c r="Q91" s="2"/>
      <c r="R91" s="6">
        <f t="shared" si="48"/>
        <v>2.5578186854381432E-3</v>
      </c>
      <c r="S91" s="2"/>
      <c r="T91" s="7">
        <v>988.81</v>
      </c>
      <c r="U91" s="2"/>
      <c r="V91" s="6">
        <f t="shared" si="49"/>
        <v>2.5193969692735539E-3</v>
      </c>
      <c r="W91" s="2"/>
      <c r="X91" s="7">
        <f t="shared" si="50"/>
        <v>120.71000000000004</v>
      </c>
      <c r="Y91" s="2"/>
      <c r="Z91" s="6">
        <f t="shared" si="51"/>
        <v>0.12207603078447836</v>
      </c>
    </row>
    <row r="92" spans="1:26" s="27" customFormat="1" outlineLevel="1" collapsed="1" x14ac:dyDescent="0.25">
      <c r="A92" s="28"/>
      <c r="B92" s="14" t="str">
        <f>CONCATENATE("     ","Training                                          ")</f>
        <v xml:space="preserve">     Training                                          </v>
      </c>
      <c r="C92" s="14"/>
      <c r="D92" s="1">
        <f>SUM(OSRRefD22_13x_0)</f>
        <v>0</v>
      </c>
      <c r="E92" s="1"/>
      <c r="F92" s="5">
        <f t="shared" si="44"/>
        <v>0</v>
      </c>
      <c r="G92" s="1"/>
      <c r="H92" s="1">
        <f>SUM(OSRRefH22_13x_0)</f>
        <v>595</v>
      </c>
      <c r="I92" s="1"/>
      <c r="J92" s="5">
        <f t="shared" si="45"/>
        <v>2.5673416963086755E-3</v>
      </c>
      <c r="K92" s="1"/>
      <c r="L92" s="1">
        <f t="shared" si="46"/>
        <v>-595</v>
      </c>
      <c r="M92" s="1"/>
      <c r="N92" s="5">
        <f t="shared" si="47"/>
        <v>-1</v>
      </c>
      <c r="O92" s="14"/>
      <c r="P92" s="1">
        <f>SUM(OSRRefP22_13x_0)</f>
        <v>103.5</v>
      </c>
      <c r="Q92" s="1"/>
      <c r="R92" s="5">
        <f t="shared" si="48"/>
        <v>2.3860248931325962E-4</v>
      </c>
      <c r="S92" s="1"/>
      <c r="T92" s="1">
        <f>SUM(OSRRefT22_13x_0)</f>
        <v>279.39999999999998</v>
      </c>
      <c r="U92" s="1"/>
      <c r="V92" s="5">
        <f t="shared" si="49"/>
        <v>7.1188551209537814E-4</v>
      </c>
      <c r="W92" s="1"/>
      <c r="X92" s="1">
        <f t="shared" si="50"/>
        <v>-175.89999999999998</v>
      </c>
      <c r="Y92" s="1"/>
      <c r="Z92" s="5">
        <f t="shared" si="51"/>
        <v>-0.629563350035791</v>
      </c>
    </row>
    <row r="93" spans="1:26" s="24" customFormat="1" hidden="1" outlineLevel="2" x14ac:dyDescent="0.25">
      <c r="A93" s="29"/>
      <c r="B93" s="11" t="str">
        <f>CONCATENATE("          ", "6376", " - ", "TRAINING")</f>
        <v xml:space="preserve">          6376 - TRAINING</v>
      </c>
      <c r="C93" s="11"/>
      <c r="D93" s="7"/>
      <c r="E93" s="2"/>
      <c r="F93" s="6">
        <f t="shared" si="44"/>
        <v>0</v>
      </c>
      <c r="G93" s="2"/>
      <c r="H93" s="7">
        <v>595</v>
      </c>
      <c r="I93" s="2"/>
      <c r="J93" s="6">
        <f t="shared" si="45"/>
        <v>2.5673416963086755E-3</v>
      </c>
      <c r="K93" s="2"/>
      <c r="L93" s="7">
        <f t="shared" si="46"/>
        <v>-595</v>
      </c>
      <c r="M93" s="2"/>
      <c r="N93" s="6">
        <f t="shared" si="47"/>
        <v>-1</v>
      </c>
      <c r="O93" s="11"/>
      <c r="P93" s="7">
        <v>103.5</v>
      </c>
      <c r="Q93" s="2"/>
      <c r="R93" s="6">
        <f t="shared" si="48"/>
        <v>2.3860248931325962E-4</v>
      </c>
      <c r="S93" s="2"/>
      <c r="T93" s="7">
        <v>279.39999999999998</v>
      </c>
      <c r="U93" s="2"/>
      <c r="V93" s="6">
        <f t="shared" si="49"/>
        <v>7.1188551209537814E-4</v>
      </c>
      <c r="W93" s="2"/>
      <c r="X93" s="7">
        <f t="shared" si="50"/>
        <v>-175.89999999999998</v>
      </c>
      <c r="Y93" s="2"/>
      <c r="Z93" s="6">
        <f t="shared" si="51"/>
        <v>-0.629563350035791</v>
      </c>
    </row>
    <row r="94" spans="1:26" s="27" customFormat="1" outlineLevel="1" collapsed="1" x14ac:dyDescent="0.25">
      <c r="A94" s="28"/>
      <c r="B94" s="14" t="str">
        <f>CONCATENATE("     ","Travel                                            ")</f>
        <v xml:space="preserve">     Travel                                            </v>
      </c>
      <c r="C94" s="14"/>
      <c r="D94" s="1">
        <f>SUM(OSRRefD22_14x_0)</f>
        <v>0</v>
      </c>
      <c r="E94" s="1"/>
      <c r="F94" s="5">
        <f t="shared" si="44"/>
        <v>0</v>
      </c>
      <c r="G94" s="1"/>
      <c r="H94" s="1">
        <f>SUM(OSRRefH22_14x_0)</f>
        <v>0</v>
      </c>
      <c r="I94" s="1"/>
      <c r="J94" s="5">
        <f t="shared" si="45"/>
        <v>0</v>
      </c>
      <c r="K94" s="1"/>
      <c r="L94" s="1">
        <f t="shared" si="46"/>
        <v>0</v>
      </c>
      <c r="M94" s="1"/>
      <c r="N94" s="5">
        <f t="shared" si="47"/>
        <v>0</v>
      </c>
      <c r="O94" s="14"/>
      <c r="P94" s="1">
        <f>SUM(OSRRefP22_14x_0)</f>
        <v>0</v>
      </c>
      <c r="Q94" s="1"/>
      <c r="R94" s="5">
        <f t="shared" si="48"/>
        <v>0</v>
      </c>
      <c r="S94" s="1"/>
      <c r="T94" s="1">
        <f>SUM(OSRRefT22_14x_0)</f>
        <v>39.35</v>
      </c>
      <c r="U94" s="1"/>
      <c r="V94" s="5">
        <f t="shared" si="49"/>
        <v>1.0026018217950299E-4</v>
      </c>
      <c r="W94" s="1"/>
      <c r="X94" s="1">
        <f t="shared" si="50"/>
        <v>-39.35</v>
      </c>
      <c r="Y94" s="1"/>
      <c r="Z94" s="5">
        <f t="shared" si="51"/>
        <v>-1</v>
      </c>
    </row>
    <row r="95" spans="1:26" s="24" customFormat="1" hidden="1" outlineLevel="2" x14ac:dyDescent="0.25">
      <c r="A95" s="29"/>
      <c r="B95" s="11" t="str">
        <f>CONCATENATE("          ", "6294", " - ", "TRAVEL OPERATIONAL")</f>
        <v xml:space="preserve">          6294 - TRAVEL OPERATIONAL</v>
      </c>
      <c r="C95" s="11"/>
      <c r="D95" s="7"/>
      <c r="E95" s="2"/>
      <c r="F95" s="6">
        <f t="shared" si="44"/>
        <v>0</v>
      </c>
      <c r="G95" s="2"/>
      <c r="H95" s="7"/>
      <c r="I95" s="2"/>
      <c r="J95" s="6">
        <f t="shared" si="45"/>
        <v>0</v>
      </c>
      <c r="K95" s="2"/>
      <c r="L95" s="7">
        <f t="shared" si="46"/>
        <v>0</v>
      </c>
      <c r="M95" s="2"/>
      <c r="N95" s="6">
        <f t="shared" si="47"/>
        <v>0</v>
      </c>
      <c r="O95" s="11"/>
      <c r="P95" s="7"/>
      <c r="Q95" s="2"/>
      <c r="R95" s="6">
        <f t="shared" si="48"/>
        <v>0</v>
      </c>
      <c r="S95" s="2"/>
      <c r="T95" s="7">
        <v>39.35</v>
      </c>
      <c r="U95" s="2"/>
      <c r="V95" s="6">
        <f t="shared" si="49"/>
        <v>1.0026018217950299E-4</v>
      </c>
      <c r="W95" s="2"/>
      <c r="X95" s="7">
        <f t="shared" si="50"/>
        <v>-39.35</v>
      </c>
      <c r="Y95" s="2"/>
      <c r="Z95" s="6">
        <f t="shared" si="51"/>
        <v>-1</v>
      </c>
    </row>
    <row r="96" spans="1:26" s="62" customFormat="1" x14ac:dyDescent="0.25">
      <c r="A96" s="37"/>
      <c r="B96" s="37"/>
      <c r="C96" s="37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5" t="s">
        <v>0</v>
      </c>
      <c r="C97" s="10"/>
      <c r="D97" s="4">
        <f>SUM(OSRRefD25x_0)</f>
        <v>5022.16</v>
      </c>
      <c r="E97" s="4"/>
      <c r="F97" s="12">
        <f t="shared" ref="F97:F98" si="52">IF(D$12=0,0,D97/D$12)</f>
        <v>1.9840185327184734E-2</v>
      </c>
      <c r="G97" s="4"/>
      <c r="H97" s="4">
        <f>SUM(OSRRefH25x_0)</f>
        <v>4765.58</v>
      </c>
      <c r="I97" s="4"/>
      <c r="J97" s="12">
        <f t="shared" ref="J97:J98" si="53">IF(H$12=0,0,H97/H$12)</f>
        <v>2.0562810489234789E-2</v>
      </c>
      <c r="K97" s="4"/>
      <c r="L97" s="4">
        <f t="shared" ref="L97:L98" si="54">+D97-H97</f>
        <v>256.57999999999993</v>
      </c>
      <c r="M97" s="4"/>
      <c r="N97" s="12">
        <f t="shared" ref="N97:N98" si="55">IF(H97=0,0,L97/H97)</f>
        <v>5.3840246098061505E-2</v>
      </c>
      <c r="O97" s="10"/>
      <c r="P97" s="4">
        <f>SUM(OSRRefP25x_0)</f>
        <v>14396.98</v>
      </c>
      <c r="Q97" s="4"/>
      <c r="R97" s="12">
        <f t="shared" ref="R97:R98" si="56">IF(P$12=0,0,P97/P$12)</f>
        <v>3.3189905957422342E-2</v>
      </c>
      <c r="S97" s="4"/>
      <c r="T97" s="4">
        <f>SUM(OSRRefT25x_0)</f>
        <v>18385.810000000001</v>
      </c>
      <c r="U97" s="4"/>
      <c r="V97" s="12">
        <f t="shared" ref="V97:V98" si="57">IF(T$12=0,0,T97/T$12)</f>
        <v>4.6845353497273902E-2</v>
      </c>
      <c r="W97" s="4"/>
      <c r="X97" s="4">
        <f t="shared" ref="X97:X98" si="58">+P97-T97</f>
        <v>-3988.8300000000017</v>
      </c>
      <c r="Y97" s="4"/>
      <c r="Z97" s="12">
        <f t="shared" ref="Z97:Z98" si="59">IF(T97=0,0,X97/T97)</f>
        <v>-0.21695155122347079</v>
      </c>
    </row>
    <row r="98" spans="1:26" s="24" customFormat="1" hidden="1" outlineLevel="1" x14ac:dyDescent="0.25">
      <c r="A98" s="50"/>
      <c r="B98" s="11" t="str">
        <f>CONCATENATE("          ", "9150", " - ", "MISC. INCOME")</f>
        <v xml:space="preserve">          9150 - MISC. INCOME</v>
      </c>
      <c r="C98" s="11"/>
      <c r="D98" s="2">
        <f>--5022.16</f>
        <v>5022.16</v>
      </c>
      <c r="E98" s="2"/>
      <c r="F98" s="21">
        <f t="shared" si="52"/>
        <v>1.9840185327184734E-2</v>
      </c>
      <c r="G98" s="2"/>
      <c r="H98" s="2">
        <f>--4765.58</f>
        <v>4765.58</v>
      </c>
      <c r="I98" s="2"/>
      <c r="J98" s="21">
        <f t="shared" si="53"/>
        <v>2.0562810489234789E-2</v>
      </c>
      <c r="K98" s="2"/>
      <c r="L98" s="2">
        <f t="shared" si="54"/>
        <v>256.57999999999993</v>
      </c>
      <c r="M98" s="2"/>
      <c r="N98" s="21">
        <f t="shared" si="55"/>
        <v>5.3840246098061505E-2</v>
      </c>
      <c r="O98" s="11"/>
      <c r="P98" s="2">
        <f>--14396.98</f>
        <v>14396.98</v>
      </c>
      <c r="Q98" s="2"/>
      <c r="R98" s="21">
        <f t="shared" si="56"/>
        <v>3.3189905957422342E-2</v>
      </c>
      <c r="S98" s="2"/>
      <c r="T98" s="2">
        <f>--18385.81</f>
        <v>18385.810000000001</v>
      </c>
      <c r="U98" s="2"/>
      <c r="V98" s="21">
        <f t="shared" si="57"/>
        <v>4.6845353497273902E-2</v>
      </c>
      <c r="W98" s="2"/>
      <c r="X98" s="2">
        <f t="shared" si="58"/>
        <v>-3988.8300000000017</v>
      </c>
      <c r="Y98" s="2"/>
      <c r="Z98" s="21">
        <f t="shared" si="59"/>
        <v>-0.21695155122347079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6" t="s">
        <v>3</v>
      </c>
      <c r="C100" s="26"/>
      <c r="D100" s="20">
        <f>+D48-D50+D97</f>
        <v>92206.619999999966</v>
      </c>
      <c r="E100" s="13"/>
      <c r="F100" s="19">
        <f>IF(D$12=0,0,D100/D$12)</f>
        <v>0.36426486396158181</v>
      </c>
      <c r="G100" s="13"/>
      <c r="H100" s="20">
        <f>+H48-H50+H97</f>
        <v>85617.270000000062</v>
      </c>
      <c r="I100" s="13"/>
      <c r="J100" s="19">
        <f>IF(H$12=0,0,H100/H$12)</f>
        <v>0.36942653310103873</v>
      </c>
      <c r="K100" s="15"/>
      <c r="L100" s="20">
        <f>+D100-H100</f>
        <v>6589.349999999904</v>
      </c>
      <c r="M100" s="15"/>
      <c r="N100" s="19">
        <f>IF(H100=0,0,L100/H100)</f>
        <v>7.6962860413557904E-2</v>
      </c>
      <c r="O100" s="25"/>
      <c r="P100" s="20">
        <f>+P48-P50+P97</f>
        <v>139646.59999999995</v>
      </c>
      <c r="Q100" s="13"/>
      <c r="R100" s="19">
        <f>IF(P$12=0,0,P100/P$12)</f>
        <v>0.32193262206891815</v>
      </c>
      <c r="S100" s="13"/>
      <c r="T100" s="20">
        <f>+T48-T50+T97</f>
        <v>135603.15999999997</v>
      </c>
      <c r="U100" s="13"/>
      <c r="V100" s="19">
        <f>IF(T$12=0,0,T100/T$12)</f>
        <v>0.34550438438923226</v>
      </c>
      <c r="W100" s="15"/>
      <c r="X100" s="20">
        <f>+P100-T100</f>
        <v>4043.4399999999732</v>
      </c>
      <c r="Y100" s="15"/>
      <c r="Z100" s="19">
        <f>IF(T100=0,0,X100/T100)</f>
        <v>2.981818417800864E-2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>
        <v>16522.489999999998</v>
      </c>
      <c r="E102" s="4"/>
      <c r="F102" s="12">
        <f>IF(D$12=0,0,D102/D$12)</f>
        <v>6.5272564726443688E-2</v>
      </c>
      <c r="G102" s="4"/>
      <c r="H102" s="4">
        <v>7073.99</v>
      </c>
      <c r="I102" s="4"/>
      <c r="J102" s="12">
        <f>IF(H$12=0,0,H102/H$12)</f>
        <v>3.0523276447513625E-2</v>
      </c>
      <c r="K102" s="4"/>
      <c r="L102" s="4">
        <f>+D102-H102</f>
        <v>9448.4999999999982</v>
      </c>
      <c r="M102" s="4"/>
      <c r="N102" s="12">
        <f>IF(H102=0,0,L102/H102)</f>
        <v>1.3356677066266702</v>
      </c>
      <c r="O102" s="10"/>
      <c r="P102" s="4">
        <v>54083.939999999995</v>
      </c>
      <c r="Q102" s="4"/>
      <c r="R102" s="12">
        <f>IF(P$12=0,0,P102/P$12)</f>
        <v>0.12468176537071472</v>
      </c>
      <c r="S102" s="4"/>
      <c r="T102" s="4">
        <v>40070.239999999998</v>
      </c>
      <c r="U102" s="4"/>
      <c r="V102" s="12">
        <f>IF(T$12=0,0,T102/T$12)</f>
        <v>0.10209528748097604</v>
      </c>
      <c r="W102" s="4"/>
      <c r="X102" s="4">
        <f>+P102-T102</f>
        <v>14013.699999999997</v>
      </c>
      <c r="Y102" s="4"/>
      <c r="Z102" s="12">
        <f>IF(T102=0,0,X102/T102)</f>
        <v>0.34972837697004056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4</v>
      </c>
      <c r="C104" s="26"/>
      <c r="D104" s="31">
        <f>+D100-D102</f>
        <v>75684.129999999976</v>
      </c>
      <c r="E104" s="13"/>
      <c r="F104" s="36">
        <f>IF(D$12=0,0,D104/D$12)</f>
        <v>0.29899229923513815</v>
      </c>
      <c r="G104" s="13"/>
      <c r="H104" s="31">
        <f>+H100-H102</f>
        <v>78543.280000000057</v>
      </c>
      <c r="I104" s="13"/>
      <c r="J104" s="36">
        <f>IF(H$12=0,0,H104/H$12)</f>
        <v>0.33890325665352511</v>
      </c>
      <c r="K104" s="15"/>
      <c r="L104" s="31">
        <f>D104-H104</f>
        <v>-2859.1500000000815</v>
      </c>
      <c r="M104" s="15"/>
      <c r="N104" s="36">
        <f>IF(H104=0,0,L104/H104)</f>
        <v>-3.640222308006591E-2</v>
      </c>
      <c r="O104" s="25"/>
      <c r="P104" s="31">
        <f>+P100-P102</f>
        <v>85562.659999999945</v>
      </c>
      <c r="Q104" s="13"/>
      <c r="R104" s="36">
        <f>IF(P$12=0,0,P104/P$12)</f>
        <v>0.19725085669820341</v>
      </c>
      <c r="S104" s="13"/>
      <c r="T104" s="31">
        <f>+T100-T102</f>
        <v>95532.919999999984</v>
      </c>
      <c r="U104" s="13"/>
      <c r="V104" s="36">
        <f>IF(T$12=0,0,T104/T$12)</f>
        <v>0.24340909690825624</v>
      </c>
      <c r="W104" s="15"/>
      <c r="X104" s="31">
        <f>P104-T104</f>
        <v>-9970.2600000000384</v>
      </c>
      <c r="Y104" s="15"/>
      <c r="Z104" s="36">
        <f>IF(T104=0,0,X104/T104)</f>
        <v>-0.10436465251978104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6" t="s">
        <v>5</v>
      </c>
      <c r="C107" s="26"/>
      <c r="D107" s="32">
        <f>SUM(D104:D106)</f>
        <v>75684.129999999976</v>
      </c>
      <c r="E107" s="13"/>
      <c r="F107" s="30">
        <f>IF(D$12=0,0,D107/D$12)</f>
        <v>0.29899229923513815</v>
      </c>
      <c r="G107" s="13"/>
      <c r="H107" s="32">
        <f>SUM(H104:H106)</f>
        <v>78543.280000000057</v>
      </c>
      <c r="I107" s="13"/>
      <c r="J107" s="30">
        <f>IF(H$12=0,0,H107/H$12)</f>
        <v>0.33890325665352511</v>
      </c>
      <c r="K107" s="15"/>
      <c r="L107" s="32">
        <f>+D107-H107</f>
        <v>-2859.1500000000815</v>
      </c>
      <c r="M107" s="15"/>
      <c r="N107" s="30">
        <f>IF(H107=0,0,L107/H107)</f>
        <v>-3.640222308006591E-2</v>
      </c>
      <c r="O107" s="25"/>
      <c r="P107" s="32">
        <f>SUM(P104:P106)</f>
        <v>85562.659999999945</v>
      </c>
      <c r="Q107" s="13"/>
      <c r="R107" s="30">
        <f>IF(P$12=0,0,P107/P$12)</f>
        <v>0.19725085669820341</v>
      </c>
      <c r="S107" s="13"/>
      <c r="T107" s="32">
        <f>SUM(T104:T106)</f>
        <v>95532.919999999984</v>
      </c>
      <c r="U107" s="13"/>
      <c r="V107" s="30">
        <f>IF(T$12=0,0,T107/T$12)</f>
        <v>0.24340909690825624</v>
      </c>
      <c r="W107" s="15"/>
      <c r="X107" s="32">
        <f>+P107-T107</f>
        <v>-9970.2600000000384</v>
      </c>
      <c r="Y107" s="15"/>
      <c r="Z107" s="30">
        <f>IF(T107=0,0,X107/T107)</f>
        <v>-0.10436465251978104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7">
        <v>43732.709753356481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60" t="s">
        <v>313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6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","326", " - ", "2nd Street Store")</f>
        <v>Department 326 - 2nd Street 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69493.83</v>
      </c>
      <c r="E12" s="4"/>
      <c r="F12" s="12"/>
      <c r="G12" s="4"/>
      <c r="H12" s="4">
        <f>SUM(OSRRefH13x_0)</f>
        <v>44894.319999999992</v>
      </c>
      <c r="I12" s="4"/>
      <c r="J12" s="12"/>
      <c r="K12" s="4"/>
      <c r="L12" s="4">
        <f t="shared" ref="L12:L33" si="0">+D12-H12</f>
        <v>24599.510000000009</v>
      </c>
      <c r="M12" s="4"/>
      <c r="N12" s="12">
        <f t="shared" ref="N12:N33" si="1">IF(H12=0,0,L12/H12)</f>
        <v>0.54794259051033656</v>
      </c>
      <c r="O12" s="10"/>
      <c r="P12" s="4">
        <f>SUM(OSRRefP13x_0)</f>
        <v>120975.98000000003</v>
      </c>
      <c r="Q12" s="4"/>
      <c r="R12" s="12"/>
      <c r="S12" s="4"/>
      <c r="T12" s="4">
        <f>SUM(OSRRefT13x_0)</f>
        <v>94947.810000000012</v>
      </c>
      <c r="U12" s="4"/>
      <c r="V12" s="12"/>
      <c r="W12" s="4"/>
      <c r="X12" s="4">
        <f t="shared" ref="X12:X33" si="2">+P12-T12</f>
        <v>26028.170000000013</v>
      </c>
      <c r="Y12" s="4"/>
      <c r="Z12" s="12">
        <f t="shared" ref="Z12:Z33" si="3">IF(T12=0,0,X12/T12)</f>
        <v>0.27413133594129246</v>
      </c>
    </row>
    <row r="13" spans="1:26" s="24" customFormat="1" hidden="1" outlineLevel="1" x14ac:dyDescent="0.25">
      <c r="A13" s="50"/>
      <c r="B13" s="11" t="str">
        <f>CONCATENATE("          ", "4025", " - ", "TAXABLE SALES-TEST FORMS")</f>
        <v xml:space="preserve">          4025 - TAXABLE SALES-TEST FORMS</v>
      </c>
      <c r="C13" s="11"/>
      <c r="D13" s="2">
        <f>0</f>
        <v>0</v>
      </c>
      <c r="E13" s="2"/>
      <c r="F13" s="21"/>
      <c r="G13" s="2"/>
      <c r="H13" s="2">
        <f>--14.49</f>
        <v>14.49</v>
      </c>
      <c r="I13" s="2"/>
      <c r="J13" s="21"/>
      <c r="K13" s="2"/>
      <c r="L13" s="2">
        <f t="shared" si="0"/>
        <v>-14.49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f>--14.49</f>
        <v>14.49</v>
      </c>
      <c r="U13" s="2"/>
      <c r="V13" s="21"/>
      <c r="W13" s="2"/>
      <c r="X13" s="2">
        <f t="shared" si="2"/>
        <v>-14.49</v>
      </c>
      <c r="Y13" s="2"/>
      <c r="Z13" s="21">
        <f t="shared" si="3"/>
        <v>-1</v>
      </c>
    </row>
    <row r="14" spans="1:26" s="24" customFormat="1" hidden="1" outlineLevel="1" x14ac:dyDescent="0.25">
      <c r="A14" s="50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--26</f>
        <v>26</v>
      </c>
      <c r="E14" s="2"/>
      <c r="F14" s="21"/>
      <c r="G14" s="2"/>
      <c r="H14" s="2">
        <f>--18.83</f>
        <v>18.829999999999998</v>
      </c>
      <c r="I14" s="2"/>
      <c r="J14" s="21"/>
      <c r="K14" s="2"/>
      <c r="L14" s="2">
        <f t="shared" si="0"/>
        <v>7.1700000000000017</v>
      </c>
      <c r="M14" s="2"/>
      <c r="N14" s="21">
        <f t="shared" si="1"/>
        <v>0.3807753584705259</v>
      </c>
      <c r="O14" s="11"/>
      <c r="P14" s="2">
        <f>--64.56</f>
        <v>64.56</v>
      </c>
      <c r="Q14" s="2"/>
      <c r="R14" s="21"/>
      <c r="S14" s="2"/>
      <c r="T14" s="2">
        <f>--50.66</f>
        <v>50.66</v>
      </c>
      <c r="U14" s="2"/>
      <c r="V14" s="21"/>
      <c r="W14" s="2"/>
      <c r="X14" s="2">
        <f t="shared" si="2"/>
        <v>13.900000000000006</v>
      </c>
      <c r="Y14" s="2"/>
      <c r="Z14" s="21">
        <f t="shared" si="3"/>
        <v>0.27437820765890264</v>
      </c>
    </row>
    <row r="15" spans="1:26" s="24" customFormat="1" hidden="1" outlineLevel="1" x14ac:dyDescent="0.25">
      <c r="A15" s="50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--40.43</f>
        <v>40.43</v>
      </c>
      <c r="E15" s="2"/>
      <c r="F15" s="21"/>
      <c r="G15" s="2"/>
      <c r="H15" s="2">
        <f>--267.82</f>
        <v>267.82</v>
      </c>
      <c r="I15" s="2"/>
      <c r="J15" s="21"/>
      <c r="K15" s="2"/>
      <c r="L15" s="2">
        <f t="shared" si="0"/>
        <v>-227.39</v>
      </c>
      <c r="M15" s="2"/>
      <c r="N15" s="21">
        <f t="shared" si="1"/>
        <v>-0.8490404002688372</v>
      </c>
      <c r="O15" s="11"/>
      <c r="P15" s="2">
        <f>--40.43</f>
        <v>40.43</v>
      </c>
      <c r="Q15" s="2"/>
      <c r="R15" s="21"/>
      <c r="S15" s="2"/>
      <c r="T15" s="2">
        <f>--284.19</f>
        <v>284.19</v>
      </c>
      <c r="U15" s="2"/>
      <c r="V15" s="21"/>
      <c r="W15" s="2"/>
      <c r="X15" s="2">
        <f t="shared" si="2"/>
        <v>-243.76</v>
      </c>
      <c r="Y15" s="2"/>
      <c r="Z15" s="21">
        <f t="shared" si="3"/>
        <v>-0.85773602167563956</v>
      </c>
    </row>
    <row r="16" spans="1:26" s="24" customFormat="1" hidden="1" outlineLevel="1" x14ac:dyDescent="0.25">
      <c r="A16" s="50"/>
      <c r="B16" s="11" t="str">
        <f>CONCATENATE("          ", "4034", " - ", "TAXABLE SALES-SODA")</f>
        <v xml:space="preserve">          4034 - TAXABLE SALES-SODA</v>
      </c>
      <c r="C16" s="11"/>
      <c r="D16" s="2">
        <f>0</f>
        <v>0</v>
      </c>
      <c r="E16" s="2"/>
      <c r="F16" s="21"/>
      <c r="G16" s="2"/>
      <c r="H16" s="2">
        <f>--22.75</f>
        <v>22.75</v>
      </c>
      <c r="I16" s="2"/>
      <c r="J16" s="21"/>
      <c r="K16" s="2"/>
      <c r="L16" s="2">
        <f t="shared" si="0"/>
        <v>-22.75</v>
      </c>
      <c r="M16" s="2"/>
      <c r="N16" s="21">
        <f t="shared" si="1"/>
        <v>-1</v>
      </c>
      <c r="O16" s="11"/>
      <c r="P16" s="2">
        <f>0</f>
        <v>0</v>
      </c>
      <c r="Q16" s="2"/>
      <c r="R16" s="21"/>
      <c r="S16" s="2"/>
      <c r="T16" s="2">
        <f>--33.25</f>
        <v>33.25</v>
      </c>
      <c r="U16" s="2"/>
      <c r="V16" s="21"/>
      <c r="W16" s="2"/>
      <c r="X16" s="2">
        <f t="shared" si="2"/>
        <v>-33.25</v>
      </c>
      <c r="Y16" s="2"/>
      <c r="Z16" s="21">
        <f t="shared" si="3"/>
        <v>-1</v>
      </c>
    </row>
    <row r="17" spans="1:26" s="24" customFormat="1" hidden="1" outlineLevel="1" x14ac:dyDescent="0.25">
      <c r="A17" s="50"/>
      <c r="B17" s="11" t="str">
        <f>CONCATENATE("          ", "4040", " - ", "TAXABLE SALES-LOGO CLOTHING")</f>
        <v xml:space="preserve">          4040 - TAXABLE SALES-LOGO CLOTHING</v>
      </c>
      <c r="C17" s="11"/>
      <c r="D17" s="2">
        <f>--56804.39</f>
        <v>56804.39</v>
      </c>
      <c r="E17" s="2"/>
      <c r="F17" s="21"/>
      <c r="G17" s="2"/>
      <c r="H17" s="2">
        <f>--35429.88</f>
        <v>35429.879999999997</v>
      </c>
      <c r="I17" s="2"/>
      <c r="J17" s="21"/>
      <c r="K17" s="2"/>
      <c r="L17" s="2">
        <f t="shared" si="0"/>
        <v>21374.510000000002</v>
      </c>
      <c r="M17" s="2"/>
      <c r="N17" s="21">
        <f t="shared" si="1"/>
        <v>0.60329049943155333</v>
      </c>
      <c r="O17" s="11"/>
      <c r="P17" s="2">
        <f>--100556.8</f>
        <v>100556.8</v>
      </c>
      <c r="Q17" s="2"/>
      <c r="R17" s="21"/>
      <c r="S17" s="2"/>
      <c r="T17" s="2">
        <f>--77906.08</f>
        <v>77906.080000000002</v>
      </c>
      <c r="U17" s="2"/>
      <c r="V17" s="21"/>
      <c r="W17" s="2"/>
      <c r="X17" s="2">
        <f t="shared" si="2"/>
        <v>22650.720000000001</v>
      </c>
      <c r="Y17" s="2"/>
      <c r="Z17" s="21">
        <f t="shared" si="3"/>
        <v>0.29074393166746421</v>
      </c>
    </row>
    <row r="18" spans="1:26" s="24" customFormat="1" hidden="1" outlineLevel="1" x14ac:dyDescent="0.25">
      <c r="A18" s="50"/>
      <c r="B18" s="11" t="str">
        <f>CONCATENATE("          ", "4041", " - ", "TAXABLE SALES-LOGO GIFTS")</f>
        <v xml:space="preserve">          4041 - TAXABLE SALES-LOGO GIFTS</v>
      </c>
      <c r="C18" s="11"/>
      <c r="D18" s="2">
        <f>--7240</f>
        <v>7240</v>
      </c>
      <c r="E18" s="2"/>
      <c r="F18" s="21"/>
      <c r="G18" s="2"/>
      <c r="H18" s="2">
        <f>--5772.29</f>
        <v>5772.29</v>
      </c>
      <c r="I18" s="2"/>
      <c r="J18" s="21"/>
      <c r="K18" s="2"/>
      <c r="L18" s="2">
        <f t="shared" si="0"/>
        <v>1467.71</v>
      </c>
      <c r="M18" s="2"/>
      <c r="N18" s="21">
        <f t="shared" si="1"/>
        <v>0.25426823669635451</v>
      </c>
      <c r="O18" s="11"/>
      <c r="P18" s="2">
        <f>--13465.53</f>
        <v>13465.53</v>
      </c>
      <c r="Q18" s="2"/>
      <c r="R18" s="21"/>
      <c r="S18" s="2"/>
      <c r="T18" s="2">
        <f>--12305.02</f>
        <v>12305.02</v>
      </c>
      <c r="U18" s="2"/>
      <c r="V18" s="21"/>
      <c r="W18" s="2"/>
      <c r="X18" s="2">
        <f t="shared" si="2"/>
        <v>1160.5100000000002</v>
      </c>
      <c r="Y18" s="2"/>
      <c r="Z18" s="21">
        <f t="shared" si="3"/>
        <v>9.4311914974538863E-2</v>
      </c>
    </row>
    <row r="19" spans="1:26" s="24" customFormat="1" hidden="1" outlineLevel="1" x14ac:dyDescent="0.25">
      <c r="A19" s="50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--6729.58</f>
        <v>6729.58</v>
      </c>
      <c r="E19" s="2"/>
      <c r="F19" s="21"/>
      <c r="G19" s="2"/>
      <c r="H19" s="2">
        <f>--3651.43</f>
        <v>3651.43</v>
      </c>
      <c r="I19" s="2"/>
      <c r="J19" s="21"/>
      <c r="K19" s="2"/>
      <c r="L19" s="2">
        <f t="shared" si="0"/>
        <v>3078.15</v>
      </c>
      <c r="M19" s="2"/>
      <c r="N19" s="21">
        <f t="shared" si="1"/>
        <v>0.84299849647946157</v>
      </c>
      <c r="O19" s="11"/>
      <c r="P19" s="2">
        <f>--9163.19</f>
        <v>9163.19</v>
      </c>
      <c r="Q19" s="2"/>
      <c r="R19" s="21"/>
      <c r="S19" s="2"/>
      <c r="T19" s="2">
        <f>--5904.35</f>
        <v>5904.35</v>
      </c>
      <c r="U19" s="2"/>
      <c r="V19" s="21"/>
      <c r="W19" s="2"/>
      <c r="X19" s="2">
        <f t="shared" si="2"/>
        <v>3258.84</v>
      </c>
      <c r="Y19" s="2"/>
      <c r="Z19" s="21">
        <f t="shared" si="3"/>
        <v>0.55193882476479206</v>
      </c>
    </row>
    <row r="20" spans="1:26" s="24" customFormat="1" hidden="1" outlineLevel="1" x14ac:dyDescent="0.25">
      <c r="A20" s="50"/>
      <c r="B20" s="11" t="str">
        <f>CONCATENATE("          ", "4043", " - ", "TAXABLE SALES-CARDS")</f>
        <v xml:space="preserve">          4043 - TAXABLE SALES-CARDS</v>
      </c>
      <c r="C20" s="11"/>
      <c r="D20" s="2">
        <f>0</f>
        <v>0</v>
      </c>
      <c r="E20" s="2"/>
      <c r="F20" s="21"/>
      <c r="G20" s="2"/>
      <c r="H20" s="2">
        <f>--19.99</f>
        <v>19.989999999999998</v>
      </c>
      <c r="I20" s="2"/>
      <c r="J20" s="21"/>
      <c r="K20" s="2"/>
      <c r="L20" s="2">
        <f t="shared" si="0"/>
        <v>-19.989999999999998</v>
      </c>
      <c r="M20" s="2"/>
      <c r="N20" s="21">
        <f t="shared" si="1"/>
        <v>-1</v>
      </c>
      <c r="O20" s="11"/>
      <c r="P20" s="2">
        <f>0</f>
        <v>0</v>
      </c>
      <c r="Q20" s="2"/>
      <c r="R20" s="21"/>
      <c r="S20" s="2"/>
      <c r="T20" s="2">
        <f>--61.97</f>
        <v>61.97</v>
      </c>
      <c r="U20" s="2"/>
      <c r="V20" s="21"/>
      <c r="W20" s="2"/>
      <c r="X20" s="2">
        <f t="shared" si="2"/>
        <v>-61.97</v>
      </c>
      <c r="Y20" s="2"/>
      <c r="Z20" s="21">
        <f t="shared" si="3"/>
        <v>-1</v>
      </c>
    </row>
    <row r="21" spans="1:26" s="24" customFormat="1" hidden="1" outlineLevel="1" x14ac:dyDescent="0.25">
      <c r="A21" s="50"/>
      <c r="B21" s="11" t="str">
        <f>CONCATENATE("          ", "4044", " - ", "TAXABLE SALES-ACCESSORIES")</f>
        <v xml:space="preserve">          4044 - TAXABLE SALES-ACCESSORIES</v>
      </c>
      <c r="C21" s="11"/>
      <c r="D21" s="2">
        <f>--513.75</f>
        <v>513.75</v>
      </c>
      <c r="E21" s="2"/>
      <c r="F21" s="21"/>
      <c r="G21" s="2"/>
      <c r="H21" s="2">
        <f>--1333.16</f>
        <v>1333.16</v>
      </c>
      <c r="I21" s="2"/>
      <c r="J21" s="21"/>
      <c r="K21" s="2"/>
      <c r="L21" s="2">
        <f t="shared" si="0"/>
        <v>-819.41000000000008</v>
      </c>
      <c r="M21" s="2"/>
      <c r="N21" s="21">
        <f t="shared" si="1"/>
        <v>-0.61463740286237212</v>
      </c>
      <c r="O21" s="11"/>
      <c r="P21" s="2">
        <f>--761.95</f>
        <v>761.95</v>
      </c>
      <c r="Q21" s="2"/>
      <c r="R21" s="21"/>
      <c r="S21" s="2"/>
      <c r="T21" s="2">
        <f>--1992.4</f>
        <v>1992.4</v>
      </c>
      <c r="U21" s="2"/>
      <c r="V21" s="21"/>
      <c r="W21" s="2"/>
      <c r="X21" s="2">
        <f t="shared" si="2"/>
        <v>-1230.45</v>
      </c>
      <c r="Y21" s="2"/>
      <c r="Z21" s="21">
        <f t="shared" si="3"/>
        <v>-0.61757177273639829</v>
      </c>
    </row>
    <row r="22" spans="1:26" s="24" customFormat="1" hidden="1" outlineLevel="1" x14ac:dyDescent="0.25">
      <c r="A22" s="50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--129.87</f>
        <v>129.87</v>
      </c>
      <c r="E22" s="2"/>
      <c r="F22" s="21"/>
      <c r="G22" s="2"/>
      <c r="H22" s="2">
        <f>--164.6</f>
        <v>164.6</v>
      </c>
      <c r="I22" s="2"/>
      <c r="J22" s="21"/>
      <c r="K22" s="2"/>
      <c r="L22" s="2">
        <f t="shared" si="0"/>
        <v>-34.72999999999999</v>
      </c>
      <c r="M22" s="2"/>
      <c r="N22" s="21">
        <f t="shared" si="1"/>
        <v>-0.21099635479951392</v>
      </c>
      <c r="O22" s="11"/>
      <c r="P22" s="2">
        <f>--367.76</f>
        <v>367.76</v>
      </c>
      <c r="Q22" s="2"/>
      <c r="R22" s="21"/>
      <c r="S22" s="2"/>
      <c r="T22" s="2">
        <f>--449.85</f>
        <v>449.85</v>
      </c>
      <c r="U22" s="2"/>
      <c r="V22" s="21"/>
      <c r="W22" s="2"/>
      <c r="X22" s="2">
        <f t="shared" si="2"/>
        <v>-82.090000000000032</v>
      </c>
      <c r="Y22" s="2"/>
      <c r="Z22" s="21">
        <f t="shared" si="3"/>
        <v>-0.18248304990552414</v>
      </c>
    </row>
    <row r="23" spans="1:26" s="24" customFormat="1" hidden="1" outlineLevel="1" x14ac:dyDescent="0.25">
      <c r="A23" s="50"/>
      <c r="B23" s="11" t="str">
        <f>CONCATENATE("          ", "4092", " - ", "TAXABLE SALES-GRAD MERCH")</f>
        <v xml:space="preserve">          4092 - TAXABLE SALES-GRAD MERCH</v>
      </c>
      <c r="C23" s="11"/>
      <c r="D23" s="2">
        <f>-39.95</f>
        <v>-39.950000000000003</v>
      </c>
      <c r="E23" s="2"/>
      <c r="F23" s="21"/>
      <c r="G23" s="2"/>
      <c r="H23" s="2">
        <f>0</f>
        <v>0</v>
      </c>
      <c r="I23" s="2"/>
      <c r="J23" s="21"/>
      <c r="K23" s="2"/>
      <c r="L23" s="2">
        <f t="shared" si="0"/>
        <v>-39.950000000000003</v>
      </c>
      <c r="M23" s="2"/>
      <c r="N23" s="21">
        <f t="shared" si="1"/>
        <v>0</v>
      </c>
      <c r="O23" s="11"/>
      <c r="P23" s="2">
        <f>-39.95</f>
        <v>-39.950000000000003</v>
      </c>
      <c r="Q23" s="2"/>
      <c r="R23" s="21"/>
      <c r="S23" s="2"/>
      <c r="T23" s="2">
        <f>0</f>
        <v>0</v>
      </c>
      <c r="U23" s="2"/>
      <c r="V23" s="21"/>
      <c r="W23" s="2"/>
      <c r="X23" s="2">
        <f t="shared" si="2"/>
        <v>-39.950000000000003</v>
      </c>
      <c r="Y23" s="2"/>
      <c r="Z23" s="21">
        <f t="shared" si="3"/>
        <v>0</v>
      </c>
    </row>
    <row r="24" spans="1:26" s="24" customFormat="1" hidden="1" outlineLevel="1" x14ac:dyDescent="0.25">
      <c r="A24" s="50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>--5.94</f>
        <v>5.94</v>
      </c>
      <c r="E24" s="2"/>
      <c r="F24" s="21"/>
      <c r="G24" s="2"/>
      <c r="H24" s="2">
        <f>--4.95</f>
        <v>4.95</v>
      </c>
      <c r="I24" s="2"/>
      <c r="J24" s="21"/>
      <c r="K24" s="2"/>
      <c r="L24" s="2">
        <f t="shared" si="0"/>
        <v>0.99000000000000021</v>
      </c>
      <c r="M24" s="2"/>
      <c r="N24" s="21">
        <f t="shared" si="1"/>
        <v>0.20000000000000004</v>
      </c>
      <c r="O24" s="11"/>
      <c r="P24" s="2">
        <f>--16.83</f>
        <v>16.829999999999998</v>
      </c>
      <c r="Q24" s="2"/>
      <c r="R24" s="21"/>
      <c r="S24" s="2"/>
      <c r="T24" s="2">
        <f>--10.89</f>
        <v>10.89</v>
      </c>
      <c r="U24" s="2"/>
      <c r="V24" s="21"/>
      <c r="W24" s="2"/>
      <c r="X24" s="2">
        <f t="shared" si="2"/>
        <v>5.9399999999999977</v>
      </c>
      <c r="Y24" s="2"/>
      <c r="Z24" s="21">
        <f t="shared" si="3"/>
        <v>0.54545454545454519</v>
      </c>
    </row>
    <row r="25" spans="1:26" s="24" customFormat="1" hidden="1" outlineLevel="1" x14ac:dyDescent="0.25">
      <c r="A25" s="50"/>
      <c r="B25" s="11" t="str">
        <f>CONCATENATE("          ", "4137", " - ", "NON-TAXABLE SALES-WATER")</f>
        <v xml:space="preserve">          4137 - NON-TAXABLE SALES-WATER</v>
      </c>
      <c r="C25" s="11"/>
      <c r="D25" s="2">
        <f>--31.5</f>
        <v>31.5</v>
      </c>
      <c r="E25" s="2"/>
      <c r="F25" s="21"/>
      <c r="G25" s="2"/>
      <c r="H25" s="2">
        <f>--13.5</f>
        <v>13.5</v>
      </c>
      <c r="I25" s="2"/>
      <c r="J25" s="21"/>
      <c r="K25" s="2"/>
      <c r="L25" s="2">
        <f t="shared" si="0"/>
        <v>18</v>
      </c>
      <c r="M25" s="2"/>
      <c r="N25" s="21">
        <f t="shared" si="1"/>
        <v>1.3333333333333333</v>
      </c>
      <c r="O25" s="11"/>
      <c r="P25" s="2">
        <f>--54</f>
        <v>54</v>
      </c>
      <c r="Q25" s="2"/>
      <c r="R25" s="21"/>
      <c r="S25" s="2"/>
      <c r="T25" s="2">
        <f>--36</f>
        <v>36</v>
      </c>
      <c r="U25" s="2"/>
      <c r="V25" s="21"/>
      <c r="W25" s="2"/>
      <c r="X25" s="2">
        <f t="shared" si="2"/>
        <v>18</v>
      </c>
      <c r="Y25" s="2"/>
      <c r="Z25" s="21">
        <f t="shared" si="3"/>
        <v>0.5</v>
      </c>
    </row>
    <row r="26" spans="1:26" s="24" customFormat="1" hidden="1" outlineLevel="1" x14ac:dyDescent="0.25">
      <c r="A26" s="50"/>
      <c r="B26" s="11" t="str">
        <f>CONCATENATE("          ", "4142", " - ", "NON-TAXABLE SALES-EVERYDAY GIF")</f>
        <v xml:space="preserve">          4142 - NON-TAXABLE SALES-EVERYDAY GIF</v>
      </c>
      <c r="C26" s="11"/>
      <c r="D26" s="2">
        <f>--23.05</f>
        <v>23.05</v>
      </c>
      <c r="E26" s="2"/>
      <c r="F26" s="21"/>
      <c r="G26" s="2"/>
      <c r="H26" s="2">
        <f>0</f>
        <v>0</v>
      </c>
      <c r="I26" s="2"/>
      <c r="J26" s="21"/>
      <c r="K26" s="2"/>
      <c r="L26" s="2">
        <f t="shared" si="0"/>
        <v>23.05</v>
      </c>
      <c r="M26" s="2"/>
      <c r="N26" s="21">
        <f t="shared" si="1"/>
        <v>0</v>
      </c>
      <c r="O26" s="11"/>
      <c r="P26" s="2">
        <f>--102.97</f>
        <v>102.97</v>
      </c>
      <c r="Q26" s="2"/>
      <c r="R26" s="21"/>
      <c r="S26" s="2"/>
      <c r="T26" s="2">
        <f>0</f>
        <v>0</v>
      </c>
      <c r="U26" s="2"/>
      <c r="V26" s="21"/>
      <c r="W26" s="2"/>
      <c r="X26" s="2">
        <f t="shared" si="2"/>
        <v>102.97</v>
      </c>
      <c r="Y26" s="2"/>
      <c r="Z26" s="21">
        <f t="shared" si="3"/>
        <v>0</v>
      </c>
    </row>
    <row r="27" spans="1:26" s="24" customFormat="1" hidden="1" outlineLevel="1" x14ac:dyDescent="0.25">
      <c r="A27" s="50"/>
      <c r="B27" s="11" t="str">
        <f>CONCATENATE("          ", "4227", " - ", "SALES RETURN TAXABLE-SCHOOL SU")</f>
        <v xml:space="preserve">          4227 - SALES RETURN TAXABLE-SCHOOL SU</v>
      </c>
      <c r="C27" s="11"/>
      <c r="D27" s="2">
        <f>0</f>
        <v>0</v>
      </c>
      <c r="E27" s="2"/>
      <c r="F27" s="21"/>
      <c r="G27" s="2"/>
      <c r="H27" s="2">
        <f>-4.99</f>
        <v>-4.99</v>
      </c>
      <c r="I27" s="2"/>
      <c r="J27" s="21"/>
      <c r="K27" s="2"/>
      <c r="L27" s="2">
        <f t="shared" si="0"/>
        <v>4.99</v>
      </c>
      <c r="M27" s="2"/>
      <c r="N27" s="21">
        <f t="shared" si="1"/>
        <v>-1</v>
      </c>
      <c r="O27" s="11"/>
      <c r="P27" s="2">
        <f>0</f>
        <v>0</v>
      </c>
      <c r="Q27" s="2"/>
      <c r="R27" s="21"/>
      <c r="S27" s="2"/>
      <c r="T27" s="2">
        <f>-4.99</f>
        <v>-4.99</v>
      </c>
      <c r="U27" s="2"/>
      <c r="V27" s="21"/>
      <c r="W27" s="2"/>
      <c r="X27" s="2">
        <f t="shared" si="2"/>
        <v>4.99</v>
      </c>
      <c r="Y27" s="2"/>
      <c r="Z27" s="21">
        <f t="shared" si="3"/>
        <v>-1</v>
      </c>
    </row>
    <row r="28" spans="1:26" s="24" customFormat="1" hidden="1" outlineLevel="1" x14ac:dyDescent="0.25">
      <c r="A28" s="50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>-1707.89</f>
        <v>-1707.89</v>
      </c>
      <c r="E28" s="2"/>
      <c r="F28" s="21"/>
      <c r="G28" s="2"/>
      <c r="H28" s="2">
        <f>-1597.23</f>
        <v>-1597.23</v>
      </c>
      <c r="I28" s="2"/>
      <c r="J28" s="21"/>
      <c r="K28" s="2"/>
      <c r="L28" s="2">
        <f t="shared" si="0"/>
        <v>-110.66000000000008</v>
      </c>
      <c r="M28" s="2"/>
      <c r="N28" s="21">
        <f t="shared" si="1"/>
        <v>6.9282445233310216E-2</v>
      </c>
      <c r="O28" s="11"/>
      <c r="P28" s="2">
        <f>-3065.84</f>
        <v>-3065.84</v>
      </c>
      <c r="Q28" s="2"/>
      <c r="R28" s="21"/>
      <c r="S28" s="2"/>
      <c r="T28" s="2">
        <f>-3641.76</f>
        <v>-3641.76</v>
      </c>
      <c r="U28" s="2"/>
      <c r="V28" s="21"/>
      <c r="W28" s="2"/>
      <c r="X28" s="2">
        <f t="shared" si="2"/>
        <v>575.92000000000007</v>
      </c>
      <c r="Y28" s="2"/>
      <c r="Z28" s="21">
        <f t="shared" si="3"/>
        <v>-0.15814331532006504</v>
      </c>
    </row>
    <row r="29" spans="1:26" s="24" customFormat="1" hidden="1" outlineLevel="1" x14ac:dyDescent="0.25">
      <c r="A29" s="50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>-169.55</f>
        <v>-169.55</v>
      </c>
      <c r="E29" s="2"/>
      <c r="F29" s="21"/>
      <c r="G29" s="2"/>
      <c r="H29" s="2">
        <f>-124.3</f>
        <v>-124.3</v>
      </c>
      <c r="I29" s="2"/>
      <c r="J29" s="21"/>
      <c r="K29" s="2"/>
      <c r="L29" s="2">
        <f t="shared" si="0"/>
        <v>-45.250000000000014</v>
      </c>
      <c r="M29" s="2"/>
      <c r="N29" s="21">
        <f t="shared" si="1"/>
        <v>0.36403861625100575</v>
      </c>
      <c r="O29" s="11"/>
      <c r="P29" s="2">
        <f>-336.01</f>
        <v>-336.01</v>
      </c>
      <c r="Q29" s="2"/>
      <c r="R29" s="21"/>
      <c r="S29" s="2"/>
      <c r="T29" s="2">
        <f>-230.85</f>
        <v>-230.85</v>
      </c>
      <c r="U29" s="2"/>
      <c r="V29" s="21"/>
      <c r="W29" s="2"/>
      <c r="X29" s="2">
        <f t="shared" si="2"/>
        <v>-105.16</v>
      </c>
      <c r="Y29" s="2"/>
      <c r="Z29" s="21">
        <f t="shared" si="3"/>
        <v>0.45553389646956899</v>
      </c>
    </row>
    <row r="30" spans="1:26" s="24" customFormat="1" hidden="1" outlineLevel="1" x14ac:dyDescent="0.25">
      <c r="A30" s="50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>-101.34</f>
        <v>-101.34</v>
      </c>
      <c r="E30" s="2"/>
      <c r="F30" s="21"/>
      <c r="G30" s="2"/>
      <c r="H30" s="2">
        <f>-72.9</f>
        <v>-72.900000000000006</v>
      </c>
      <c r="I30" s="2"/>
      <c r="J30" s="21"/>
      <c r="K30" s="2"/>
      <c r="L30" s="2">
        <f t="shared" si="0"/>
        <v>-28.439999999999998</v>
      </c>
      <c r="M30" s="2"/>
      <c r="N30" s="21">
        <f t="shared" si="1"/>
        <v>0.39012345679012339</v>
      </c>
      <c r="O30" s="11"/>
      <c r="P30" s="2">
        <f>-144.29</f>
        <v>-144.29</v>
      </c>
      <c r="Q30" s="2"/>
      <c r="R30" s="21"/>
      <c r="S30" s="2"/>
      <c r="T30" s="2">
        <f>-103.84</f>
        <v>-103.84</v>
      </c>
      <c r="U30" s="2"/>
      <c r="V30" s="21"/>
      <c r="W30" s="2"/>
      <c r="X30" s="2">
        <f t="shared" si="2"/>
        <v>-40.449999999999989</v>
      </c>
      <c r="Y30" s="2"/>
      <c r="Z30" s="21">
        <f t="shared" si="3"/>
        <v>0.38954160246533115</v>
      </c>
    </row>
    <row r="31" spans="1:26" s="24" customFormat="1" hidden="1" outlineLevel="1" x14ac:dyDescent="0.25">
      <c r="A31" s="50"/>
      <c r="B31" s="11" t="str">
        <f>CONCATENATE("          ", "4244", " - ", "SALES RETURN TAXABLE-ACCESSORI")</f>
        <v xml:space="preserve">          4244 - SALES RETURN TAXABLE-ACCESSORI</v>
      </c>
      <c r="C31" s="11"/>
      <c r="D31" s="2">
        <f>-22.95</f>
        <v>-22.95</v>
      </c>
      <c r="E31" s="2"/>
      <c r="F31" s="21"/>
      <c r="G31" s="2"/>
      <c r="H31" s="2">
        <f>0</f>
        <v>0</v>
      </c>
      <c r="I31" s="2"/>
      <c r="J31" s="21"/>
      <c r="K31" s="2"/>
      <c r="L31" s="2">
        <f t="shared" si="0"/>
        <v>-22.95</v>
      </c>
      <c r="M31" s="2"/>
      <c r="N31" s="21">
        <f t="shared" si="1"/>
        <v>0</v>
      </c>
      <c r="O31" s="11"/>
      <c r="P31" s="2">
        <f>-22.95</f>
        <v>-22.95</v>
      </c>
      <c r="Q31" s="2"/>
      <c r="R31" s="21"/>
      <c r="S31" s="2"/>
      <c r="T31" s="2">
        <f>-99.95</f>
        <v>-99.95</v>
      </c>
      <c r="U31" s="2"/>
      <c r="V31" s="21"/>
      <c r="W31" s="2"/>
      <c r="X31" s="2">
        <f t="shared" si="2"/>
        <v>77</v>
      </c>
      <c r="Y31" s="2"/>
      <c r="Z31" s="21">
        <f t="shared" si="3"/>
        <v>-0.77038519259629812</v>
      </c>
    </row>
    <row r="32" spans="1:26" s="24" customFormat="1" hidden="1" outlineLevel="1" x14ac:dyDescent="0.25">
      <c r="A32" s="50"/>
      <c r="B32" s="11" t="str">
        <f>CONCATENATE("          ", "4245", " - ", "SALES RETURN TAXABLE-SPECIAL O")</f>
        <v xml:space="preserve">          4245 - SALES RETURN TAXABLE-SPECIAL O</v>
      </c>
      <c r="C32" s="11"/>
      <c r="D32" s="2">
        <f>-9.99</f>
        <v>-9.99</v>
      </c>
      <c r="E32" s="2"/>
      <c r="F32" s="21"/>
      <c r="G32" s="2"/>
      <c r="H32" s="2">
        <f>-19.95</f>
        <v>-19.95</v>
      </c>
      <c r="I32" s="2"/>
      <c r="J32" s="21"/>
      <c r="K32" s="2"/>
      <c r="L32" s="2">
        <f t="shared" si="0"/>
        <v>9.9599999999999991</v>
      </c>
      <c r="M32" s="2"/>
      <c r="N32" s="21">
        <f t="shared" si="1"/>
        <v>-0.49924812030075183</v>
      </c>
      <c r="O32" s="11"/>
      <c r="P32" s="2">
        <f>-9.99</f>
        <v>-9.99</v>
      </c>
      <c r="Q32" s="2"/>
      <c r="R32" s="21"/>
      <c r="S32" s="2"/>
      <c r="T32" s="2">
        <f>-19.95</f>
        <v>-19.95</v>
      </c>
      <c r="U32" s="2"/>
      <c r="V32" s="21"/>
      <c r="W32" s="2"/>
      <c r="X32" s="2">
        <f t="shared" si="2"/>
        <v>9.9599999999999991</v>
      </c>
      <c r="Y32" s="2"/>
      <c r="Z32" s="21">
        <f t="shared" si="3"/>
        <v>-0.49924812030075183</v>
      </c>
    </row>
    <row r="33" spans="1:26" s="24" customFormat="1" hidden="1" outlineLevel="1" x14ac:dyDescent="0.25">
      <c r="A33" s="50"/>
      <c r="B33" s="11" t="str">
        <f>CONCATENATE("          ", "4295", " - ", "SALES RETURN TAXABLE-CUSTOMER")</f>
        <v xml:space="preserve">          4295 - SALES RETURN TAXABLE-CUSTOMER</v>
      </c>
      <c r="C33" s="11"/>
      <c r="D33" s="2">
        <f>--0.99</f>
        <v>0.99</v>
      </c>
      <c r="E33" s="2"/>
      <c r="F33" s="21"/>
      <c r="G33" s="2"/>
      <c r="H33" s="2">
        <f>0</f>
        <v>0</v>
      </c>
      <c r="I33" s="2"/>
      <c r="J33" s="21"/>
      <c r="K33" s="2"/>
      <c r="L33" s="2">
        <f t="shared" si="0"/>
        <v>0.99</v>
      </c>
      <c r="M33" s="2"/>
      <c r="N33" s="21">
        <f t="shared" si="1"/>
        <v>0</v>
      </c>
      <c r="O33" s="11"/>
      <c r="P33" s="2">
        <f>--0.99</f>
        <v>0.99</v>
      </c>
      <c r="Q33" s="2"/>
      <c r="R33" s="21"/>
      <c r="S33" s="2"/>
      <c r="T33" s="2">
        <f>0</f>
        <v>0</v>
      </c>
      <c r="U33" s="2"/>
      <c r="V33" s="21"/>
      <c r="W33" s="2"/>
      <c r="X33" s="2">
        <f t="shared" si="2"/>
        <v>0.99</v>
      </c>
      <c r="Y33" s="2"/>
      <c r="Z33" s="21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5" t="s">
        <v>8</v>
      </c>
      <c r="C35" s="10"/>
      <c r="D35" s="4">
        <f>SUM(OSRRefD16x_0)</f>
        <v>29566.829999999987</v>
      </c>
      <c r="E35" s="4"/>
      <c r="F35" s="12">
        <f t="shared" ref="F35:F50" si="4">IF(D$12=0,0,D35/D$12)</f>
        <v>0.42545978542267687</v>
      </c>
      <c r="G35" s="4"/>
      <c r="H35" s="4">
        <f>SUM(OSRRefH16x_0)</f>
        <v>19325.350000000002</v>
      </c>
      <c r="I35" s="4"/>
      <c r="J35" s="12">
        <f t="shared" ref="J35:J50" si="5">IF(H$12=0,0,H35/H$12)</f>
        <v>0.43046314099422833</v>
      </c>
      <c r="K35" s="4"/>
      <c r="L35" s="4">
        <f t="shared" ref="L35:L50" si="6">+D35-H35</f>
        <v>10241.479999999985</v>
      </c>
      <c r="M35" s="4"/>
      <c r="N35" s="12">
        <f t="shared" ref="N35:N50" si="7">IF(H35=0,0,L35/H35)</f>
        <v>0.52995055716972705</v>
      </c>
      <c r="O35" s="10"/>
      <c r="P35" s="4">
        <f>SUM(OSRRefP16x_0)</f>
        <v>51093.39</v>
      </c>
      <c r="Q35" s="4"/>
      <c r="R35" s="12">
        <f t="shared" ref="R35:R50" si="8">IF(P$12=0,0,P35/P$12)</f>
        <v>0.42234326186074284</v>
      </c>
      <c r="S35" s="4"/>
      <c r="T35" s="4">
        <f>SUM(OSRRefT16x_0)</f>
        <v>40645.840000000004</v>
      </c>
      <c r="U35" s="4"/>
      <c r="V35" s="12">
        <f t="shared" ref="V35:V50" si="9">IF(T$12=0,0,T35/T$12)</f>
        <v>0.4280861243666389</v>
      </c>
      <c r="W35" s="4"/>
      <c r="X35" s="4">
        <f t="shared" ref="X35:X50" si="10">+P35-T35</f>
        <v>10447.549999999996</v>
      </c>
      <c r="Y35" s="4"/>
      <c r="Z35" s="12">
        <f t="shared" ref="Z35:Z50" si="11">IF(T35=0,0,X35/T35)</f>
        <v>0.25703860468869616</v>
      </c>
    </row>
    <row r="36" spans="1:26" s="24" customFormat="1" hidden="1" outlineLevel="1" x14ac:dyDescent="0.25">
      <c r="A36" s="50"/>
      <c r="B36" s="11" t="str">
        <f>CONCATENATE("          ", "5025", " - ", "PURCHASES @ COST-TEST FORMS")</f>
        <v xml:space="preserve">          5025 - PURCHASES @ COST-TEST FORMS</v>
      </c>
      <c r="C36" s="11"/>
      <c r="D36" s="2"/>
      <c r="E36" s="2"/>
      <c r="F36" s="21">
        <f t="shared" si="4"/>
        <v>0</v>
      </c>
      <c r="G36" s="2"/>
      <c r="H36" s="2"/>
      <c r="I36" s="2"/>
      <c r="J36" s="21">
        <f t="shared" si="5"/>
        <v>0</v>
      </c>
      <c r="K36" s="2"/>
      <c r="L36" s="2">
        <f t="shared" si="6"/>
        <v>0</v>
      </c>
      <c r="M36" s="2"/>
      <c r="N36" s="21">
        <f t="shared" si="7"/>
        <v>0</v>
      </c>
      <c r="O36" s="11"/>
      <c r="P36" s="2"/>
      <c r="Q36" s="2"/>
      <c r="R36" s="21">
        <f t="shared" si="8"/>
        <v>0</v>
      </c>
      <c r="S36" s="2"/>
      <c r="T36" s="2">
        <v>15</v>
      </c>
      <c r="U36" s="2"/>
      <c r="V36" s="21">
        <f t="shared" si="9"/>
        <v>1.5798152690409603E-4</v>
      </c>
      <c r="W36" s="2"/>
      <c r="X36" s="2">
        <f t="shared" si="10"/>
        <v>-15</v>
      </c>
      <c r="Y36" s="2"/>
      <c r="Z36" s="21">
        <f t="shared" si="11"/>
        <v>-1</v>
      </c>
    </row>
    <row r="37" spans="1:26" s="24" customFormat="1" hidden="1" outlineLevel="1" x14ac:dyDescent="0.25">
      <c r="A37" s="50"/>
      <c r="B37" s="11" t="str">
        <f>CONCATENATE("          ", "5026", " - ", "PURCHASES @ COST-WRITING INSTR")</f>
        <v xml:space="preserve">          5026 - PURCHASES @ COST-WRITING INSTR</v>
      </c>
      <c r="C37" s="11"/>
      <c r="D37" s="2">
        <v>21.1</v>
      </c>
      <c r="E37" s="2"/>
      <c r="F37" s="21">
        <f t="shared" si="4"/>
        <v>3.0362407713030063E-4</v>
      </c>
      <c r="G37" s="2"/>
      <c r="H37" s="2">
        <v>35.4</v>
      </c>
      <c r="I37" s="2"/>
      <c r="J37" s="21">
        <f t="shared" si="5"/>
        <v>7.8851845845977848E-4</v>
      </c>
      <c r="K37" s="2"/>
      <c r="L37" s="2">
        <f t="shared" si="6"/>
        <v>-14.299999999999997</v>
      </c>
      <c r="M37" s="2"/>
      <c r="N37" s="21">
        <f t="shared" si="7"/>
        <v>-0.40395480225988695</v>
      </c>
      <c r="O37" s="11"/>
      <c r="P37" s="2">
        <v>-53.62</v>
      </c>
      <c r="Q37" s="2"/>
      <c r="R37" s="21">
        <f t="shared" si="8"/>
        <v>-4.4322848221605636E-4</v>
      </c>
      <c r="S37" s="2"/>
      <c r="T37" s="2">
        <v>205.86</v>
      </c>
      <c r="U37" s="2"/>
      <c r="V37" s="21">
        <f t="shared" si="9"/>
        <v>2.168138475231814E-3</v>
      </c>
      <c r="W37" s="2"/>
      <c r="X37" s="2">
        <f t="shared" si="10"/>
        <v>-259.48</v>
      </c>
      <c r="Y37" s="2"/>
      <c r="Z37" s="21">
        <f t="shared" si="11"/>
        <v>-1.2604682794131934</v>
      </c>
    </row>
    <row r="38" spans="1:26" s="24" customFormat="1" hidden="1" outlineLevel="1" x14ac:dyDescent="0.25">
      <c r="A38" s="50"/>
      <c r="B38" s="11" t="str">
        <f>CONCATENATE("          ", "5027", " - ", "PURCHASES @ COST-SCHOOL SUPPLI")</f>
        <v xml:space="preserve">          5027 - PURCHASES @ COST-SCHOOL SUPPLI</v>
      </c>
      <c r="C38" s="11"/>
      <c r="D38" s="2">
        <v>62.2</v>
      </c>
      <c r="E38" s="2"/>
      <c r="F38" s="21">
        <f t="shared" si="4"/>
        <v>8.9504348803339808E-4</v>
      </c>
      <c r="G38" s="2"/>
      <c r="H38" s="2">
        <v>265.32</v>
      </c>
      <c r="I38" s="2"/>
      <c r="J38" s="21">
        <f t="shared" si="5"/>
        <v>5.909879022557866E-3</v>
      </c>
      <c r="K38" s="2"/>
      <c r="L38" s="2">
        <f t="shared" si="6"/>
        <v>-203.12</v>
      </c>
      <c r="M38" s="2"/>
      <c r="N38" s="21">
        <f t="shared" si="7"/>
        <v>-0.76556610884969101</v>
      </c>
      <c r="O38" s="11"/>
      <c r="P38" s="2">
        <v>63.52</v>
      </c>
      <c r="Q38" s="2"/>
      <c r="R38" s="21">
        <f t="shared" si="8"/>
        <v>5.2506290918246734E-4</v>
      </c>
      <c r="S38" s="2"/>
      <c r="T38" s="2">
        <v>614.86</v>
      </c>
      <c r="U38" s="2"/>
      <c r="V38" s="21">
        <f t="shared" si="9"/>
        <v>6.4757681088168321E-3</v>
      </c>
      <c r="W38" s="2"/>
      <c r="X38" s="2">
        <f t="shared" si="10"/>
        <v>-551.34</v>
      </c>
      <c r="Y38" s="2"/>
      <c r="Z38" s="21">
        <f t="shared" si="11"/>
        <v>-0.8966919298702144</v>
      </c>
    </row>
    <row r="39" spans="1:26" s="24" customFormat="1" hidden="1" outlineLevel="1" x14ac:dyDescent="0.25">
      <c r="A39" s="50"/>
      <c r="B39" s="11" t="str">
        <f>CONCATENATE("          ", "5034", " - ", "PURCHASES @ COST-SODA")</f>
        <v xml:space="preserve">          5034 - PURCHASES @ COST-SODA</v>
      </c>
      <c r="C39" s="11"/>
      <c r="D39" s="2"/>
      <c r="E39" s="2"/>
      <c r="F39" s="21">
        <f t="shared" si="4"/>
        <v>0</v>
      </c>
      <c r="G39" s="2"/>
      <c r="H39" s="2"/>
      <c r="I39" s="2"/>
      <c r="J39" s="21">
        <f t="shared" si="5"/>
        <v>0</v>
      </c>
      <c r="K39" s="2"/>
      <c r="L39" s="2">
        <f t="shared" si="6"/>
        <v>0</v>
      </c>
      <c r="M39" s="2"/>
      <c r="N39" s="21">
        <f t="shared" si="7"/>
        <v>0</v>
      </c>
      <c r="O39" s="11"/>
      <c r="P39" s="2"/>
      <c r="Q39" s="2"/>
      <c r="R39" s="21">
        <f t="shared" si="8"/>
        <v>0</v>
      </c>
      <c r="S39" s="2"/>
      <c r="T39" s="2">
        <v>-9.24</v>
      </c>
      <c r="U39" s="2"/>
      <c r="V39" s="21">
        <f t="shared" si="9"/>
        <v>-9.7316620572923156E-5</v>
      </c>
      <c r="W39" s="2"/>
      <c r="X39" s="2">
        <f t="shared" si="10"/>
        <v>9.24</v>
      </c>
      <c r="Y39" s="2"/>
      <c r="Z39" s="21">
        <f t="shared" si="11"/>
        <v>-1</v>
      </c>
    </row>
    <row r="40" spans="1:26" s="24" customFormat="1" hidden="1" outlineLevel="1" x14ac:dyDescent="0.25">
      <c r="A40" s="50"/>
      <c r="B40" s="11" t="str">
        <f>CONCATENATE("          ", "5037", " - ", "PURCHASES @ COST-WATER")</f>
        <v xml:space="preserve">          5037 - PURCHASES @ COST-WATER</v>
      </c>
      <c r="C40" s="11"/>
      <c r="D40" s="2">
        <v>12.72</v>
      </c>
      <c r="E40" s="2"/>
      <c r="F40" s="21">
        <f t="shared" si="4"/>
        <v>1.8303783227949878E-4</v>
      </c>
      <c r="G40" s="2"/>
      <c r="H40" s="2"/>
      <c r="I40" s="2"/>
      <c r="J40" s="21">
        <f t="shared" si="5"/>
        <v>0</v>
      </c>
      <c r="K40" s="2"/>
      <c r="L40" s="2">
        <f t="shared" si="6"/>
        <v>12.72</v>
      </c>
      <c r="M40" s="2"/>
      <c r="N40" s="21">
        <f t="shared" si="7"/>
        <v>0</v>
      </c>
      <c r="O40" s="11"/>
      <c r="P40" s="2">
        <v>29.76</v>
      </c>
      <c r="Q40" s="2"/>
      <c r="R40" s="21">
        <f t="shared" si="8"/>
        <v>2.4599924712327188E-4</v>
      </c>
      <c r="S40" s="2"/>
      <c r="T40" s="2"/>
      <c r="U40" s="2"/>
      <c r="V40" s="21">
        <f t="shared" si="9"/>
        <v>0</v>
      </c>
      <c r="W40" s="2"/>
      <c r="X40" s="2">
        <f t="shared" si="10"/>
        <v>29.76</v>
      </c>
      <c r="Y40" s="2"/>
      <c r="Z40" s="21">
        <f t="shared" si="11"/>
        <v>0</v>
      </c>
    </row>
    <row r="41" spans="1:26" s="24" customFormat="1" hidden="1" outlineLevel="1" x14ac:dyDescent="0.25">
      <c r="A41" s="50"/>
      <c r="B41" s="11" t="str">
        <f>CONCATENATE("          ", "5040", " - ", "PURCHASES @ COST-LOGO CLOTHING")</f>
        <v xml:space="preserve">          5040 - PURCHASES @ COST-LOGO CLOTHING</v>
      </c>
      <c r="C41" s="11"/>
      <c r="D41" s="2">
        <v>33066.579999999994</v>
      </c>
      <c r="E41" s="2"/>
      <c r="F41" s="21">
        <f t="shared" si="4"/>
        <v>0.47582037139124428</v>
      </c>
      <c r="G41" s="2"/>
      <c r="H41" s="2">
        <v>23274.79</v>
      </c>
      <c r="I41" s="2"/>
      <c r="J41" s="21">
        <f t="shared" si="5"/>
        <v>0.51843507151906976</v>
      </c>
      <c r="K41" s="2"/>
      <c r="L41" s="2">
        <f t="shared" si="6"/>
        <v>9791.7899999999936</v>
      </c>
      <c r="M41" s="2"/>
      <c r="N41" s="21">
        <f t="shared" si="7"/>
        <v>0.42070368841136668</v>
      </c>
      <c r="O41" s="11"/>
      <c r="P41" s="2">
        <v>57851.16</v>
      </c>
      <c r="Q41" s="2"/>
      <c r="R41" s="21">
        <f t="shared" si="8"/>
        <v>0.47820368969112703</v>
      </c>
      <c r="S41" s="2"/>
      <c r="T41" s="2">
        <v>42926.1</v>
      </c>
      <c r="U41" s="2"/>
      <c r="V41" s="21">
        <f t="shared" si="9"/>
        <v>0.45210205480252774</v>
      </c>
      <c r="W41" s="2"/>
      <c r="X41" s="2">
        <f t="shared" si="10"/>
        <v>14925.060000000005</v>
      </c>
      <c r="Y41" s="2"/>
      <c r="Z41" s="21">
        <f t="shared" si="11"/>
        <v>0.34769196363051863</v>
      </c>
    </row>
    <row r="42" spans="1:26" s="24" customFormat="1" hidden="1" outlineLevel="1" x14ac:dyDescent="0.25">
      <c r="A42" s="50"/>
      <c r="B42" s="11" t="str">
        <f>CONCATENATE("          ", "5041", " - ", "PURCHASES @ COST-LOGO GIFTS")</f>
        <v xml:space="preserve">          5041 - PURCHASES @ COST-LOGO GIFTS</v>
      </c>
      <c r="C42" s="11"/>
      <c r="D42" s="2">
        <v>3283.86</v>
      </c>
      <c r="E42" s="2"/>
      <c r="F42" s="21">
        <f t="shared" si="4"/>
        <v>4.7253979238156829E-2</v>
      </c>
      <c r="G42" s="2"/>
      <c r="H42" s="2">
        <v>4882.05</v>
      </c>
      <c r="I42" s="2"/>
      <c r="J42" s="21">
        <f t="shared" si="5"/>
        <v>0.10874538248936616</v>
      </c>
      <c r="K42" s="2"/>
      <c r="L42" s="2">
        <f t="shared" si="6"/>
        <v>-1598.19</v>
      </c>
      <c r="M42" s="2"/>
      <c r="N42" s="21">
        <f t="shared" si="7"/>
        <v>-0.32736043260515563</v>
      </c>
      <c r="O42" s="11"/>
      <c r="P42" s="2">
        <v>8466.6200000000008</v>
      </c>
      <c r="Q42" s="2"/>
      <c r="R42" s="21">
        <f t="shared" si="8"/>
        <v>6.9985959196197448E-2</v>
      </c>
      <c r="S42" s="2"/>
      <c r="T42" s="2">
        <v>6917.59</v>
      </c>
      <c r="U42" s="2"/>
      <c r="V42" s="21">
        <f t="shared" si="9"/>
        <v>7.285676204643371E-2</v>
      </c>
      <c r="W42" s="2"/>
      <c r="X42" s="2">
        <f t="shared" si="10"/>
        <v>1549.0300000000007</v>
      </c>
      <c r="Y42" s="2"/>
      <c r="Z42" s="21">
        <f t="shared" si="11"/>
        <v>0.22392625177265502</v>
      </c>
    </row>
    <row r="43" spans="1:26" s="24" customFormat="1" hidden="1" outlineLevel="1" x14ac:dyDescent="0.25">
      <c r="A43" s="50"/>
      <c r="B43" s="11" t="str">
        <f>CONCATENATE("          ", "5042", " - ", "PURCHASES @ COST-EVERYDAY GIFT")</f>
        <v xml:space="preserve">          5042 - PURCHASES @ COST-EVERYDAY GIFT</v>
      </c>
      <c r="C43" s="11"/>
      <c r="D43" s="2">
        <v>3769.2</v>
      </c>
      <c r="E43" s="2"/>
      <c r="F43" s="21">
        <f t="shared" si="4"/>
        <v>5.423790860282128E-2</v>
      </c>
      <c r="G43" s="2"/>
      <c r="H43" s="2">
        <v>2054.4</v>
      </c>
      <c r="I43" s="2"/>
      <c r="J43" s="21">
        <f t="shared" si="5"/>
        <v>4.5760800029936981E-2</v>
      </c>
      <c r="K43" s="2"/>
      <c r="L43" s="2">
        <f t="shared" si="6"/>
        <v>1714.7999999999997</v>
      </c>
      <c r="M43" s="2"/>
      <c r="N43" s="21">
        <f t="shared" si="7"/>
        <v>0.83469626168224287</v>
      </c>
      <c r="O43" s="11"/>
      <c r="P43" s="2">
        <v>6388.52</v>
      </c>
      <c r="Q43" s="2"/>
      <c r="R43" s="21">
        <f t="shared" si="8"/>
        <v>5.2808169026611722E-2</v>
      </c>
      <c r="S43" s="2"/>
      <c r="T43" s="2">
        <v>3421.58</v>
      </c>
      <c r="U43" s="2"/>
      <c r="V43" s="21">
        <f t="shared" si="9"/>
        <v>3.6036428854967793E-2</v>
      </c>
      <c r="W43" s="2"/>
      <c r="X43" s="2">
        <f t="shared" si="10"/>
        <v>2966.9400000000005</v>
      </c>
      <c r="Y43" s="2"/>
      <c r="Z43" s="21">
        <f t="shared" si="11"/>
        <v>0.86712571385149573</v>
      </c>
    </row>
    <row r="44" spans="1:26" s="24" customFormat="1" hidden="1" outlineLevel="1" x14ac:dyDescent="0.25">
      <c r="A44" s="50"/>
      <c r="B44" s="11" t="str">
        <f>CONCATENATE("          ", "5044", " - ", "PURCHASES @ COST-ACCESSORIES")</f>
        <v xml:space="preserve">          5044 - PURCHASES @ COST-ACCESSORIES</v>
      </c>
      <c r="C44" s="11"/>
      <c r="D44" s="2">
        <v>1159.22</v>
      </c>
      <c r="E44" s="2"/>
      <c r="F44" s="21">
        <f t="shared" si="4"/>
        <v>1.6680905340805074E-2</v>
      </c>
      <c r="G44" s="2"/>
      <c r="H44" s="2">
        <v>1708.45</v>
      </c>
      <c r="I44" s="2"/>
      <c r="J44" s="21">
        <f t="shared" si="5"/>
        <v>3.8054925433774256E-2</v>
      </c>
      <c r="K44" s="2"/>
      <c r="L44" s="2">
        <f t="shared" si="6"/>
        <v>-549.23</v>
      </c>
      <c r="M44" s="2"/>
      <c r="N44" s="21">
        <f t="shared" si="7"/>
        <v>-0.32147853317334424</v>
      </c>
      <c r="O44" s="11"/>
      <c r="P44" s="2">
        <v>1493.33</v>
      </c>
      <c r="Q44" s="2"/>
      <c r="R44" s="21">
        <f t="shared" si="8"/>
        <v>1.234402068906571E-2</v>
      </c>
      <c r="S44" s="2"/>
      <c r="T44" s="2">
        <v>2709.4</v>
      </c>
      <c r="U44" s="2"/>
      <c r="V44" s="21">
        <f t="shared" si="9"/>
        <v>2.8535676599597187E-2</v>
      </c>
      <c r="W44" s="2"/>
      <c r="X44" s="2">
        <f t="shared" si="10"/>
        <v>-1216.0700000000002</v>
      </c>
      <c r="Y44" s="2"/>
      <c r="Z44" s="21">
        <f t="shared" si="11"/>
        <v>-0.44883369011589286</v>
      </c>
    </row>
    <row r="45" spans="1:26" s="24" customFormat="1" hidden="1" outlineLevel="1" x14ac:dyDescent="0.25">
      <c r="A45" s="50"/>
      <c r="B45" s="11" t="str">
        <f>CONCATENATE("          ", "5045", " - ", "PURCHASES @ COST-SPECIAL ORDER")</f>
        <v xml:space="preserve">          5045 - PURCHASES @ COST-SPECIAL ORDER</v>
      </c>
      <c r="C45" s="11"/>
      <c r="D45" s="2">
        <v>254</v>
      </c>
      <c r="E45" s="2"/>
      <c r="F45" s="21">
        <f t="shared" si="4"/>
        <v>3.6550007389145192E-3</v>
      </c>
      <c r="G45" s="2"/>
      <c r="H45" s="2">
        <v>143.18</v>
      </c>
      <c r="I45" s="2"/>
      <c r="J45" s="21">
        <f t="shared" si="5"/>
        <v>3.1892675955443816E-3</v>
      </c>
      <c r="K45" s="2"/>
      <c r="L45" s="2">
        <f t="shared" si="6"/>
        <v>110.82</v>
      </c>
      <c r="M45" s="2"/>
      <c r="N45" s="21">
        <f t="shared" si="7"/>
        <v>0.77399078083531214</v>
      </c>
      <c r="O45" s="11"/>
      <c r="P45" s="2">
        <v>299</v>
      </c>
      <c r="Q45" s="2"/>
      <c r="R45" s="21">
        <f t="shared" si="8"/>
        <v>2.4715650164602917E-3</v>
      </c>
      <c r="S45" s="2"/>
      <c r="T45" s="2">
        <v>102.93</v>
      </c>
      <c r="U45" s="2"/>
      <c r="V45" s="21">
        <f t="shared" si="9"/>
        <v>1.084069237615907E-3</v>
      </c>
      <c r="W45" s="2"/>
      <c r="X45" s="2">
        <f t="shared" si="10"/>
        <v>196.07</v>
      </c>
      <c r="Y45" s="2"/>
      <c r="Z45" s="21">
        <f t="shared" si="11"/>
        <v>1.9048868162829105</v>
      </c>
    </row>
    <row r="46" spans="1:26" s="24" customFormat="1" hidden="1" outlineLevel="1" x14ac:dyDescent="0.25">
      <c r="A46" s="50"/>
      <c r="B46" s="11" t="str">
        <f>CONCATENATE("          ", "5083", " - ", "PURCHASES @ COST-COMPUTER EQUI")</f>
        <v xml:space="preserve">          5083 - PURCHASES @ COST-COMPUTER EQUI</v>
      </c>
      <c r="C46" s="11"/>
      <c r="D46" s="2">
        <v>39.950000000000003</v>
      </c>
      <c r="E46" s="2"/>
      <c r="F46" s="21">
        <f t="shared" si="4"/>
        <v>5.7487117921116166E-4</v>
      </c>
      <c r="G46" s="2"/>
      <c r="H46" s="2">
        <v>15.8</v>
      </c>
      <c r="I46" s="2"/>
      <c r="J46" s="21">
        <f t="shared" si="5"/>
        <v>3.5193761705266957E-4</v>
      </c>
      <c r="K46" s="2"/>
      <c r="L46" s="2">
        <f t="shared" si="6"/>
        <v>24.150000000000002</v>
      </c>
      <c r="M46" s="2"/>
      <c r="N46" s="21">
        <f t="shared" si="7"/>
        <v>1.528481012658228</v>
      </c>
      <c r="O46" s="11"/>
      <c r="P46" s="2">
        <v>39.950000000000003</v>
      </c>
      <c r="Q46" s="2"/>
      <c r="R46" s="21">
        <f t="shared" si="8"/>
        <v>3.3023084417253736E-4</v>
      </c>
      <c r="S46" s="2"/>
      <c r="T46" s="2">
        <v>15.8</v>
      </c>
      <c r="U46" s="2"/>
      <c r="V46" s="21">
        <f t="shared" si="9"/>
        <v>1.6640720833898117E-4</v>
      </c>
      <c r="W46" s="2"/>
      <c r="X46" s="2">
        <f t="shared" si="10"/>
        <v>24.150000000000002</v>
      </c>
      <c r="Y46" s="2"/>
      <c r="Z46" s="21">
        <f t="shared" si="11"/>
        <v>1.528481012658228</v>
      </c>
    </row>
    <row r="47" spans="1:26" s="24" customFormat="1" hidden="1" outlineLevel="1" x14ac:dyDescent="0.25">
      <c r="A47" s="50"/>
      <c r="B47" s="11" t="str">
        <f>CONCATENATE("          ", "5095", " - ", "PURCHASES @ COST-CUSTOMER SERV")</f>
        <v xml:space="preserve">          5095 - PURCHASES @ COST-CUSTOMER SERV</v>
      </c>
      <c r="C47" s="11"/>
      <c r="D47" s="2"/>
      <c r="E47" s="2"/>
      <c r="F47" s="21">
        <f t="shared" si="4"/>
        <v>0</v>
      </c>
      <c r="G47" s="2"/>
      <c r="H47" s="2"/>
      <c r="I47" s="2"/>
      <c r="J47" s="21">
        <f t="shared" si="5"/>
        <v>0</v>
      </c>
      <c r="K47" s="2"/>
      <c r="L47" s="2">
        <f t="shared" si="6"/>
        <v>0</v>
      </c>
      <c r="M47" s="2"/>
      <c r="N47" s="21">
        <f t="shared" si="7"/>
        <v>0</v>
      </c>
      <c r="O47" s="11"/>
      <c r="P47" s="2">
        <v>-11.85</v>
      </c>
      <c r="Q47" s="2"/>
      <c r="R47" s="21">
        <f t="shared" si="8"/>
        <v>-9.7953329247673778E-5</v>
      </c>
      <c r="S47" s="2"/>
      <c r="T47" s="2"/>
      <c r="U47" s="2"/>
      <c r="V47" s="21">
        <f t="shared" si="9"/>
        <v>0</v>
      </c>
      <c r="W47" s="2"/>
      <c r="X47" s="2">
        <f t="shared" si="10"/>
        <v>-11.85</v>
      </c>
      <c r="Y47" s="2"/>
      <c r="Z47" s="21">
        <f t="shared" si="11"/>
        <v>0</v>
      </c>
    </row>
    <row r="48" spans="1:26" s="24" customFormat="1" hidden="1" outlineLevel="1" x14ac:dyDescent="0.25">
      <c r="A48" s="50"/>
      <c r="B48" s="11" t="str">
        <f>CONCATENATE("          ", "5200", " - ", "PURCHASES OFFSET")</f>
        <v xml:space="preserve">          5200 - PURCHASES OFFSET</v>
      </c>
      <c r="C48" s="11"/>
      <c r="D48" s="2">
        <v>-41669</v>
      </c>
      <c r="E48" s="2"/>
      <c r="F48" s="21">
        <f t="shared" si="4"/>
        <v>-0.59960718814893355</v>
      </c>
      <c r="G48" s="2"/>
      <c r="H48" s="2">
        <v>-32390</v>
      </c>
      <c r="I48" s="2"/>
      <c r="J48" s="21">
        <f t="shared" si="5"/>
        <v>-0.72147211495797259</v>
      </c>
      <c r="K48" s="2"/>
      <c r="L48" s="2">
        <f t="shared" si="6"/>
        <v>-9279</v>
      </c>
      <c r="M48" s="2"/>
      <c r="N48" s="21">
        <f t="shared" si="7"/>
        <v>0.28647730781105279</v>
      </c>
      <c r="O48" s="11"/>
      <c r="P48" s="2">
        <v>-74566</v>
      </c>
      <c r="Q48" s="2"/>
      <c r="R48" s="21">
        <f t="shared" si="8"/>
        <v>-0.61637029102802043</v>
      </c>
      <c r="S48" s="2"/>
      <c r="T48" s="2">
        <v>-56931</v>
      </c>
      <c r="U48" s="2"/>
      <c r="V48" s="21">
        <f t="shared" si="9"/>
        <v>-0.59960308721180611</v>
      </c>
      <c r="W48" s="2"/>
      <c r="X48" s="2">
        <f t="shared" si="10"/>
        <v>-17635</v>
      </c>
      <c r="Y48" s="2"/>
      <c r="Z48" s="21">
        <f t="shared" si="11"/>
        <v>0.30976093868015669</v>
      </c>
    </row>
    <row r="49" spans="1:26" s="24" customFormat="1" hidden="1" outlineLevel="1" x14ac:dyDescent="0.25">
      <c r="A49" s="50"/>
      <c r="B49" s="11" t="str">
        <f>CONCATENATE("          ", "5300", " - ", "COG$ OFFSET")</f>
        <v xml:space="preserve">          5300 - COG$ OFFSET</v>
      </c>
      <c r="C49" s="11"/>
      <c r="D49" s="2">
        <v>29567</v>
      </c>
      <c r="E49" s="2"/>
      <c r="F49" s="21">
        <f t="shared" si="4"/>
        <v>0.42546223168301417</v>
      </c>
      <c r="G49" s="2"/>
      <c r="H49" s="2">
        <v>19324</v>
      </c>
      <c r="I49" s="2"/>
      <c r="J49" s="21">
        <f t="shared" si="5"/>
        <v>0.43043307037504974</v>
      </c>
      <c r="K49" s="2"/>
      <c r="L49" s="2">
        <f t="shared" si="6"/>
        <v>10243</v>
      </c>
      <c r="M49" s="2"/>
      <c r="N49" s="21">
        <f t="shared" si="7"/>
        <v>0.53006623887393911</v>
      </c>
      <c r="O49" s="11"/>
      <c r="P49" s="2">
        <v>51093</v>
      </c>
      <c r="Q49" s="2"/>
      <c r="R49" s="21">
        <f t="shared" si="8"/>
        <v>0.42234003808028658</v>
      </c>
      <c r="S49" s="2"/>
      <c r="T49" s="2">
        <v>40645</v>
      </c>
      <c r="U49" s="2"/>
      <c r="V49" s="21">
        <f t="shared" si="9"/>
        <v>0.42807727740113222</v>
      </c>
      <c r="W49" s="2"/>
      <c r="X49" s="2">
        <f t="shared" si="10"/>
        <v>10448</v>
      </c>
      <c r="Y49" s="2"/>
      <c r="Z49" s="21">
        <f t="shared" si="11"/>
        <v>0.2570549883134457</v>
      </c>
    </row>
    <row r="50" spans="1:26" s="24" customFormat="1" hidden="1" outlineLevel="1" x14ac:dyDescent="0.25">
      <c r="A50" s="50"/>
      <c r="B50" s="11" t="str">
        <f>CONCATENATE("          ", "5540", " - ", "FREIGHT-IN-LOGO CLOTHING")</f>
        <v xml:space="preserve">          5540 - FREIGHT-IN-LOGO CLOTHING</v>
      </c>
      <c r="C50" s="11"/>
      <c r="D50" s="2"/>
      <c r="E50" s="2"/>
      <c r="F50" s="21">
        <f t="shared" si="4"/>
        <v>0</v>
      </c>
      <c r="G50" s="2"/>
      <c r="H50" s="2">
        <v>11.96</v>
      </c>
      <c r="I50" s="2"/>
      <c r="J50" s="21">
        <f t="shared" si="5"/>
        <v>2.6640341138923595E-4</v>
      </c>
      <c r="K50" s="2"/>
      <c r="L50" s="2">
        <f t="shared" si="6"/>
        <v>-11.96</v>
      </c>
      <c r="M50" s="2"/>
      <c r="N50" s="21">
        <f t="shared" si="7"/>
        <v>-1</v>
      </c>
      <c r="O50" s="11"/>
      <c r="P50" s="2"/>
      <c r="Q50" s="2"/>
      <c r="R50" s="21">
        <f t="shared" si="8"/>
        <v>0</v>
      </c>
      <c r="S50" s="2"/>
      <c r="T50" s="2">
        <v>11.96</v>
      </c>
      <c r="U50" s="2"/>
      <c r="V50" s="21">
        <f t="shared" si="9"/>
        <v>1.2596393745153257E-4</v>
      </c>
      <c r="W50" s="2"/>
      <c r="X50" s="2">
        <f t="shared" si="10"/>
        <v>-11.96</v>
      </c>
      <c r="Y50" s="2"/>
      <c r="Z50" s="21">
        <f t="shared" si="11"/>
        <v>-1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6" t="s">
        <v>6</v>
      </c>
      <c r="C52" s="26"/>
      <c r="D52" s="20">
        <f>D12-D35</f>
        <v>39927.000000000015</v>
      </c>
      <c r="E52" s="13"/>
      <c r="F52" s="19">
        <f>IF(D$12=0,0,D52/D$12)</f>
        <v>0.57454021457732307</v>
      </c>
      <c r="G52" s="13"/>
      <c r="H52" s="20">
        <f>H12-H35</f>
        <v>25568.96999999999</v>
      </c>
      <c r="I52" s="13"/>
      <c r="J52" s="19">
        <f>IF(H$12=0,0,H52/H$12)</f>
        <v>0.56953685900577167</v>
      </c>
      <c r="K52" s="15"/>
      <c r="L52" s="20">
        <f>+D52-H52</f>
        <v>14358.030000000024</v>
      </c>
      <c r="M52" s="15"/>
      <c r="N52" s="19">
        <f>IF(H52=0,0,L52/H52)</f>
        <v>0.56154119622339227</v>
      </c>
      <c r="O52" s="25"/>
      <c r="P52" s="20">
        <f>P12-P35</f>
        <v>69882.590000000026</v>
      </c>
      <c r="Q52" s="13"/>
      <c r="R52" s="19">
        <f>IF(P$12=0,0,P52/P$12)</f>
        <v>0.57765673813925711</v>
      </c>
      <c r="S52" s="13"/>
      <c r="T52" s="20">
        <f>T12-T35</f>
        <v>54301.970000000008</v>
      </c>
      <c r="U52" s="13"/>
      <c r="V52" s="19">
        <f>IF(T$12=0,0,T52/T$12)</f>
        <v>0.57191387563336116</v>
      </c>
      <c r="W52" s="15"/>
      <c r="X52" s="20">
        <f>+P52-T52</f>
        <v>15580.620000000017</v>
      </c>
      <c r="Y52" s="15"/>
      <c r="Z52" s="19">
        <f>IF(T52=0,0,X52/T52)</f>
        <v>0.2869255019661352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5" t="s">
        <v>9</v>
      </c>
      <c r="C54" s="10"/>
      <c r="D54" s="22">
        <f>SUM(OSRRefD22x_0)</f>
        <v>37394.460000000006</v>
      </c>
      <c r="E54" s="22"/>
      <c r="F54" s="33">
        <f t="shared" ref="F54:F63" si="12">IF(D$12=0,0,D54/D$12)</f>
        <v>0.53809755484767507</v>
      </c>
      <c r="G54" s="22"/>
      <c r="H54" s="22">
        <f>SUM(OSRRefH22x_0)</f>
        <v>25411.18</v>
      </c>
      <c r="I54" s="22"/>
      <c r="J54" s="33">
        <f t="shared" ref="J54:J63" si="13">IF(H$12=0,0,H54/H$12)</f>
        <v>0.5660221604871174</v>
      </c>
      <c r="K54" s="4"/>
      <c r="L54" s="22">
        <f t="shared" ref="L54:L63" si="14">+D54-H54</f>
        <v>11983.280000000006</v>
      </c>
      <c r="M54" s="4"/>
      <c r="N54" s="33">
        <f t="shared" ref="N54:N63" si="15">IF(H54=0,0,L54/H54)</f>
        <v>0.47157510985322232</v>
      </c>
      <c r="O54" s="10"/>
      <c r="P54" s="22">
        <f>SUM(OSRRefP22x_0)</f>
        <v>64835.529999999992</v>
      </c>
      <c r="Q54" s="22"/>
      <c r="R54" s="33">
        <f t="shared" ref="R54:R63" si="16">IF(P$12=0,0,P54/P$12)</f>
        <v>0.53593721662763116</v>
      </c>
      <c r="S54" s="22"/>
      <c r="T54" s="22">
        <f>SUM(OSRRefT22x_0)</f>
        <v>60173.639999999992</v>
      </c>
      <c r="U54" s="22"/>
      <c r="V54" s="33">
        <f t="shared" ref="V54:V63" si="17">IF(T$12=0,0,T54/T$12)</f>
        <v>0.63375490177182581</v>
      </c>
      <c r="W54" s="4"/>
      <c r="X54" s="22">
        <f t="shared" ref="X54:X63" si="18">+P54-T54</f>
        <v>4661.8899999999994</v>
      </c>
      <c r="Y54" s="4"/>
      <c r="Z54" s="33">
        <f t="shared" ref="Z54:Z63" si="19">IF(T54=0,0,X54/T54)</f>
        <v>7.7473957035007354E-2</v>
      </c>
    </row>
    <row r="55" spans="1:26" s="27" customFormat="1" outlineLevel="1" collapsed="1" x14ac:dyDescent="0.25">
      <c r="A55" s="28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SUM(OSRRefD22_0x_0)</f>
        <v>3295.5799999999995</v>
      </c>
      <c r="E55" s="1"/>
      <c r="F55" s="5">
        <f t="shared" si="12"/>
        <v>4.7422627303747675E-2</v>
      </c>
      <c r="G55" s="1"/>
      <c r="H55" s="1">
        <f>SUM(OSRRefH22_0x_0)</f>
        <v>2644.37</v>
      </c>
      <c r="I55" s="1"/>
      <c r="J55" s="5">
        <f t="shared" si="13"/>
        <v>5.890210610161821E-2</v>
      </c>
      <c r="K55" s="1"/>
      <c r="L55" s="1">
        <f t="shared" si="14"/>
        <v>651.20999999999958</v>
      </c>
      <c r="M55" s="1"/>
      <c r="N55" s="5">
        <f t="shared" si="15"/>
        <v>0.24626281496159752</v>
      </c>
      <c r="O55" s="14"/>
      <c r="P55" s="1">
        <f>SUM(OSRRefP22_0x_0)</f>
        <v>4733.84</v>
      </c>
      <c r="Q55" s="1"/>
      <c r="R55" s="5">
        <f t="shared" si="16"/>
        <v>3.9130412500068192E-2</v>
      </c>
      <c r="S55" s="1"/>
      <c r="T55" s="1">
        <f>SUM(OSRRefT22_0x_0)</f>
        <v>6321.65</v>
      </c>
      <c r="U55" s="1"/>
      <c r="V55" s="5">
        <f t="shared" si="17"/>
        <v>6.6580261303551908E-2</v>
      </c>
      <c r="W55" s="1"/>
      <c r="X55" s="1">
        <f t="shared" si="18"/>
        <v>-1587.8099999999995</v>
      </c>
      <c r="Y55" s="1"/>
      <c r="Z55" s="5">
        <f t="shared" si="19"/>
        <v>-0.25117018499916943</v>
      </c>
    </row>
    <row r="56" spans="1:26" s="24" customFormat="1" hidden="1" outlineLevel="2" x14ac:dyDescent="0.25">
      <c r="A56" s="29"/>
      <c r="B56" s="11" t="str">
        <f>CONCATENATE("          ", "6111", " - ", "F.I.C.A.")</f>
        <v xml:space="preserve">          6111 - F.I.C.A.</v>
      </c>
      <c r="C56" s="11"/>
      <c r="D56" s="7">
        <v>933.86</v>
      </c>
      <c r="E56" s="2"/>
      <c r="F56" s="6">
        <f t="shared" si="12"/>
        <v>1.34380275198532E-2</v>
      </c>
      <c r="G56" s="2"/>
      <c r="H56" s="7">
        <v>792.62</v>
      </c>
      <c r="I56" s="2"/>
      <c r="J56" s="6">
        <f t="shared" si="13"/>
        <v>1.7655240128372589E-2</v>
      </c>
      <c r="K56" s="2"/>
      <c r="L56" s="7">
        <f t="shared" si="14"/>
        <v>141.24</v>
      </c>
      <c r="M56" s="2"/>
      <c r="N56" s="6">
        <f t="shared" si="15"/>
        <v>0.17819383815699832</v>
      </c>
      <c r="O56" s="11"/>
      <c r="P56" s="7">
        <v>1647.57</v>
      </c>
      <c r="Q56" s="2"/>
      <c r="R56" s="6">
        <f t="shared" si="16"/>
        <v>1.3618984528994927E-2</v>
      </c>
      <c r="S56" s="2"/>
      <c r="T56" s="7">
        <v>1650.42</v>
      </c>
      <c r="U56" s="2"/>
      <c r="V56" s="6">
        <f t="shared" si="17"/>
        <v>1.7382391442203878E-2</v>
      </c>
      <c r="W56" s="2"/>
      <c r="X56" s="7">
        <f t="shared" si="18"/>
        <v>-2.8500000000001364</v>
      </c>
      <c r="Y56" s="2"/>
      <c r="Z56" s="6">
        <f t="shared" si="19"/>
        <v>-1.7268331697386946E-3</v>
      </c>
    </row>
    <row r="57" spans="1:26" s="24" customFormat="1" hidden="1" outlineLevel="2" x14ac:dyDescent="0.25">
      <c r="A57" s="29"/>
      <c r="B57" s="11" t="str">
        <f>CONCATENATE("          ", "6112", " - ", "COMPENSATION INSURANCE")</f>
        <v xml:space="preserve">          6112 - COMPENSATION INSURANCE</v>
      </c>
      <c r="C57" s="11"/>
      <c r="D57" s="7">
        <v>204.58</v>
      </c>
      <c r="E57" s="2"/>
      <c r="F57" s="6">
        <f t="shared" si="12"/>
        <v>2.9438584691619386E-3</v>
      </c>
      <c r="G57" s="2"/>
      <c r="H57" s="7">
        <v>109.04</v>
      </c>
      <c r="I57" s="2"/>
      <c r="J57" s="6">
        <f t="shared" si="13"/>
        <v>2.4288150483179169E-3</v>
      </c>
      <c r="K57" s="2"/>
      <c r="L57" s="7">
        <f t="shared" si="14"/>
        <v>95.54</v>
      </c>
      <c r="M57" s="2"/>
      <c r="N57" s="6">
        <f t="shared" si="15"/>
        <v>0.87619222303741751</v>
      </c>
      <c r="O57" s="11"/>
      <c r="P57" s="7">
        <v>393.36</v>
      </c>
      <c r="Q57" s="2"/>
      <c r="R57" s="6">
        <f t="shared" si="16"/>
        <v>3.2515545647987306E-3</v>
      </c>
      <c r="S57" s="2"/>
      <c r="T57" s="7">
        <v>340.29</v>
      </c>
      <c r="U57" s="2"/>
      <c r="V57" s="6">
        <f t="shared" si="17"/>
        <v>3.5839689193463229E-3</v>
      </c>
      <c r="W57" s="2"/>
      <c r="X57" s="7">
        <f t="shared" si="18"/>
        <v>53.069999999999993</v>
      </c>
      <c r="Y57" s="2"/>
      <c r="Z57" s="6">
        <f t="shared" si="19"/>
        <v>0.15595521466984041</v>
      </c>
    </row>
    <row r="58" spans="1:26" s="24" customFormat="1" hidden="1" outlineLevel="2" x14ac:dyDescent="0.25">
      <c r="A58" s="29"/>
      <c r="B58" s="11" t="str">
        <f>CONCATENATE("          ", "6113", " - ", "GROUP INSURANCE")</f>
        <v xml:space="preserve">          6113 - GROUP INSURANCE</v>
      </c>
      <c r="C58" s="11"/>
      <c r="D58" s="7">
        <v>1434.06</v>
      </c>
      <c r="E58" s="2"/>
      <c r="F58" s="6">
        <f t="shared" si="12"/>
        <v>2.0635788817510849E-2</v>
      </c>
      <c r="G58" s="2"/>
      <c r="H58" s="7">
        <v>1067.3599999999999</v>
      </c>
      <c r="I58" s="2"/>
      <c r="J58" s="6">
        <f t="shared" si="13"/>
        <v>2.3774945249198563E-2</v>
      </c>
      <c r="K58" s="2"/>
      <c r="L58" s="7">
        <f t="shared" si="14"/>
        <v>366.70000000000005</v>
      </c>
      <c r="M58" s="2"/>
      <c r="N58" s="6">
        <f t="shared" si="15"/>
        <v>0.34355793734072859</v>
      </c>
      <c r="O58" s="11"/>
      <c r="P58" s="7">
        <v>1465.17</v>
      </c>
      <c r="Q58" s="2"/>
      <c r="R58" s="6">
        <f t="shared" si="16"/>
        <v>1.2111247207916809E-2</v>
      </c>
      <c r="S58" s="2"/>
      <c r="T58" s="7">
        <v>1690.27</v>
      </c>
      <c r="U58" s="2"/>
      <c r="V58" s="6">
        <f t="shared" si="17"/>
        <v>1.7802095698679094E-2</v>
      </c>
      <c r="W58" s="2"/>
      <c r="X58" s="7">
        <f t="shared" si="18"/>
        <v>-225.09999999999991</v>
      </c>
      <c r="Y58" s="2"/>
      <c r="Z58" s="6">
        <f t="shared" si="19"/>
        <v>-0.1331739899542676</v>
      </c>
    </row>
    <row r="59" spans="1:26" s="24" customFormat="1" hidden="1" outlineLevel="2" x14ac:dyDescent="0.25">
      <c r="A59" s="29"/>
      <c r="B59" s="11" t="str">
        <f>CONCATENATE("          ", "6114", " - ", "STATE UNEMPLOYMENT INSURANCE")</f>
        <v xml:space="preserve">          6114 - STATE UNEMPLOYMENT INSURANCE</v>
      </c>
      <c r="C59" s="11"/>
      <c r="D59" s="7">
        <v>27.99</v>
      </c>
      <c r="E59" s="2"/>
      <c r="F59" s="6">
        <f t="shared" si="12"/>
        <v>4.0276956961502911E-4</v>
      </c>
      <c r="G59" s="2"/>
      <c r="H59" s="7">
        <v>23.82</v>
      </c>
      <c r="I59" s="2"/>
      <c r="J59" s="6">
        <f t="shared" si="13"/>
        <v>5.3057936950598656E-4</v>
      </c>
      <c r="K59" s="2"/>
      <c r="L59" s="7">
        <f t="shared" si="14"/>
        <v>4.1699999999999982</v>
      </c>
      <c r="M59" s="2"/>
      <c r="N59" s="6">
        <f t="shared" si="15"/>
        <v>0.17506297229219137</v>
      </c>
      <c r="O59" s="11"/>
      <c r="P59" s="7">
        <v>53.82</v>
      </c>
      <c r="Q59" s="2"/>
      <c r="R59" s="6">
        <f t="shared" si="16"/>
        <v>4.4488170296285253E-4</v>
      </c>
      <c r="S59" s="2"/>
      <c r="T59" s="7">
        <v>74.349999999999994</v>
      </c>
      <c r="U59" s="2"/>
      <c r="V59" s="6">
        <f t="shared" si="17"/>
        <v>7.8306176835463593E-4</v>
      </c>
      <c r="W59" s="2"/>
      <c r="X59" s="7">
        <f t="shared" si="18"/>
        <v>-20.529999999999994</v>
      </c>
      <c r="Y59" s="2"/>
      <c r="Z59" s="6">
        <f t="shared" si="19"/>
        <v>-0.27612642905178203</v>
      </c>
    </row>
    <row r="60" spans="1:26" s="24" customFormat="1" hidden="1" outlineLevel="2" x14ac:dyDescent="0.25">
      <c r="A60" s="29"/>
      <c r="B60" s="11" t="str">
        <f>CONCATENATE("          ", "6115", " - ", "P.E.R.S.")</f>
        <v xml:space="preserve">          6115 - P.E.R.S.</v>
      </c>
      <c r="C60" s="11"/>
      <c r="D60" s="7">
        <v>210.2</v>
      </c>
      <c r="E60" s="2"/>
      <c r="F60" s="6">
        <f t="shared" si="12"/>
        <v>3.0247289579520944E-3</v>
      </c>
      <c r="G60" s="2"/>
      <c r="H60" s="7">
        <v>205.57</v>
      </c>
      <c r="I60" s="2"/>
      <c r="J60" s="6">
        <f t="shared" si="13"/>
        <v>4.578975692247929E-3</v>
      </c>
      <c r="K60" s="2"/>
      <c r="L60" s="7">
        <f t="shared" si="14"/>
        <v>4.6299999999999955</v>
      </c>
      <c r="M60" s="2"/>
      <c r="N60" s="6">
        <f t="shared" si="15"/>
        <v>2.2522741645181667E-2</v>
      </c>
      <c r="O60" s="11"/>
      <c r="P60" s="7">
        <v>363.26</v>
      </c>
      <c r="Q60" s="2"/>
      <c r="R60" s="6">
        <f t="shared" si="16"/>
        <v>3.0027448424059049E-3</v>
      </c>
      <c r="S60" s="2"/>
      <c r="T60" s="7">
        <v>510.94</v>
      </c>
      <c r="U60" s="2"/>
      <c r="V60" s="6">
        <f t="shared" si="17"/>
        <v>5.3812720904252553E-3</v>
      </c>
      <c r="W60" s="2"/>
      <c r="X60" s="7">
        <f t="shared" si="18"/>
        <v>-147.68</v>
      </c>
      <c r="Y60" s="2"/>
      <c r="Z60" s="6">
        <f t="shared" si="19"/>
        <v>-0.28903589462559204</v>
      </c>
    </row>
    <row r="61" spans="1:26" s="24" customFormat="1" hidden="1" outlineLevel="2" x14ac:dyDescent="0.25">
      <c r="A61" s="29"/>
      <c r="B61" s="11" t="str">
        <f>CONCATENATE("          ", "6118", " - ", "VACATION")</f>
        <v xml:space="preserve">          6118 - VACATION</v>
      </c>
      <c r="C61" s="11"/>
      <c r="D61" s="7">
        <v>196.74</v>
      </c>
      <c r="E61" s="2"/>
      <c r="F61" s="6">
        <f t="shared" si="12"/>
        <v>2.831042698323002E-3</v>
      </c>
      <c r="G61" s="2"/>
      <c r="H61" s="7">
        <v>182.92</v>
      </c>
      <c r="I61" s="2"/>
      <c r="J61" s="6">
        <f t="shared" si="13"/>
        <v>4.0744575260300191E-3</v>
      </c>
      <c r="K61" s="2"/>
      <c r="L61" s="7">
        <f t="shared" si="14"/>
        <v>13.820000000000022</v>
      </c>
      <c r="M61" s="2"/>
      <c r="N61" s="6">
        <f t="shared" si="15"/>
        <v>7.5552153947080813E-2</v>
      </c>
      <c r="O61" s="11"/>
      <c r="P61" s="7">
        <v>387.75</v>
      </c>
      <c r="Q61" s="2"/>
      <c r="R61" s="6">
        <f t="shared" si="16"/>
        <v>3.2051817228510976E-3</v>
      </c>
      <c r="S61" s="2"/>
      <c r="T61" s="7">
        <v>1088.79</v>
      </c>
      <c r="U61" s="2"/>
      <c r="V61" s="6">
        <f t="shared" si="17"/>
        <v>1.1467247111860713E-2</v>
      </c>
      <c r="W61" s="2"/>
      <c r="X61" s="7">
        <f t="shared" si="18"/>
        <v>-701.04</v>
      </c>
      <c r="Y61" s="2"/>
      <c r="Z61" s="6">
        <f t="shared" si="19"/>
        <v>-0.64387071887140768</v>
      </c>
    </row>
    <row r="62" spans="1:26" s="24" customFormat="1" hidden="1" outlineLevel="2" x14ac:dyDescent="0.25">
      <c r="A62" s="29"/>
      <c r="B62" s="11" t="str">
        <f>CONCATENATE("          ", "6119", " - ", "SICK LEAVE")</f>
        <v xml:space="preserve">          6119 - SICK LEAVE</v>
      </c>
      <c r="C62" s="11"/>
      <c r="D62" s="7">
        <v>138.81</v>
      </c>
      <c r="E62" s="2"/>
      <c r="F62" s="6">
        <f t="shared" si="12"/>
        <v>1.9974435140500961E-3</v>
      </c>
      <c r="G62" s="2"/>
      <c r="H62" s="7">
        <v>113.04</v>
      </c>
      <c r="I62" s="2"/>
      <c r="J62" s="6">
        <f t="shared" si="13"/>
        <v>2.5179131792173268E-3</v>
      </c>
      <c r="K62" s="2"/>
      <c r="L62" s="7">
        <f t="shared" si="14"/>
        <v>25.769999999999996</v>
      </c>
      <c r="M62" s="2"/>
      <c r="N62" s="6">
        <f t="shared" si="15"/>
        <v>0.22797239915074305</v>
      </c>
      <c r="O62" s="11"/>
      <c r="P62" s="7">
        <v>273.57</v>
      </c>
      <c r="Q62" s="2"/>
      <c r="R62" s="6">
        <f t="shared" si="16"/>
        <v>2.2613579985051573E-3</v>
      </c>
      <c r="S62" s="2"/>
      <c r="T62" s="7">
        <v>668.96</v>
      </c>
      <c r="U62" s="2"/>
      <c r="V62" s="6">
        <f t="shared" si="17"/>
        <v>7.0455548158509388E-3</v>
      </c>
      <c r="W62" s="2"/>
      <c r="X62" s="7">
        <f t="shared" si="18"/>
        <v>-395.39000000000004</v>
      </c>
      <c r="Y62" s="2"/>
      <c r="Z62" s="6">
        <f t="shared" si="19"/>
        <v>-0.591051781870366</v>
      </c>
    </row>
    <row r="63" spans="1:26" s="24" customFormat="1" hidden="1" outlineLevel="2" x14ac:dyDescent="0.25">
      <c r="A63" s="29"/>
      <c r="B63" s="11" t="str">
        <f>CONCATENATE("          ", "6156", " - ", "EMPLOYEE MEALS")</f>
        <v xml:space="preserve">          6156 - EMPLOYEE MEALS</v>
      </c>
      <c r="C63" s="11"/>
      <c r="D63" s="7">
        <v>149.34</v>
      </c>
      <c r="E63" s="2"/>
      <c r="F63" s="6">
        <f t="shared" si="12"/>
        <v>2.148967757281474E-3</v>
      </c>
      <c r="G63" s="2"/>
      <c r="H63" s="7">
        <v>150</v>
      </c>
      <c r="I63" s="2"/>
      <c r="J63" s="6">
        <f t="shared" si="13"/>
        <v>3.3411799087278752E-3</v>
      </c>
      <c r="K63" s="2"/>
      <c r="L63" s="7">
        <f t="shared" si="14"/>
        <v>-0.65999999999999659</v>
      </c>
      <c r="M63" s="2"/>
      <c r="N63" s="6">
        <f t="shared" si="15"/>
        <v>-4.3999999999999768E-3</v>
      </c>
      <c r="O63" s="11"/>
      <c r="P63" s="7">
        <v>149.34</v>
      </c>
      <c r="Q63" s="2"/>
      <c r="R63" s="6">
        <f t="shared" si="16"/>
        <v>1.2344599316327089E-3</v>
      </c>
      <c r="S63" s="2"/>
      <c r="T63" s="7">
        <v>297.63</v>
      </c>
      <c r="U63" s="2"/>
      <c r="V63" s="6">
        <f t="shared" si="17"/>
        <v>3.1346694568310735E-3</v>
      </c>
      <c r="W63" s="2"/>
      <c r="X63" s="7">
        <f t="shared" si="18"/>
        <v>-148.29</v>
      </c>
      <c r="Y63" s="2"/>
      <c r="Z63" s="6">
        <f t="shared" si="19"/>
        <v>-0.49823606491281119</v>
      </c>
    </row>
    <row r="64" spans="1:26" s="27" customFormat="1" outlineLevel="1" collapsed="1" x14ac:dyDescent="0.25">
      <c r="A64" s="28"/>
      <c r="B64" s="14" t="str">
        <f>CONCATENATE("     ","*Payroll                                          ")</f>
        <v xml:space="preserve">     *Payroll                                          </v>
      </c>
      <c r="C64" s="14"/>
      <c r="D64" s="1">
        <f>SUM(OSRRefD22_1x_0)</f>
        <v>11327.050000000001</v>
      </c>
      <c r="E64" s="1"/>
      <c r="F64" s="5">
        <f t="shared" ref="F64:F68" si="20">IF(D$12=0,0,D64/D$12)</f>
        <v>0.16299360677055791</v>
      </c>
      <c r="G64" s="1"/>
      <c r="H64" s="1">
        <f>SUM(OSRRefH22_1x_0)</f>
        <v>8828.369999999999</v>
      </c>
      <c r="I64" s="1"/>
      <c r="J64" s="5">
        <f t="shared" ref="J64:J68" si="21">IF(H$12=0,0,H64/H$12)</f>
        <v>0.19664781647210605</v>
      </c>
      <c r="K64" s="1"/>
      <c r="L64" s="1">
        <f t="shared" ref="L64:L68" si="22">+D64-H64</f>
        <v>2498.6800000000021</v>
      </c>
      <c r="M64" s="1"/>
      <c r="N64" s="5">
        <f t="shared" ref="N64:N68" si="23">IF(H64=0,0,L64/H64)</f>
        <v>0.28302846391802816</v>
      </c>
      <c r="O64" s="14"/>
      <c r="P64" s="1">
        <f>SUM(OSRRefP22_1x_0)</f>
        <v>21353.87</v>
      </c>
      <c r="Q64" s="1"/>
      <c r="R64" s="5">
        <f t="shared" ref="R64:R68" si="24">IF(P$12=0,0,P64/P$12)</f>
        <v>0.17651330454194292</v>
      </c>
      <c r="S64" s="1"/>
      <c r="T64" s="1">
        <f>SUM(OSRRefT22_1x_0)</f>
        <v>23420.55</v>
      </c>
      <c r="U64" s="1"/>
      <c r="V64" s="5">
        <f t="shared" ref="V64:V68" si="25">IF(T$12=0,0,T64/T$12)</f>
        <v>0.2466676166622484</v>
      </c>
      <c r="W64" s="1"/>
      <c r="X64" s="1">
        <f t="shared" ref="X64:X68" si="26">+P64-T64</f>
        <v>-2066.6800000000003</v>
      </c>
      <c r="Y64" s="1"/>
      <c r="Z64" s="5">
        <f t="shared" ref="Z64:Z68" si="27">IF(T64=0,0,X64/T64)</f>
        <v>-8.8242163399237017E-2</v>
      </c>
    </row>
    <row r="65" spans="1:26" s="24" customFormat="1" hidden="1" outlineLevel="2" x14ac:dyDescent="0.25">
      <c r="A65" s="29"/>
      <c r="B65" s="11" t="str">
        <f>CONCATENATE("          ", "6002", " - ", "STAFF SALARIES")</f>
        <v xml:space="preserve">          6002 - STAFF SALARIES</v>
      </c>
      <c r="C65" s="11"/>
      <c r="D65" s="7">
        <v>2322.7600000000002</v>
      </c>
      <c r="E65" s="2"/>
      <c r="F65" s="6">
        <f t="shared" si="20"/>
        <v>3.3423974473705077E-2</v>
      </c>
      <c r="G65" s="2"/>
      <c r="H65" s="7">
        <v>2081.44</v>
      </c>
      <c r="I65" s="2"/>
      <c r="J65" s="6">
        <f t="shared" si="21"/>
        <v>4.6363103394816994E-2</v>
      </c>
      <c r="K65" s="2"/>
      <c r="L65" s="7">
        <f t="shared" si="22"/>
        <v>241.32000000000016</v>
      </c>
      <c r="M65" s="2"/>
      <c r="N65" s="6">
        <f t="shared" si="23"/>
        <v>0.11593896533169352</v>
      </c>
      <c r="O65" s="11"/>
      <c r="P65" s="7">
        <v>1835.9</v>
      </c>
      <c r="Q65" s="2"/>
      <c r="R65" s="6">
        <f t="shared" si="24"/>
        <v>1.5175739845215553E-2</v>
      </c>
      <c r="S65" s="2"/>
      <c r="T65" s="7">
        <v>4751.32</v>
      </c>
      <c r="U65" s="2"/>
      <c r="V65" s="6">
        <f t="shared" si="25"/>
        <v>5.0041385893997967E-2</v>
      </c>
      <c r="W65" s="2"/>
      <c r="X65" s="7">
        <f t="shared" si="26"/>
        <v>-2915.4199999999996</v>
      </c>
      <c r="Y65" s="2"/>
      <c r="Z65" s="6">
        <f t="shared" si="27"/>
        <v>-0.61360211478073456</v>
      </c>
    </row>
    <row r="66" spans="1:26" s="24" customFormat="1" hidden="1" outlineLevel="2" x14ac:dyDescent="0.25">
      <c r="A66" s="29"/>
      <c r="B66" s="11" t="str">
        <f>CONCATENATE("          ", "6005", " - ", "TEMPORARY WAGES-HOURLY")</f>
        <v xml:space="preserve">          6005 - TEMPORARY WAGES-HOURLY</v>
      </c>
      <c r="C66" s="11"/>
      <c r="D66" s="7"/>
      <c r="E66" s="2"/>
      <c r="F66" s="6">
        <f t="shared" si="20"/>
        <v>0</v>
      </c>
      <c r="G66" s="2"/>
      <c r="H66" s="7">
        <v>1614.39</v>
      </c>
      <c r="I66" s="2"/>
      <c r="J66" s="6">
        <f t="shared" si="21"/>
        <v>3.5959782885674633E-2</v>
      </c>
      <c r="K66" s="2"/>
      <c r="L66" s="7">
        <f t="shared" si="22"/>
        <v>-1614.39</v>
      </c>
      <c r="M66" s="2"/>
      <c r="N66" s="6">
        <f t="shared" si="23"/>
        <v>-1</v>
      </c>
      <c r="O66" s="11"/>
      <c r="P66" s="7">
        <v>332.35</v>
      </c>
      <c r="Q66" s="2"/>
      <c r="R66" s="6">
        <f t="shared" si="24"/>
        <v>2.7472395759885553E-3</v>
      </c>
      <c r="S66" s="2"/>
      <c r="T66" s="7">
        <v>3354.42</v>
      </c>
      <c r="U66" s="2"/>
      <c r="V66" s="6">
        <f t="shared" si="25"/>
        <v>3.532909289850919E-2</v>
      </c>
      <c r="W66" s="2"/>
      <c r="X66" s="7">
        <f t="shared" si="26"/>
        <v>-3022.07</v>
      </c>
      <c r="Y66" s="2"/>
      <c r="Z66" s="6">
        <f t="shared" si="27"/>
        <v>-0.90092176889000186</v>
      </c>
    </row>
    <row r="67" spans="1:26" s="24" customFormat="1" hidden="1" outlineLevel="2" x14ac:dyDescent="0.25">
      <c r="A67" s="29"/>
      <c r="B67" s="11" t="str">
        <f>CONCATENATE("          ", "6006", " - ", "TEMPORARY PART TIME")</f>
        <v xml:space="preserve">          6006 - TEMPORARY PART TIME</v>
      </c>
      <c r="C67" s="11"/>
      <c r="D67" s="7"/>
      <c r="E67" s="2"/>
      <c r="F67" s="6">
        <f t="shared" si="20"/>
        <v>0</v>
      </c>
      <c r="G67" s="2"/>
      <c r="H67" s="7">
        <v>1430.46</v>
      </c>
      <c r="I67" s="2"/>
      <c r="J67" s="6">
        <f t="shared" si="21"/>
        <v>3.1862828081592513E-2</v>
      </c>
      <c r="K67" s="2"/>
      <c r="L67" s="7">
        <f t="shared" si="22"/>
        <v>-1430.46</v>
      </c>
      <c r="M67" s="2"/>
      <c r="N67" s="6">
        <f t="shared" si="23"/>
        <v>-1</v>
      </c>
      <c r="O67" s="11"/>
      <c r="P67" s="7"/>
      <c r="Q67" s="2"/>
      <c r="R67" s="6">
        <f t="shared" si="24"/>
        <v>0</v>
      </c>
      <c r="S67" s="2"/>
      <c r="T67" s="7">
        <v>2705.59</v>
      </c>
      <c r="U67" s="2"/>
      <c r="V67" s="6">
        <f t="shared" si="25"/>
        <v>2.8495549291763546E-2</v>
      </c>
      <c r="W67" s="2"/>
      <c r="X67" s="7">
        <f t="shared" si="26"/>
        <v>-2705.59</v>
      </c>
      <c r="Y67" s="2"/>
      <c r="Z67" s="6">
        <f t="shared" si="27"/>
        <v>-1</v>
      </c>
    </row>
    <row r="68" spans="1:26" s="24" customFormat="1" hidden="1" outlineLevel="2" x14ac:dyDescent="0.25">
      <c r="A68" s="29"/>
      <c r="B68" s="11" t="str">
        <f>CONCATENATE("          ", "6007", " - ", "STUDENT HOURLY")</f>
        <v xml:space="preserve">          6007 - STUDENT HOURLY</v>
      </c>
      <c r="C68" s="11"/>
      <c r="D68" s="7">
        <v>9004.2900000000009</v>
      </c>
      <c r="E68" s="2"/>
      <c r="F68" s="6">
        <f t="shared" si="20"/>
        <v>0.12956963229685284</v>
      </c>
      <c r="G68" s="2"/>
      <c r="H68" s="7">
        <v>3702.08</v>
      </c>
      <c r="I68" s="2"/>
      <c r="J68" s="6">
        <f t="shared" si="21"/>
        <v>8.2462102110021945E-2</v>
      </c>
      <c r="K68" s="2"/>
      <c r="L68" s="7">
        <f t="shared" si="22"/>
        <v>5302.2100000000009</v>
      </c>
      <c r="M68" s="2"/>
      <c r="N68" s="6">
        <f t="shared" si="23"/>
        <v>1.4322245872590547</v>
      </c>
      <c r="O68" s="11"/>
      <c r="P68" s="7">
        <v>19185.62</v>
      </c>
      <c r="Q68" s="2"/>
      <c r="R68" s="6">
        <f t="shared" si="24"/>
        <v>0.15859032512073881</v>
      </c>
      <c r="S68" s="2"/>
      <c r="T68" s="7">
        <v>12609.22</v>
      </c>
      <c r="U68" s="2"/>
      <c r="V68" s="6">
        <f t="shared" si="25"/>
        <v>0.13280158857797772</v>
      </c>
      <c r="W68" s="2"/>
      <c r="X68" s="7">
        <f t="shared" si="26"/>
        <v>6576.4</v>
      </c>
      <c r="Y68" s="2"/>
      <c r="Z68" s="6">
        <f t="shared" si="27"/>
        <v>0.52155486223572911</v>
      </c>
    </row>
    <row r="69" spans="1:26" s="27" customFormat="1" outlineLevel="1" collapsed="1" x14ac:dyDescent="0.25">
      <c r="A69" s="28"/>
      <c r="B69" s="14" t="str">
        <f>CONCATENATE("     ","Advertising/Promo                                 ")</f>
        <v xml:space="preserve">     Advertising/Promo                                 </v>
      </c>
      <c r="C69" s="14"/>
      <c r="D69" s="1">
        <f>SUM(OSRRefD22_2x_0)</f>
        <v>868.88</v>
      </c>
      <c r="E69" s="1"/>
      <c r="F69" s="5">
        <f t="shared" ref="F69:F94" si="28">IF(D$12=0,0,D69/D$12)</f>
        <v>1.2502980480425384E-2</v>
      </c>
      <c r="G69" s="1"/>
      <c r="H69" s="1">
        <f>SUM(OSRRefH22_2x_0)</f>
        <v>472.39</v>
      </c>
      <c r="I69" s="1"/>
      <c r="J69" s="5">
        <f t="shared" ref="J69:J94" si="29">IF(H$12=0,0,H69/H$12)</f>
        <v>1.0522266513893073E-2</v>
      </c>
      <c r="K69" s="1"/>
      <c r="L69" s="1">
        <f t="shared" ref="L69:L94" si="30">+D69-H69</f>
        <v>396.49</v>
      </c>
      <c r="M69" s="1"/>
      <c r="N69" s="5">
        <f t="shared" ref="N69:N94" si="31">IF(H69=0,0,L69/H69)</f>
        <v>0.83932767416753107</v>
      </c>
      <c r="O69" s="14"/>
      <c r="P69" s="1">
        <f>SUM(OSRRefP22_2x_0)</f>
        <v>868.88</v>
      </c>
      <c r="Q69" s="1"/>
      <c r="R69" s="5">
        <f t="shared" ref="R69:R94" si="32">IF(P$12=0,0,P69/P$12)</f>
        <v>7.1822522123813322E-3</v>
      </c>
      <c r="S69" s="1"/>
      <c r="T69" s="1">
        <f>SUM(OSRRefT22_2x_0)</f>
        <v>922.18</v>
      </c>
      <c r="U69" s="1"/>
      <c r="V69" s="5">
        <f t="shared" ref="V69:V94" si="33">IF(T$12=0,0,T69/T$12)</f>
        <v>9.7124936320279517E-3</v>
      </c>
      <c r="W69" s="1"/>
      <c r="X69" s="1">
        <f t="shared" ref="X69:X94" si="34">+P69-T69</f>
        <v>-53.299999999999955</v>
      </c>
      <c r="Y69" s="1"/>
      <c r="Z69" s="5">
        <f t="shared" ref="Z69:Z94" si="35">IF(T69=0,0,X69/T69)</f>
        <v>-5.7797826888459906E-2</v>
      </c>
    </row>
    <row r="70" spans="1:26" s="24" customFormat="1" hidden="1" outlineLevel="2" x14ac:dyDescent="0.25">
      <c r="A70" s="29"/>
      <c r="B70" s="11" t="str">
        <f>CONCATENATE("          ", "6362", " - ", "ADVERTISING EXPENSE")</f>
        <v xml:space="preserve">          6362 - ADVERTISING EXPENSE</v>
      </c>
      <c r="C70" s="11"/>
      <c r="D70" s="7">
        <v>868.88</v>
      </c>
      <c r="E70" s="2"/>
      <c r="F70" s="6">
        <f t="shared" si="28"/>
        <v>1.2502980480425384E-2</v>
      </c>
      <c r="G70" s="2"/>
      <c r="H70" s="7">
        <v>472.39</v>
      </c>
      <c r="I70" s="2"/>
      <c r="J70" s="6">
        <f t="shared" si="29"/>
        <v>1.0522266513893073E-2</v>
      </c>
      <c r="K70" s="2"/>
      <c r="L70" s="7">
        <f t="shared" si="30"/>
        <v>396.49</v>
      </c>
      <c r="M70" s="2"/>
      <c r="N70" s="6">
        <f t="shared" si="31"/>
        <v>0.83932767416753107</v>
      </c>
      <c r="O70" s="11"/>
      <c r="P70" s="7">
        <v>868.88</v>
      </c>
      <c r="Q70" s="2"/>
      <c r="R70" s="6">
        <f t="shared" si="32"/>
        <v>7.1822522123813322E-3</v>
      </c>
      <c r="S70" s="2"/>
      <c r="T70" s="7">
        <v>922.18</v>
      </c>
      <c r="U70" s="2"/>
      <c r="V70" s="6">
        <f t="shared" si="33"/>
        <v>9.7124936320279517E-3</v>
      </c>
      <c r="W70" s="2"/>
      <c r="X70" s="7">
        <f t="shared" si="34"/>
        <v>-53.299999999999955</v>
      </c>
      <c r="Y70" s="2"/>
      <c r="Z70" s="6">
        <f t="shared" si="35"/>
        <v>-5.7797826888459906E-2</v>
      </c>
    </row>
    <row r="71" spans="1:26" s="27" customFormat="1" outlineLevel="1" collapsed="1" x14ac:dyDescent="0.25">
      <c r="A71" s="28"/>
      <c r="B71" s="14" t="str">
        <f>CONCATENATE("     ","Bad Debts/Over/Short                              ")</f>
        <v xml:space="preserve">     Bad Debts/Over/Short                              </v>
      </c>
      <c r="C71" s="14"/>
      <c r="D71" s="1">
        <f>SUM(OSRRefD22_3x_0)</f>
        <v>36.04</v>
      </c>
      <c r="E71" s="1"/>
      <c r="F71" s="5">
        <f t="shared" si="28"/>
        <v>5.1860719145857982E-4</v>
      </c>
      <c r="G71" s="1"/>
      <c r="H71" s="1">
        <f>SUM(OSRRefH22_3x_0)</f>
        <v>99.28</v>
      </c>
      <c r="I71" s="1"/>
      <c r="J71" s="5">
        <f t="shared" si="29"/>
        <v>2.2114156089233566E-3</v>
      </c>
      <c r="K71" s="1"/>
      <c r="L71" s="1">
        <f t="shared" si="30"/>
        <v>-63.24</v>
      </c>
      <c r="M71" s="1"/>
      <c r="N71" s="5">
        <f t="shared" si="31"/>
        <v>-0.63698630136986301</v>
      </c>
      <c r="O71" s="14"/>
      <c r="P71" s="1">
        <f>SUM(OSRRefP22_3x_0)</f>
        <v>29.91</v>
      </c>
      <c r="Q71" s="1"/>
      <c r="R71" s="5">
        <f t="shared" si="32"/>
        <v>2.4723916268336901E-4</v>
      </c>
      <c r="S71" s="1"/>
      <c r="T71" s="1">
        <f>SUM(OSRRefT22_3x_0)</f>
        <v>100.3</v>
      </c>
      <c r="U71" s="1"/>
      <c r="V71" s="5">
        <f t="shared" si="33"/>
        <v>1.056369809898722E-3</v>
      </c>
      <c r="W71" s="1"/>
      <c r="X71" s="1">
        <f t="shared" si="34"/>
        <v>-70.39</v>
      </c>
      <c r="Y71" s="1"/>
      <c r="Z71" s="5">
        <f t="shared" si="35"/>
        <v>-0.70179461615154537</v>
      </c>
    </row>
    <row r="72" spans="1:26" s="24" customFormat="1" hidden="1" outlineLevel="2" x14ac:dyDescent="0.25">
      <c r="A72" s="29"/>
      <c r="B72" s="11" t="str">
        <f>CONCATENATE("          ", "6272", " - ", "CASH (OVER/SHORT)")</f>
        <v xml:space="preserve">          6272 - CASH (OVER/SHORT)</v>
      </c>
      <c r="C72" s="11"/>
      <c r="D72" s="7">
        <v>36.04</v>
      </c>
      <c r="E72" s="2"/>
      <c r="F72" s="6">
        <f t="shared" si="28"/>
        <v>5.1860719145857982E-4</v>
      </c>
      <c r="G72" s="2"/>
      <c r="H72" s="7">
        <v>99.28</v>
      </c>
      <c r="I72" s="2"/>
      <c r="J72" s="6">
        <f t="shared" si="29"/>
        <v>2.2114156089233566E-3</v>
      </c>
      <c r="K72" s="2"/>
      <c r="L72" s="7">
        <f t="shared" si="30"/>
        <v>-63.24</v>
      </c>
      <c r="M72" s="2"/>
      <c r="N72" s="6">
        <f t="shared" si="31"/>
        <v>-0.63698630136986301</v>
      </c>
      <c r="O72" s="11"/>
      <c r="P72" s="7">
        <v>29.91</v>
      </c>
      <c r="Q72" s="2"/>
      <c r="R72" s="6">
        <f t="shared" si="32"/>
        <v>2.4723916268336901E-4</v>
      </c>
      <c r="S72" s="2"/>
      <c r="T72" s="7">
        <v>100.3</v>
      </c>
      <c r="U72" s="2"/>
      <c r="V72" s="6">
        <f t="shared" si="33"/>
        <v>1.056369809898722E-3</v>
      </c>
      <c r="W72" s="2"/>
      <c r="X72" s="7">
        <f t="shared" si="34"/>
        <v>-70.39</v>
      </c>
      <c r="Y72" s="2"/>
      <c r="Z72" s="6">
        <f t="shared" si="35"/>
        <v>-0.70179461615154537</v>
      </c>
    </row>
    <row r="73" spans="1:26" s="27" customFormat="1" outlineLevel="1" collapsed="1" x14ac:dyDescent="0.25">
      <c r="A73" s="28"/>
      <c r="B73" s="14" t="str">
        <f>CONCATENATE("     ","Bank/card Fees                                    ")</f>
        <v xml:space="preserve">     Bank/card Fees                                    </v>
      </c>
      <c r="C73" s="14"/>
      <c r="D73" s="1">
        <f>SUM(OSRRefD22_4x_0)</f>
        <v>803.95</v>
      </c>
      <c r="E73" s="1"/>
      <c r="F73" s="5">
        <f t="shared" si="28"/>
        <v>1.1568652929332001E-2</v>
      </c>
      <c r="G73" s="1"/>
      <c r="H73" s="1">
        <f>SUM(OSRRefH22_4x_0)</f>
        <v>-563.64</v>
      </c>
      <c r="I73" s="1"/>
      <c r="J73" s="5">
        <f t="shared" si="29"/>
        <v>-1.2554817625035864E-2</v>
      </c>
      <c r="K73" s="1"/>
      <c r="L73" s="1">
        <f t="shared" si="30"/>
        <v>1367.5900000000001</v>
      </c>
      <c r="M73" s="1"/>
      <c r="N73" s="5">
        <f t="shared" si="31"/>
        <v>-2.4263537009438654</v>
      </c>
      <c r="O73" s="14"/>
      <c r="P73" s="1">
        <f>SUM(OSRRefP22_4x_0)</f>
        <v>1481.66</v>
      </c>
      <c r="Q73" s="1"/>
      <c r="R73" s="5">
        <f t="shared" si="32"/>
        <v>1.2247555258490155E-2</v>
      </c>
      <c r="S73" s="1"/>
      <c r="T73" s="1">
        <f>SUM(OSRRefT22_4x_0)</f>
        <v>1315.08</v>
      </c>
      <c r="U73" s="1"/>
      <c r="V73" s="5">
        <f t="shared" si="33"/>
        <v>1.3850556426735907E-2</v>
      </c>
      <c r="W73" s="1"/>
      <c r="X73" s="1">
        <f t="shared" si="34"/>
        <v>166.58000000000015</v>
      </c>
      <c r="Y73" s="1"/>
      <c r="Z73" s="5">
        <f t="shared" si="35"/>
        <v>0.12666909997870865</v>
      </c>
    </row>
    <row r="74" spans="1:26" s="24" customFormat="1" hidden="1" outlineLevel="2" x14ac:dyDescent="0.25">
      <c r="A74" s="29"/>
      <c r="B74" s="11" t="str">
        <f>CONCATENATE("          ", "6381", " - ", "BANK/CREDIT CARD FEES")</f>
        <v xml:space="preserve">          6381 - BANK/CREDIT CARD FEES</v>
      </c>
      <c r="C74" s="11"/>
      <c r="D74" s="7">
        <v>803.95</v>
      </c>
      <c r="E74" s="2"/>
      <c r="F74" s="6">
        <f t="shared" si="28"/>
        <v>1.1568652929332001E-2</v>
      </c>
      <c r="G74" s="2"/>
      <c r="H74" s="7">
        <v>-563.64</v>
      </c>
      <c r="I74" s="2"/>
      <c r="J74" s="6">
        <f t="shared" si="29"/>
        <v>-1.2554817625035864E-2</v>
      </c>
      <c r="K74" s="2"/>
      <c r="L74" s="7">
        <f t="shared" si="30"/>
        <v>1367.5900000000001</v>
      </c>
      <c r="M74" s="2"/>
      <c r="N74" s="6">
        <f t="shared" si="31"/>
        <v>-2.4263537009438654</v>
      </c>
      <c r="O74" s="11"/>
      <c r="P74" s="7">
        <v>1481.66</v>
      </c>
      <c r="Q74" s="2"/>
      <c r="R74" s="6">
        <f t="shared" si="32"/>
        <v>1.2247555258490155E-2</v>
      </c>
      <c r="S74" s="2"/>
      <c r="T74" s="7">
        <v>1315.08</v>
      </c>
      <c r="U74" s="2"/>
      <c r="V74" s="6">
        <f t="shared" si="33"/>
        <v>1.3850556426735907E-2</v>
      </c>
      <c r="W74" s="2"/>
      <c r="X74" s="7">
        <f t="shared" si="34"/>
        <v>166.58000000000015</v>
      </c>
      <c r="Y74" s="2"/>
      <c r="Z74" s="6">
        <f t="shared" si="35"/>
        <v>0.12666909997870865</v>
      </c>
    </row>
    <row r="75" spans="1:26" s="27" customFormat="1" outlineLevel="1" collapsed="1" x14ac:dyDescent="0.25">
      <c r="A75" s="28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SUM(OSRRefD22_5x_0)</f>
        <v>12969.55</v>
      </c>
      <c r="E75" s="1"/>
      <c r="F75" s="5">
        <f t="shared" si="28"/>
        <v>0.18662879855664882</v>
      </c>
      <c r="G75" s="1"/>
      <c r="H75" s="1">
        <f>SUM(OSRRefH22_5x_0)</f>
        <v>5494.89</v>
      </c>
      <c r="I75" s="1"/>
      <c r="J75" s="5">
        <f t="shared" si="29"/>
        <v>0.12239610712446478</v>
      </c>
      <c r="K75" s="1"/>
      <c r="L75" s="1">
        <f t="shared" si="30"/>
        <v>7474.6599999999989</v>
      </c>
      <c r="M75" s="1"/>
      <c r="N75" s="5">
        <f t="shared" si="31"/>
        <v>1.3602929267009891</v>
      </c>
      <c r="O75" s="14"/>
      <c r="P75" s="1">
        <f>SUM(OSRRefP22_5x_0)</f>
        <v>19149.689999999999</v>
      </c>
      <c r="Q75" s="1"/>
      <c r="R75" s="5">
        <f t="shared" si="32"/>
        <v>0.15829332401357687</v>
      </c>
      <c r="S75" s="1"/>
      <c r="T75" s="1">
        <f>SUM(OSRRefT22_5x_0)</f>
        <v>8954.92</v>
      </c>
      <c r="U75" s="1"/>
      <c r="V75" s="5">
        <f t="shared" si="33"/>
        <v>9.4314128993601837E-2</v>
      </c>
      <c r="W75" s="1"/>
      <c r="X75" s="1">
        <f t="shared" si="34"/>
        <v>10194.769999999999</v>
      </c>
      <c r="Y75" s="1"/>
      <c r="Z75" s="5">
        <f t="shared" si="35"/>
        <v>1.1384546148932653</v>
      </c>
    </row>
    <row r="76" spans="1:26" s="24" customFormat="1" hidden="1" outlineLevel="2" x14ac:dyDescent="0.25">
      <c r="A76" s="29"/>
      <c r="B76" s="11" t="str">
        <f>CONCATENATE("          ", "6382", " - ", "DISCOUNTS/MARK DOWNS")</f>
        <v xml:space="preserve">          6382 - DISCOUNTS/MARK DOWNS</v>
      </c>
      <c r="C76" s="11"/>
      <c r="D76" s="7">
        <v>12969.55</v>
      </c>
      <c r="E76" s="2"/>
      <c r="F76" s="6">
        <f t="shared" si="28"/>
        <v>0.18662879855664882</v>
      </c>
      <c r="G76" s="2"/>
      <c r="H76" s="7">
        <v>5494.89</v>
      </c>
      <c r="I76" s="2"/>
      <c r="J76" s="6">
        <f t="shared" si="29"/>
        <v>0.12239610712446478</v>
      </c>
      <c r="K76" s="2"/>
      <c r="L76" s="7">
        <f t="shared" si="30"/>
        <v>7474.6599999999989</v>
      </c>
      <c r="M76" s="2"/>
      <c r="N76" s="6">
        <f t="shared" si="31"/>
        <v>1.3602929267009891</v>
      </c>
      <c r="O76" s="11"/>
      <c r="P76" s="7">
        <v>19149.689999999999</v>
      </c>
      <c r="Q76" s="2"/>
      <c r="R76" s="6">
        <f t="shared" si="32"/>
        <v>0.15829332401357687</v>
      </c>
      <c r="S76" s="2"/>
      <c r="T76" s="7">
        <v>8954.92</v>
      </c>
      <c r="U76" s="2"/>
      <c r="V76" s="6">
        <f t="shared" si="33"/>
        <v>9.4314128993601837E-2</v>
      </c>
      <c r="W76" s="2"/>
      <c r="X76" s="7">
        <f t="shared" si="34"/>
        <v>10194.769999999999</v>
      </c>
      <c r="Y76" s="2"/>
      <c r="Z76" s="6">
        <f t="shared" si="35"/>
        <v>1.1384546148932653</v>
      </c>
    </row>
    <row r="77" spans="1:26" s="27" customFormat="1" outlineLevel="1" collapsed="1" x14ac:dyDescent="0.25">
      <c r="A77" s="28"/>
      <c r="B77" s="14" t="str">
        <f>CONCATENATE("     ","Donations                                         ")</f>
        <v xml:space="preserve">     Donations                                         </v>
      </c>
      <c r="C77" s="14"/>
      <c r="D77" s="1">
        <f>SUM(OSRRefD22_6x_0)</f>
        <v>0</v>
      </c>
      <c r="E77" s="1"/>
      <c r="F77" s="5">
        <f t="shared" si="28"/>
        <v>0</v>
      </c>
      <c r="G77" s="1"/>
      <c r="H77" s="1">
        <f>SUM(OSRRefH22_6x_0)</f>
        <v>0</v>
      </c>
      <c r="I77" s="1"/>
      <c r="J77" s="5">
        <f t="shared" si="29"/>
        <v>0</v>
      </c>
      <c r="K77" s="1"/>
      <c r="L77" s="1">
        <f t="shared" si="30"/>
        <v>0</v>
      </c>
      <c r="M77" s="1"/>
      <c r="N77" s="5">
        <f t="shared" si="31"/>
        <v>0</v>
      </c>
      <c r="O77" s="14"/>
      <c r="P77" s="1">
        <f>SUM(OSRRefP22_6x_0)</f>
        <v>0</v>
      </c>
      <c r="Q77" s="1"/>
      <c r="R77" s="5">
        <f t="shared" si="32"/>
        <v>0</v>
      </c>
      <c r="S77" s="1"/>
      <c r="T77" s="1">
        <f>SUM(OSRRefT22_6x_0)</f>
        <v>100</v>
      </c>
      <c r="U77" s="1"/>
      <c r="V77" s="5">
        <f t="shared" si="33"/>
        <v>1.0532101793606402E-3</v>
      </c>
      <c r="W77" s="1"/>
      <c r="X77" s="1">
        <f t="shared" si="34"/>
        <v>-100</v>
      </c>
      <c r="Y77" s="1"/>
      <c r="Z77" s="5">
        <f t="shared" si="35"/>
        <v>-1</v>
      </c>
    </row>
    <row r="78" spans="1:26" s="24" customFormat="1" hidden="1" outlineLevel="2" x14ac:dyDescent="0.25">
      <c r="A78" s="29"/>
      <c r="B78" s="11" t="str">
        <f>CONCATENATE("          ", "6399", " - ", "DONATION-ON CAMPUS")</f>
        <v xml:space="preserve">          6399 - DONATION-ON CAMPUS</v>
      </c>
      <c r="C78" s="11"/>
      <c r="D78" s="7"/>
      <c r="E78" s="2"/>
      <c r="F78" s="6">
        <f t="shared" si="28"/>
        <v>0</v>
      </c>
      <c r="G78" s="2"/>
      <c r="H78" s="7"/>
      <c r="I78" s="2"/>
      <c r="J78" s="6">
        <f t="shared" si="29"/>
        <v>0</v>
      </c>
      <c r="K78" s="2"/>
      <c r="L78" s="7">
        <f t="shared" si="30"/>
        <v>0</v>
      </c>
      <c r="M78" s="2"/>
      <c r="N78" s="6">
        <f t="shared" si="31"/>
        <v>0</v>
      </c>
      <c r="O78" s="11"/>
      <c r="P78" s="7"/>
      <c r="Q78" s="2"/>
      <c r="R78" s="6">
        <f t="shared" si="32"/>
        <v>0</v>
      </c>
      <c r="S78" s="2"/>
      <c r="T78" s="7">
        <v>100</v>
      </c>
      <c r="U78" s="2"/>
      <c r="V78" s="6">
        <f t="shared" si="33"/>
        <v>1.0532101793606402E-3</v>
      </c>
      <c r="W78" s="2"/>
      <c r="X78" s="7">
        <f t="shared" si="34"/>
        <v>-100</v>
      </c>
      <c r="Y78" s="2"/>
      <c r="Z78" s="6">
        <f t="shared" si="35"/>
        <v>-1</v>
      </c>
    </row>
    <row r="79" spans="1:26" s="27" customFormat="1" outlineLevel="1" collapsed="1" x14ac:dyDescent="0.25">
      <c r="A79" s="28"/>
      <c r="B79" s="14" t="str">
        <f>CONCATENATE("     ","Employees' Appreciation                           ")</f>
        <v xml:space="preserve">     Employees' Appreciation                           </v>
      </c>
      <c r="C79" s="14"/>
      <c r="D79" s="1">
        <f>SUM(OSRRefD22_7x_0)</f>
        <v>0</v>
      </c>
      <c r="E79" s="1"/>
      <c r="F79" s="5">
        <f t="shared" si="28"/>
        <v>0</v>
      </c>
      <c r="G79" s="1"/>
      <c r="H79" s="1">
        <f>SUM(OSRRefH22_7x_0)</f>
        <v>0</v>
      </c>
      <c r="I79" s="1"/>
      <c r="J79" s="5">
        <f t="shared" si="29"/>
        <v>0</v>
      </c>
      <c r="K79" s="1"/>
      <c r="L79" s="1">
        <f t="shared" si="30"/>
        <v>0</v>
      </c>
      <c r="M79" s="1"/>
      <c r="N79" s="5">
        <f t="shared" si="31"/>
        <v>0</v>
      </c>
      <c r="O79" s="14"/>
      <c r="P79" s="1">
        <f>SUM(OSRRefP22_7x_0)</f>
        <v>120.93</v>
      </c>
      <c r="Q79" s="1"/>
      <c r="R79" s="5">
        <f t="shared" si="32"/>
        <v>9.9961992455031151E-4</v>
      </c>
      <c r="S79" s="1"/>
      <c r="T79" s="1">
        <f>SUM(OSRRefT22_7x_0)</f>
        <v>75.53</v>
      </c>
      <c r="U79" s="1"/>
      <c r="V79" s="5">
        <f t="shared" si="33"/>
        <v>7.9548964847109152E-4</v>
      </c>
      <c r="W79" s="1"/>
      <c r="X79" s="1">
        <f t="shared" si="34"/>
        <v>45.400000000000006</v>
      </c>
      <c r="Y79" s="1"/>
      <c r="Z79" s="5">
        <f t="shared" si="35"/>
        <v>0.60108566132662522</v>
      </c>
    </row>
    <row r="80" spans="1:26" s="24" customFormat="1" hidden="1" outlineLevel="2" x14ac:dyDescent="0.25">
      <c r="A80" s="29"/>
      <c r="B80" s="11" t="str">
        <f>CONCATENATE("          ", "6277", " - ", "EMPLOYEE APPRECIATION")</f>
        <v xml:space="preserve">          6277 - EMPLOYEE APPRECIATION</v>
      </c>
      <c r="C80" s="11"/>
      <c r="D80" s="7"/>
      <c r="E80" s="2"/>
      <c r="F80" s="6">
        <f t="shared" si="28"/>
        <v>0</v>
      </c>
      <c r="G80" s="2"/>
      <c r="H80" s="7"/>
      <c r="I80" s="2"/>
      <c r="J80" s="6">
        <f t="shared" si="29"/>
        <v>0</v>
      </c>
      <c r="K80" s="2"/>
      <c r="L80" s="7">
        <f t="shared" si="30"/>
        <v>0</v>
      </c>
      <c r="M80" s="2"/>
      <c r="N80" s="6">
        <f t="shared" si="31"/>
        <v>0</v>
      </c>
      <c r="O80" s="11"/>
      <c r="P80" s="7">
        <v>120.93</v>
      </c>
      <c r="Q80" s="2"/>
      <c r="R80" s="6">
        <f t="shared" si="32"/>
        <v>9.9961992455031151E-4</v>
      </c>
      <c r="S80" s="2"/>
      <c r="T80" s="7">
        <v>75.53</v>
      </c>
      <c r="U80" s="2"/>
      <c r="V80" s="6">
        <f t="shared" si="33"/>
        <v>7.9548964847109152E-4</v>
      </c>
      <c r="W80" s="2"/>
      <c r="X80" s="7">
        <f t="shared" si="34"/>
        <v>45.400000000000006</v>
      </c>
      <c r="Y80" s="2"/>
      <c r="Z80" s="6">
        <f t="shared" si="35"/>
        <v>0.60108566132662522</v>
      </c>
    </row>
    <row r="81" spans="1:26" s="27" customFormat="1" outlineLevel="1" collapsed="1" x14ac:dyDescent="0.25">
      <c r="A81" s="28"/>
      <c r="B81" s="14" t="str">
        <f>CONCATENATE("     ","Insurance                                         ")</f>
        <v xml:space="preserve">     Insurance                                         </v>
      </c>
      <c r="C81" s="14"/>
      <c r="D81" s="1">
        <f>SUM(OSRRefD22_8x_0)</f>
        <v>161.18</v>
      </c>
      <c r="E81" s="1"/>
      <c r="F81" s="5">
        <f t="shared" si="28"/>
        <v>2.3193425948749694E-3</v>
      </c>
      <c r="G81" s="1"/>
      <c r="H81" s="1">
        <f>SUM(OSRRefH22_8x_0)</f>
        <v>151.85</v>
      </c>
      <c r="I81" s="1"/>
      <c r="J81" s="5">
        <f t="shared" si="29"/>
        <v>3.3823877942688522E-3</v>
      </c>
      <c r="K81" s="1"/>
      <c r="L81" s="1">
        <f t="shared" si="30"/>
        <v>9.3300000000000125</v>
      </c>
      <c r="M81" s="1"/>
      <c r="N81" s="5">
        <f t="shared" si="31"/>
        <v>6.1442212709911181E-2</v>
      </c>
      <c r="O81" s="14"/>
      <c r="P81" s="1">
        <f>SUM(OSRRefP22_8x_0)</f>
        <v>322.36</v>
      </c>
      <c r="Q81" s="1"/>
      <c r="R81" s="5">
        <f t="shared" si="32"/>
        <v>2.6646611996860858E-3</v>
      </c>
      <c r="S81" s="1"/>
      <c r="T81" s="1">
        <f>SUM(OSRRefT22_8x_0)</f>
        <v>303.7</v>
      </c>
      <c r="U81" s="1"/>
      <c r="V81" s="5">
        <f t="shared" si="33"/>
        <v>3.1985993147182644E-3</v>
      </c>
      <c r="W81" s="1"/>
      <c r="X81" s="1">
        <f t="shared" si="34"/>
        <v>18.660000000000025</v>
      </c>
      <c r="Y81" s="1"/>
      <c r="Z81" s="5">
        <f t="shared" si="35"/>
        <v>6.1442212709911181E-2</v>
      </c>
    </row>
    <row r="82" spans="1:26" s="24" customFormat="1" hidden="1" outlineLevel="2" x14ac:dyDescent="0.25">
      <c r="A82" s="29"/>
      <c r="B82" s="11" t="str">
        <f>CONCATENATE("          ", "6314", " - ", "LIABILITY INSURANCE")</f>
        <v xml:space="preserve">          6314 - LIABILITY INSURANCE</v>
      </c>
      <c r="C82" s="11"/>
      <c r="D82" s="7">
        <v>161.18</v>
      </c>
      <c r="E82" s="2"/>
      <c r="F82" s="6">
        <f t="shared" si="28"/>
        <v>2.3193425948749694E-3</v>
      </c>
      <c r="G82" s="2"/>
      <c r="H82" s="7">
        <v>151.85</v>
      </c>
      <c r="I82" s="2"/>
      <c r="J82" s="6">
        <f t="shared" si="29"/>
        <v>3.3823877942688522E-3</v>
      </c>
      <c r="K82" s="2"/>
      <c r="L82" s="7">
        <f t="shared" si="30"/>
        <v>9.3300000000000125</v>
      </c>
      <c r="M82" s="2"/>
      <c r="N82" s="6">
        <f t="shared" si="31"/>
        <v>6.1442212709911181E-2</v>
      </c>
      <c r="O82" s="11"/>
      <c r="P82" s="7">
        <v>322.36</v>
      </c>
      <c r="Q82" s="2"/>
      <c r="R82" s="6">
        <f t="shared" si="32"/>
        <v>2.6646611996860858E-3</v>
      </c>
      <c r="S82" s="2"/>
      <c r="T82" s="7">
        <v>303.7</v>
      </c>
      <c r="U82" s="2"/>
      <c r="V82" s="6">
        <f t="shared" si="33"/>
        <v>3.1985993147182644E-3</v>
      </c>
      <c r="W82" s="2"/>
      <c r="X82" s="7">
        <f t="shared" si="34"/>
        <v>18.660000000000025</v>
      </c>
      <c r="Y82" s="2"/>
      <c r="Z82" s="6">
        <f t="shared" si="35"/>
        <v>6.1442212709911181E-2</v>
      </c>
    </row>
    <row r="83" spans="1:26" s="27" customFormat="1" outlineLevel="1" collapsed="1" x14ac:dyDescent="0.25">
      <c r="A83" s="28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SUM(OSRRefD22_9x_0)</f>
        <v>300</v>
      </c>
      <c r="E83" s="1"/>
      <c r="F83" s="5">
        <f t="shared" si="28"/>
        <v>4.3169300065919519E-3</v>
      </c>
      <c r="G83" s="1"/>
      <c r="H83" s="1">
        <f>SUM(OSRRefH22_9x_0)</f>
        <v>300</v>
      </c>
      <c r="I83" s="1"/>
      <c r="J83" s="5">
        <f t="shared" si="29"/>
        <v>6.6823598174557504E-3</v>
      </c>
      <c r="K83" s="1"/>
      <c r="L83" s="1">
        <f t="shared" si="30"/>
        <v>0</v>
      </c>
      <c r="M83" s="1"/>
      <c r="N83" s="5">
        <f t="shared" si="31"/>
        <v>0</v>
      </c>
      <c r="O83" s="14"/>
      <c r="P83" s="1">
        <f>SUM(OSRRefP22_9x_0)</f>
        <v>600</v>
      </c>
      <c r="Q83" s="1"/>
      <c r="R83" s="5">
        <f t="shared" si="32"/>
        <v>4.9596622403885451E-3</v>
      </c>
      <c r="S83" s="1"/>
      <c r="T83" s="1">
        <f>SUM(OSRRefT22_9x_0)</f>
        <v>600</v>
      </c>
      <c r="U83" s="1"/>
      <c r="V83" s="5">
        <f t="shared" si="33"/>
        <v>6.3192610761638414E-3</v>
      </c>
      <c r="W83" s="1"/>
      <c r="X83" s="1">
        <f t="shared" si="34"/>
        <v>0</v>
      </c>
      <c r="Y83" s="1"/>
      <c r="Z83" s="5">
        <f t="shared" si="35"/>
        <v>0</v>
      </c>
    </row>
    <row r="84" spans="1:26" s="24" customFormat="1" hidden="1" outlineLevel="2" x14ac:dyDescent="0.25">
      <c r="A84" s="29"/>
      <c r="B84" s="11" t="str">
        <f>CONCATENATE("          ", "6408", " - ", "INVENTORY ADJUSTMENT")</f>
        <v xml:space="preserve">          6408 - INVENTORY ADJUSTMENT</v>
      </c>
      <c r="C84" s="11"/>
      <c r="D84" s="7">
        <v>300</v>
      </c>
      <c r="E84" s="2"/>
      <c r="F84" s="6">
        <f t="shared" si="28"/>
        <v>4.3169300065919519E-3</v>
      </c>
      <c r="G84" s="2"/>
      <c r="H84" s="7">
        <v>300</v>
      </c>
      <c r="I84" s="2"/>
      <c r="J84" s="6">
        <f t="shared" si="29"/>
        <v>6.6823598174557504E-3</v>
      </c>
      <c r="K84" s="2"/>
      <c r="L84" s="7">
        <f t="shared" si="30"/>
        <v>0</v>
      </c>
      <c r="M84" s="2"/>
      <c r="N84" s="6">
        <f t="shared" si="31"/>
        <v>0</v>
      </c>
      <c r="O84" s="11"/>
      <c r="P84" s="7">
        <v>600</v>
      </c>
      <c r="Q84" s="2"/>
      <c r="R84" s="6">
        <f t="shared" si="32"/>
        <v>4.9596622403885451E-3</v>
      </c>
      <c r="S84" s="2"/>
      <c r="T84" s="7">
        <v>600</v>
      </c>
      <c r="U84" s="2"/>
      <c r="V84" s="6">
        <f t="shared" si="33"/>
        <v>6.3192610761638414E-3</v>
      </c>
      <c r="W84" s="2"/>
      <c r="X84" s="7">
        <f t="shared" si="34"/>
        <v>0</v>
      </c>
      <c r="Y84" s="2"/>
      <c r="Z84" s="6">
        <f t="shared" si="35"/>
        <v>0</v>
      </c>
    </row>
    <row r="85" spans="1:26" s="27" customFormat="1" outlineLevel="1" collapsed="1" x14ac:dyDescent="0.25">
      <c r="A85" s="28"/>
      <c r="B85" s="14" t="str">
        <f>CONCATENATE("     ","Professional Services                             ")</f>
        <v xml:space="preserve">     Professional Services                             </v>
      </c>
      <c r="C85" s="14"/>
      <c r="D85" s="1">
        <f>SUM(OSRRefD22_10x_0)</f>
        <v>0</v>
      </c>
      <c r="E85" s="1"/>
      <c r="F85" s="5">
        <f t="shared" si="28"/>
        <v>0</v>
      </c>
      <c r="G85" s="1"/>
      <c r="H85" s="1">
        <f>SUM(OSRRefH22_10x_0)</f>
        <v>0</v>
      </c>
      <c r="I85" s="1"/>
      <c r="J85" s="5">
        <f t="shared" si="29"/>
        <v>0</v>
      </c>
      <c r="K85" s="1"/>
      <c r="L85" s="1">
        <f t="shared" si="30"/>
        <v>0</v>
      </c>
      <c r="M85" s="1"/>
      <c r="N85" s="5">
        <f t="shared" si="31"/>
        <v>0</v>
      </c>
      <c r="O85" s="14"/>
      <c r="P85" s="1">
        <f>SUM(OSRRefP22_10x_0)</f>
        <v>750</v>
      </c>
      <c r="Q85" s="1"/>
      <c r="R85" s="5">
        <f t="shared" si="32"/>
        <v>6.1995778004856816E-3</v>
      </c>
      <c r="S85" s="1"/>
      <c r="T85" s="1">
        <f>SUM(OSRRefT22_10x_0)</f>
        <v>750</v>
      </c>
      <c r="U85" s="1"/>
      <c r="V85" s="5">
        <f t="shared" si="33"/>
        <v>7.8990763452048019E-3</v>
      </c>
      <c r="W85" s="1"/>
      <c r="X85" s="1">
        <f t="shared" si="34"/>
        <v>0</v>
      </c>
      <c r="Y85" s="1"/>
      <c r="Z85" s="5">
        <f t="shared" si="35"/>
        <v>0</v>
      </c>
    </row>
    <row r="86" spans="1:26" s="24" customFormat="1" hidden="1" outlineLevel="2" x14ac:dyDescent="0.25">
      <c r="A86" s="29"/>
      <c r="B86" s="11" t="str">
        <f>CONCATENATE("          ", "6336", " - ", "PROFESSIONAL SERVICES")</f>
        <v xml:space="preserve">          6336 - PROFESSIONAL SERVICES</v>
      </c>
      <c r="C86" s="11"/>
      <c r="D86" s="7"/>
      <c r="E86" s="2"/>
      <c r="F86" s="6">
        <f t="shared" si="28"/>
        <v>0</v>
      </c>
      <c r="G86" s="2"/>
      <c r="H86" s="7"/>
      <c r="I86" s="2"/>
      <c r="J86" s="6">
        <f t="shared" si="29"/>
        <v>0</v>
      </c>
      <c r="K86" s="2"/>
      <c r="L86" s="7">
        <f t="shared" si="30"/>
        <v>0</v>
      </c>
      <c r="M86" s="2"/>
      <c r="N86" s="6">
        <f t="shared" si="31"/>
        <v>0</v>
      </c>
      <c r="O86" s="11"/>
      <c r="P86" s="7">
        <v>750</v>
      </c>
      <c r="Q86" s="2"/>
      <c r="R86" s="6">
        <f t="shared" si="32"/>
        <v>6.1995778004856816E-3</v>
      </c>
      <c r="S86" s="2"/>
      <c r="T86" s="7">
        <v>750</v>
      </c>
      <c r="U86" s="2"/>
      <c r="V86" s="6">
        <f t="shared" si="33"/>
        <v>7.8990763452048019E-3</v>
      </c>
      <c r="W86" s="2"/>
      <c r="X86" s="7">
        <f t="shared" si="34"/>
        <v>0</v>
      </c>
      <c r="Y86" s="2"/>
      <c r="Z86" s="6">
        <f t="shared" si="35"/>
        <v>0</v>
      </c>
    </row>
    <row r="87" spans="1:26" s="27" customFormat="1" outlineLevel="1" collapsed="1" x14ac:dyDescent="0.25">
      <c r="A87" s="28"/>
      <c r="B87" s="14" t="str">
        <f>CONCATENATE("     ","Rent                                              ")</f>
        <v xml:space="preserve">     Rent                                              </v>
      </c>
      <c r="C87" s="14"/>
      <c r="D87" s="1">
        <f>SUM(OSRRefD22_11x_0)</f>
        <v>6900</v>
      </c>
      <c r="E87" s="1"/>
      <c r="F87" s="5">
        <f t="shared" si="28"/>
        <v>9.9289390151614892E-2</v>
      </c>
      <c r="G87" s="1"/>
      <c r="H87" s="1">
        <f>SUM(OSRRefH22_11x_0)</f>
        <v>6900</v>
      </c>
      <c r="I87" s="1"/>
      <c r="J87" s="5">
        <f t="shared" si="29"/>
        <v>0.15369427580148226</v>
      </c>
      <c r="K87" s="1"/>
      <c r="L87" s="1">
        <f t="shared" si="30"/>
        <v>0</v>
      </c>
      <c r="M87" s="1"/>
      <c r="N87" s="5">
        <f t="shared" si="31"/>
        <v>0</v>
      </c>
      <c r="O87" s="14"/>
      <c r="P87" s="1">
        <f>SUM(OSRRefP22_11x_0)</f>
        <v>13800</v>
      </c>
      <c r="Q87" s="1"/>
      <c r="R87" s="5">
        <f t="shared" si="32"/>
        <v>0.11407223152893654</v>
      </c>
      <c r="S87" s="1"/>
      <c r="T87" s="1">
        <f>SUM(OSRRefT22_11x_0)</f>
        <v>13800</v>
      </c>
      <c r="U87" s="1"/>
      <c r="V87" s="5">
        <f t="shared" si="33"/>
        <v>0.14534300475176834</v>
      </c>
      <c r="W87" s="1"/>
      <c r="X87" s="1">
        <f t="shared" si="34"/>
        <v>0</v>
      </c>
      <c r="Y87" s="1"/>
      <c r="Z87" s="5">
        <f t="shared" si="35"/>
        <v>0</v>
      </c>
    </row>
    <row r="88" spans="1:26" s="24" customFormat="1" hidden="1" outlineLevel="2" x14ac:dyDescent="0.25">
      <c r="A88" s="29"/>
      <c r="B88" s="11" t="str">
        <f>CONCATENATE("          ", "6273", " - ", "RENT")</f>
        <v xml:space="preserve">          6273 - RENT</v>
      </c>
      <c r="C88" s="11"/>
      <c r="D88" s="7">
        <v>6900</v>
      </c>
      <c r="E88" s="2"/>
      <c r="F88" s="6">
        <f t="shared" si="28"/>
        <v>9.9289390151614892E-2</v>
      </c>
      <c r="G88" s="2"/>
      <c r="H88" s="7">
        <v>6900</v>
      </c>
      <c r="I88" s="2"/>
      <c r="J88" s="6">
        <f t="shared" si="29"/>
        <v>0.15369427580148226</v>
      </c>
      <c r="K88" s="2"/>
      <c r="L88" s="7">
        <f t="shared" si="30"/>
        <v>0</v>
      </c>
      <c r="M88" s="2"/>
      <c r="N88" s="6">
        <f t="shared" si="31"/>
        <v>0</v>
      </c>
      <c r="O88" s="11"/>
      <c r="P88" s="7">
        <v>13800</v>
      </c>
      <c r="Q88" s="2"/>
      <c r="R88" s="6">
        <f t="shared" si="32"/>
        <v>0.11407223152893654</v>
      </c>
      <c r="S88" s="2"/>
      <c r="T88" s="7">
        <v>13800</v>
      </c>
      <c r="U88" s="2"/>
      <c r="V88" s="6">
        <f t="shared" si="33"/>
        <v>0.14534300475176834</v>
      </c>
      <c r="W88" s="2"/>
      <c r="X88" s="7">
        <f t="shared" si="34"/>
        <v>0</v>
      </c>
      <c r="Y88" s="2"/>
      <c r="Z88" s="6">
        <f t="shared" si="35"/>
        <v>0</v>
      </c>
    </row>
    <row r="89" spans="1:26" s="27" customFormat="1" outlineLevel="1" collapsed="1" x14ac:dyDescent="0.25">
      <c r="A89" s="28"/>
      <c r="B89" s="14" t="str">
        <f>CONCATENATE("     ","Repair and Maintenance                            ")</f>
        <v xml:space="preserve">     Repair and Maintenance                            </v>
      </c>
      <c r="C89" s="14"/>
      <c r="D89" s="1">
        <f>SUM(OSRRefD22_12x_0)</f>
        <v>0</v>
      </c>
      <c r="E89" s="1"/>
      <c r="F89" s="5">
        <f t="shared" si="28"/>
        <v>0</v>
      </c>
      <c r="G89" s="1"/>
      <c r="H89" s="1">
        <f>SUM(OSRRefH22_12x_0)</f>
        <v>163.12</v>
      </c>
      <c r="I89" s="1"/>
      <c r="J89" s="5">
        <f t="shared" si="29"/>
        <v>3.6334217780779401E-3</v>
      </c>
      <c r="K89" s="1"/>
      <c r="L89" s="1">
        <f t="shared" si="30"/>
        <v>-163.12</v>
      </c>
      <c r="M89" s="1"/>
      <c r="N89" s="5">
        <f t="shared" si="31"/>
        <v>-1</v>
      </c>
      <c r="O89" s="14"/>
      <c r="P89" s="1">
        <f>SUM(OSRRefP22_12x_0)</f>
        <v>0</v>
      </c>
      <c r="Q89" s="1"/>
      <c r="R89" s="5">
        <f t="shared" si="32"/>
        <v>0</v>
      </c>
      <c r="S89" s="1"/>
      <c r="T89" s="1">
        <f>SUM(OSRRefT22_12x_0)</f>
        <v>163.12</v>
      </c>
      <c r="U89" s="1"/>
      <c r="V89" s="5">
        <f t="shared" si="33"/>
        <v>1.7179964445730763E-3</v>
      </c>
      <c r="W89" s="1"/>
      <c r="X89" s="1">
        <f t="shared" si="34"/>
        <v>-163.12</v>
      </c>
      <c r="Y89" s="1"/>
      <c r="Z89" s="5">
        <f t="shared" si="35"/>
        <v>-1</v>
      </c>
    </row>
    <row r="90" spans="1:26" s="24" customFormat="1" hidden="1" outlineLevel="2" x14ac:dyDescent="0.25">
      <c r="A90" s="29"/>
      <c r="B90" s="11" t="str">
        <f>CONCATENATE("          ", "6375", " - ", "OUTSIDE REPAIRS &amp; MAINTENANCE")</f>
        <v xml:space="preserve">          6375 - OUTSIDE REPAIRS &amp; MAINTENANCE</v>
      </c>
      <c r="C90" s="11"/>
      <c r="D90" s="7"/>
      <c r="E90" s="2"/>
      <c r="F90" s="6">
        <f t="shared" si="28"/>
        <v>0</v>
      </c>
      <c r="G90" s="2"/>
      <c r="H90" s="7">
        <v>163.12</v>
      </c>
      <c r="I90" s="2"/>
      <c r="J90" s="6">
        <f t="shared" si="29"/>
        <v>3.6334217780779401E-3</v>
      </c>
      <c r="K90" s="2"/>
      <c r="L90" s="7">
        <f t="shared" si="30"/>
        <v>-163.12</v>
      </c>
      <c r="M90" s="2"/>
      <c r="N90" s="6">
        <f t="shared" si="31"/>
        <v>-1</v>
      </c>
      <c r="O90" s="11"/>
      <c r="P90" s="7"/>
      <c r="Q90" s="2"/>
      <c r="R90" s="6">
        <f t="shared" si="32"/>
        <v>0</v>
      </c>
      <c r="S90" s="2"/>
      <c r="T90" s="7">
        <v>163.12</v>
      </c>
      <c r="U90" s="2"/>
      <c r="V90" s="6">
        <f t="shared" si="33"/>
        <v>1.7179964445730763E-3</v>
      </c>
      <c r="W90" s="2"/>
      <c r="X90" s="7">
        <f t="shared" si="34"/>
        <v>-163.12</v>
      </c>
      <c r="Y90" s="2"/>
      <c r="Z90" s="6">
        <f t="shared" si="35"/>
        <v>-1</v>
      </c>
    </row>
    <row r="91" spans="1:26" s="27" customFormat="1" outlineLevel="1" collapsed="1" x14ac:dyDescent="0.25">
      <c r="A91" s="28"/>
      <c r="B91" s="14" t="str">
        <f>CONCATENATE("     ","Services                                          ")</f>
        <v xml:space="preserve">     Services                                          </v>
      </c>
      <c r="C91" s="14"/>
      <c r="D91" s="1">
        <f>SUM(OSRRefD22_13x_0)</f>
        <v>241.37</v>
      </c>
      <c r="E91" s="1"/>
      <c r="F91" s="5">
        <f t="shared" si="28"/>
        <v>3.4732579856369982E-3</v>
      </c>
      <c r="G91" s="1"/>
      <c r="H91" s="1">
        <f>SUM(OSRRefH22_13x_0)</f>
        <v>216.73</v>
      </c>
      <c r="I91" s="1"/>
      <c r="J91" s="5">
        <f t="shared" si="29"/>
        <v>4.8275594774572824E-3</v>
      </c>
      <c r="K91" s="1"/>
      <c r="L91" s="1">
        <f t="shared" si="30"/>
        <v>24.640000000000015</v>
      </c>
      <c r="M91" s="1"/>
      <c r="N91" s="5">
        <f t="shared" si="31"/>
        <v>0.11368984450699034</v>
      </c>
      <c r="O91" s="14"/>
      <c r="P91" s="1">
        <f>SUM(OSRRefP22_13x_0)</f>
        <v>482.74</v>
      </c>
      <c r="Q91" s="1"/>
      <c r="R91" s="5">
        <f t="shared" si="32"/>
        <v>3.9903789165419441E-3</v>
      </c>
      <c r="S91" s="1"/>
      <c r="T91" s="1">
        <f>SUM(OSRRefT22_13x_0)</f>
        <v>346.28999999999996</v>
      </c>
      <c r="U91" s="1"/>
      <c r="V91" s="5">
        <f t="shared" si="33"/>
        <v>3.6471615301079605E-3</v>
      </c>
      <c r="W91" s="1"/>
      <c r="X91" s="1">
        <f t="shared" si="34"/>
        <v>136.45000000000005</v>
      </c>
      <c r="Y91" s="1"/>
      <c r="Z91" s="5">
        <f t="shared" si="35"/>
        <v>0.39403390222068224</v>
      </c>
    </row>
    <row r="92" spans="1:26" s="24" customFormat="1" hidden="1" outlineLevel="2" x14ac:dyDescent="0.25">
      <c r="A92" s="29"/>
      <c r="B92" s="11" t="str">
        <f>CONCATENATE("          ", "6283", " - ", "PLANT SERVICE")</f>
        <v xml:space="preserve">          6283 - PLANT SERVICE</v>
      </c>
      <c r="C92" s="11"/>
      <c r="D92" s="7">
        <v>59.55</v>
      </c>
      <c r="E92" s="2"/>
      <c r="F92" s="6">
        <f t="shared" si="28"/>
        <v>8.5691060630850243E-4</v>
      </c>
      <c r="G92" s="2"/>
      <c r="H92" s="7">
        <v>56</v>
      </c>
      <c r="I92" s="2"/>
      <c r="J92" s="6">
        <f t="shared" si="29"/>
        <v>1.2473738325917401E-3</v>
      </c>
      <c r="K92" s="2"/>
      <c r="L92" s="7">
        <f t="shared" si="30"/>
        <v>3.5499999999999972</v>
      </c>
      <c r="M92" s="2"/>
      <c r="N92" s="6">
        <f t="shared" si="31"/>
        <v>6.3392857142857098E-2</v>
      </c>
      <c r="O92" s="11"/>
      <c r="P92" s="7">
        <v>119.1</v>
      </c>
      <c r="Q92" s="2"/>
      <c r="R92" s="6">
        <f t="shared" si="32"/>
        <v>9.8449295471712633E-4</v>
      </c>
      <c r="S92" s="2"/>
      <c r="T92" s="7">
        <v>112</v>
      </c>
      <c r="U92" s="2"/>
      <c r="V92" s="6">
        <f t="shared" si="33"/>
        <v>1.1795954008839171E-3</v>
      </c>
      <c r="W92" s="2"/>
      <c r="X92" s="7">
        <f t="shared" si="34"/>
        <v>7.0999999999999943</v>
      </c>
      <c r="Y92" s="2"/>
      <c r="Z92" s="6">
        <f t="shared" si="35"/>
        <v>6.3392857142857098E-2</v>
      </c>
    </row>
    <row r="93" spans="1:26" s="24" customFormat="1" hidden="1" outlineLevel="2" x14ac:dyDescent="0.25">
      <c r="A93" s="29"/>
      <c r="B93" s="11" t="str">
        <f>CONCATENATE("          ", "6284", " - ", "TRASH REMOVAL EXPENSE")</f>
        <v xml:space="preserve">          6284 - TRASH REMOVAL EXPENSE</v>
      </c>
      <c r="C93" s="11"/>
      <c r="D93" s="7">
        <v>134.82</v>
      </c>
      <c r="E93" s="2"/>
      <c r="F93" s="6">
        <f t="shared" si="28"/>
        <v>1.9400283449624231E-3</v>
      </c>
      <c r="G93" s="2"/>
      <c r="H93" s="7">
        <v>121.46</v>
      </c>
      <c r="I93" s="2"/>
      <c r="J93" s="6">
        <f t="shared" si="29"/>
        <v>2.7054647447605847E-3</v>
      </c>
      <c r="K93" s="2"/>
      <c r="L93" s="7">
        <f t="shared" si="30"/>
        <v>13.36</v>
      </c>
      <c r="M93" s="2"/>
      <c r="N93" s="6">
        <f t="shared" si="31"/>
        <v>0.10999506010209123</v>
      </c>
      <c r="O93" s="11"/>
      <c r="P93" s="7">
        <v>269.64</v>
      </c>
      <c r="Q93" s="2"/>
      <c r="R93" s="6">
        <f t="shared" si="32"/>
        <v>2.2288722108306123E-3</v>
      </c>
      <c r="S93" s="2"/>
      <c r="T93" s="7">
        <v>242.92</v>
      </c>
      <c r="U93" s="2"/>
      <c r="V93" s="6">
        <f t="shared" si="33"/>
        <v>2.5584581677028672E-3</v>
      </c>
      <c r="W93" s="2"/>
      <c r="X93" s="7">
        <f t="shared" si="34"/>
        <v>26.72</v>
      </c>
      <c r="Y93" s="2"/>
      <c r="Z93" s="6">
        <f t="shared" si="35"/>
        <v>0.10999506010209123</v>
      </c>
    </row>
    <row r="94" spans="1:26" s="24" customFormat="1" hidden="1" outlineLevel="2" x14ac:dyDescent="0.25">
      <c r="A94" s="29"/>
      <c r="B94" s="11" t="str">
        <f>CONCATENATE("          ", "6285", " - ", "JANITORIAL SERVICES")</f>
        <v xml:space="preserve">          6285 - JANITORIAL SERVICES</v>
      </c>
      <c r="C94" s="11"/>
      <c r="D94" s="7">
        <v>47</v>
      </c>
      <c r="E94" s="2"/>
      <c r="F94" s="6">
        <f t="shared" si="28"/>
        <v>6.7631903436607247E-4</v>
      </c>
      <c r="G94" s="2"/>
      <c r="H94" s="7">
        <v>39.270000000000003</v>
      </c>
      <c r="I94" s="2"/>
      <c r="J94" s="6">
        <f t="shared" si="29"/>
        <v>8.7472090010495785E-4</v>
      </c>
      <c r="K94" s="2"/>
      <c r="L94" s="7">
        <f t="shared" si="30"/>
        <v>7.7299999999999969</v>
      </c>
      <c r="M94" s="2"/>
      <c r="N94" s="6">
        <f t="shared" si="31"/>
        <v>0.19684237331296145</v>
      </c>
      <c r="O94" s="11"/>
      <c r="P94" s="7">
        <v>94</v>
      </c>
      <c r="Q94" s="2"/>
      <c r="R94" s="6">
        <f t="shared" si="32"/>
        <v>7.7701375099420542E-4</v>
      </c>
      <c r="S94" s="2"/>
      <c r="T94" s="7">
        <v>-8.6300000000000008</v>
      </c>
      <c r="U94" s="2"/>
      <c r="V94" s="6">
        <f t="shared" si="33"/>
        <v>-9.089203847882326E-5</v>
      </c>
      <c r="W94" s="2"/>
      <c r="X94" s="7">
        <f t="shared" si="34"/>
        <v>102.63</v>
      </c>
      <c r="Y94" s="2"/>
      <c r="Z94" s="6">
        <f t="shared" si="35"/>
        <v>-11.892236384704518</v>
      </c>
    </row>
    <row r="95" spans="1:26" s="27" customFormat="1" outlineLevel="1" collapsed="1" x14ac:dyDescent="0.25">
      <c r="A95" s="28"/>
      <c r="B95" s="14" t="str">
        <f>CONCATENATE("     ","Subscriptions &amp; Dues                              ")</f>
        <v xml:space="preserve">     Subscriptions &amp; Dues                              </v>
      </c>
      <c r="C95" s="14"/>
      <c r="D95" s="1">
        <f>SUM(OSRRefD22_14x_0)</f>
        <v>0</v>
      </c>
      <c r="E95" s="1"/>
      <c r="F95" s="5">
        <f t="shared" ref="F95:F101" si="36">IF(D$12=0,0,D95/D$12)</f>
        <v>0</v>
      </c>
      <c r="G95" s="1"/>
      <c r="H95" s="1">
        <f>SUM(OSRRefH22_14x_0)</f>
        <v>129.97999999999999</v>
      </c>
      <c r="I95" s="1"/>
      <c r="J95" s="5">
        <f t="shared" ref="J95:J101" si="37">IF(H$12=0,0,H95/H$12)</f>
        <v>2.8952437635763281E-3</v>
      </c>
      <c r="K95" s="1"/>
      <c r="L95" s="1">
        <f t="shared" ref="L95:L101" si="38">+D95-H95</f>
        <v>-129.97999999999999</v>
      </c>
      <c r="M95" s="1"/>
      <c r="N95" s="5">
        <f t="shared" ref="N95:N101" si="39">IF(H95=0,0,L95/H95)</f>
        <v>-1</v>
      </c>
      <c r="O95" s="14"/>
      <c r="P95" s="1">
        <f>SUM(OSRRefP22_14x_0)</f>
        <v>13.42</v>
      </c>
      <c r="Q95" s="1"/>
      <c r="R95" s="5">
        <f t="shared" ref="R95:R101" si="40">IF(P$12=0,0,P95/P$12)</f>
        <v>1.1093111211002381E-4</v>
      </c>
      <c r="S95" s="1"/>
      <c r="T95" s="1">
        <f>SUM(OSRRefT22_14x_0)</f>
        <v>334.96</v>
      </c>
      <c r="U95" s="1"/>
      <c r="V95" s="5">
        <f t="shared" ref="V95:V101" si="41">IF(T$12=0,0,T95/T$12)</f>
        <v>3.5278328167864001E-3</v>
      </c>
      <c r="W95" s="1"/>
      <c r="X95" s="1">
        <f t="shared" ref="X95:X101" si="42">+P95-T95</f>
        <v>-321.53999999999996</v>
      </c>
      <c r="Y95" s="1"/>
      <c r="Z95" s="5">
        <f t="shared" ref="Z95:Z101" si="43">IF(T95=0,0,X95/T95)</f>
        <v>-0.95993551468832095</v>
      </c>
    </row>
    <row r="96" spans="1:26" s="24" customFormat="1" hidden="1" outlineLevel="2" x14ac:dyDescent="0.25">
      <c r="A96" s="29"/>
      <c r="B96" s="11" t="str">
        <f>CONCATENATE("          ", "6275", " - ", "SUBSCRIPTIONS")</f>
        <v xml:space="preserve">          6275 - SUBSCRIPTIONS</v>
      </c>
      <c r="C96" s="11"/>
      <c r="D96" s="7"/>
      <c r="E96" s="2"/>
      <c r="F96" s="6">
        <f t="shared" si="36"/>
        <v>0</v>
      </c>
      <c r="G96" s="2"/>
      <c r="H96" s="7">
        <v>129.97999999999999</v>
      </c>
      <c r="I96" s="2"/>
      <c r="J96" s="6">
        <f t="shared" si="37"/>
        <v>2.8952437635763281E-3</v>
      </c>
      <c r="K96" s="2"/>
      <c r="L96" s="7">
        <f t="shared" si="38"/>
        <v>-129.97999999999999</v>
      </c>
      <c r="M96" s="2"/>
      <c r="N96" s="6">
        <f t="shared" si="39"/>
        <v>-1</v>
      </c>
      <c r="O96" s="11"/>
      <c r="P96" s="7">
        <v>13.42</v>
      </c>
      <c r="Q96" s="2"/>
      <c r="R96" s="6">
        <f t="shared" si="40"/>
        <v>1.1093111211002381E-4</v>
      </c>
      <c r="S96" s="2"/>
      <c r="T96" s="7">
        <v>334.96</v>
      </c>
      <c r="U96" s="2"/>
      <c r="V96" s="6">
        <f t="shared" si="41"/>
        <v>3.5278328167864001E-3</v>
      </c>
      <c r="W96" s="2"/>
      <c r="X96" s="7">
        <f t="shared" si="42"/>
        <v>-321.53999999999996</v>
      </c>
      <c r="Y96" s="2"/>
      <c r="Z96" s="6">
        <f t="shared" si="43"/>
        <v>-0.95993551468832095</v>
      </c>
    </row>
    <row r="97" spans="1:26" s="27" customFormat="1" outlineLevel="1" collapsed="1" x14ac:dyDescent="0.25">
      <c r="A97" s="28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SUM(OSRRefD22_15x_0)</f>
        <v>47.12</v>
      </c>
      <c r="E97" s="1"/>
      <c r="F97" s="5">
        <f t="shared" si="36"/>
        <v>6.7804580636870928E-4</v>
      </c>
      <c r="G97" s="1"/>
      <c r="H97" s="1">
        <f>SUM(OSRRefH22_15x_0)</f>
        <v>25.47</v>
      </c>
      <c r="I97" s="1"/>
      <c r="J97" s="5">
        <f t="shared" si="37"/>
        <v>5.6733234850199314E-4</v>
      </c>
      <c r="K97" s="1"/>
      <c r="L97" s="1">
        <f t="shared" si="38"/>
        <v>21.65</v>
      </c>
      <c r="M97" s="1"/>
      <c r="N97" s="5">
        <f t="shared" si="39"/>
        <v>0.85001963093835886</v>
      </c>
      <c r="O97" s="14"/>
      <c r="P97" s="1">
        <f>SUM(OSRRefP22_15x_0)</f>
        <v>711.85</v>
      </c>
      <c r="Q97" s="1"/>
      <c r="R97" s="5">
        <f t="shared" si="40"/>
        <v>5.8842259430343102E-3</v>
      </c>
      <c r="S97" s="1"/>
      <c r="T97" s="1">
        <f>SUM(OSRRefT22_15x_0)</f>
        <v>1669.72</v>
      </c>
      <c r="U97" s="1"/>
      <c r="V97" s="5">
        <f t="shared" si="41"/>
        <v>1.7585661006820481E-2</v>
      </c>
      <c r="W97" s="1"/>
      <c r="X97" s="1">
        <f t="shared" si="42"/>
        <v>-957.87</v>
      </c>
      <c r="Y97" s="1"/>
      <c r="Z97" s="5">
        <f t="shared" si="43"/>
        <v>-0.57367103466449465</v>
      </c>
    </row>
    <row r="98" spans="1:26" s="24" customFormat="1" hidden="1" outlineLevel="2" x14ac:dyDescent="0.25">
      <c r="A98" s="29"/>
      <c r="B98" s="11" t="str">
        <f>CONCATENATE("          ", "6237", " - ", "JANITORIAL SUPPLIES")</f>
        <v xml:space="preserve">          6237 - JANITORIAL SUPPLIES</v>
      </c>
      <c r="C98" s="11"/>
      <c r="D98" s="7"/>
      <c r="E98" s="2"/>
      <c r="F98" s="6">
        <f t="shared" si="36"/>
        <v>0</v>
      </c>
      <c r="G98" s="2"/>
      <c r="H98" s="7"/>
      <c r="I98" s="2"/>
      <c r="J98" s="6">
        <f t="shared" si="37"/>
        <v>0</v>
      </c>
      <c r="K98" s="2"/>
      <c r="L98" s="7">
        <f t="shared" si="38"/>
        <v>0</v>
      </c>
      <c r="M98" s="2"/>
      <c r="N98" s="6">
        <f t="shared" si="39"/>
        <v>0</v>
      </c>
      <c r="O98" s="11"/>
      <c r="P98" s="7"/>
      <c r="Q98" s="2"/>
      <c r="R98" s="6">
        <f t="shared" si="40"/>
        <v>0</v>
      </c>
      <c r="S98" s="2"/>
      <c r="T98" s="7">
        <v>172.74</v>
      </c>
      <c r="U98" s="2"/>
      <c r="V98" s="6">
        <f t="shared" si="41"/>
        <v>1.81931526382757E-3</v>
      </c>
      <c r="W98" s="2"/>
      <c r="X98" s="7">
        <f t="shared" si="42"/>
        <v>-172.74</v>
      </c>
      <c r="Y98" s="2"/>
      <c r="Z98" s="6">
        <f t="shared" si="43"/>
        <v>-1</v>
      </c>
    </row>
    <row r="99" spans="1:26" s="24" customFormat="1" hidden="1" outlineLevel="2" x14ac:dyDescent="0.25">
      <c r="A99" s="29"/>
      <c r="B99" s="11" t="str">
        <f>CONCATENATE("          ", "6241", " - ", "OFFICE EXPENSE")</f>
        <v xml:space="preserve">          6241 - OFFICE EXPENSE</v>
      </c>
      <c r="C99" s="11"/>
      <c r="D99" s="7">
        <v>47.12</v>
      </c>
      <c r="E99" s="2"/>
      <c r="F99" s="6">
        <f t="shared" si="36"/>
        <v>6.7804580636870928E-4</v>
      </c>
      <c r="G99" s="2"/>
      <c r="H99" s="7">
        <v>25.47</v>
      </c>
      <c r="I99" s="2"/>
      <c r="J99" s="6">
        <f t="shared" si="37"/>
        <v>5.6733234850199314E-4</v>
      </c>
      <c r="K99" s="2"/>
      <c r="L99" s="7">
        <f t="shared" si="38"/>
        <v>21.65</v>
      </c>
      <c r="M99" s="2"/>
      <c r="N99" s="6">
        <f t="shared" si="39"/>
        <v>0.85001963093835886</v>
      </c>
      <c r="O99" s="11"/>
      <c r="P99" s="7">
        <v>711.85</v>
      </c>
      <c r="Q99" s="2"/>
      <c r="R99" s="6">
        <f t="shared" si="40"/>
        <v>5.8842259430343102E-3</v>
      </c>
      <c r="S99" s="2"/>
      <c r="T99" s="7">
        <v>671.73</v>
      </c>
      <c r="U99" s="2"/>
      <c r="V99" s="6">
        <f t="shared" si="41"/>
        <v>7.0747287378192282E-3</v>
      </c>
      <c r="W99" s="2"/>
      <c r="X99" s="7">
        <f t="shared" si="42"/>
        <v>40.120000000000005</v>
      </c>
      <c r="Y99" s="2"/>
      <c r="Z99" s="6">
        <f t="shared" si="43"/>
        <v>5.9726378157890822E-2</v>
      </c>
    </row>
    <row r="100" spans="1:26" s="24" customFormat="1" hidden="1" outlineLevel="2" x14ac:dyDescent="0.25">
      <c r="A100" s="29"/>
      <c r="B100" s="11" t="str">
        <f>CONCATENATE("          ", "6245", " - ", "PRINTING")</f>
        <v xml:space="preserve">          6245 - PRINTING</v>
      </c>
      <c r="C100" s="11"/>
      <c r="D100" s="7"/>
      <c r="E100" s="2"/>
      <c r="F100" s="6">
        <f t="shared" si="36"/>
        <v>0</v>
      </c>
      <c r="G100" s="2"/>
      <c r="H100" s="7"/>
      <c r="I100" s="2"/>
      <c r="J100" s="6">
        <f t="shared" si="37"/>
        <v>0</v>
      </c>
      <c r="K100" s="2"/>
      <c r="L100" s="7">
        <f t="shared" si="38"/>
        <v>0</v>
      </c>
      <c r="M100" s="2"/>
      <c r="N100" s="6">
        <f t="shared" si="39"/>
        <v>0</v>
      </c>
      <c r="O100" s="11"/>
      <c r="P100" s="7"/>
      <c r="Q100" s="2"/>
      <c r="R100" s="6">
        <f t="shared" si="40"/>
        <v>0</v>
      </c>
      <c r="S100" s="2"/>
      <c r="T100" s="7">
        <v>750.25</v>
      </c>
      <c r="U100" s="2"/>
      <c r="V100" s="6">
        <f t="shared" si="41"/>
        <v>7.9017093706532024E-3</v>
      </c>
      <c r="W100" s="2"/>
      <c r="X100" s="7">
        <f t="shared" si="42"/>
        <v>-750.25</v>
      </c>
      <c r="Y100" s="2"/>
      <c r="Z100" s="6">
        <f t="shared" si="43"/>
        <v>-1</v>
      </c>
    </row>
    <row r="101" spans="1:26" s="24" customFormat="1" hidden="1" outlineLevel="2" x14ac:dyDescent="0.25">
      <c r="A101" s="29"/>
      <c r="B101" s="11" t="str">
        <f>CONCATENATE("          ", "6247", " - ", "STORE SUPPLIES")</f>
        <v xml:space="preserve">          6247 - STORE SUPPLIES</v>
      </c>
      <c r="C101" s="11"/>
      <c r="D101" s="7"/>
      <c r="E101" s="2"/>
      <c r="F101" s="6">
        <f t="shared" si="36"/>
        <v>0</v>
      </c>
      <c r="G101" s="2"/>
      <c r="H101" s="7"/>
      <c r="I101" s="2"/>
      <c r="J101" s="6">
        <f t="shared" si="37"/>
        <v>0</v>
      </c>
      <c r="K101" s="2"/>
      <c r="L101" s="7">
        <f t="shared" si="38"/>
        <v>0</v>
      </c>
      <c r="M101" s="2"/>
      <c r="N101" s="6">
        <f t="shared" si="39"/>
        <v>0</v>
      </c>
      <c r="O101" s="11"/>
      <c r="P101" s="7"/>
      <c r="Q101" s="2"/>
      <c r="R101" s="6">
        <f t="shared" si="40"/>
        <v>0</v>
      </c>
      <c r="S101" s="2"/>
      <c r="T101" s="7">
        <v>75</v>
      </c>
      <c r="U101" s="2"/>
      <c r="V101" s="6">
        <f t="shared" si="41"/>
        <v>7.8990763452048017E-4</v>
      </c>
      <c r="W101" s="2"/>
      <c r="X101" s="7">
        <f t="shared" si="42"/>
        <v>-75</v>
      </c>
      <c r="Y101" s="2"/>
      <c r="Z101" s="6">
        <f t="shared" si="43"/>
        <v>-1</v>
      </c>
    </row>
    <row r="102" spans="1:26" s="27" customFormat="1" outlineLevel="1" collapsed="1" x14ac:dyDescent="0.25">
      <c r="A102" s="28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SUM(OSRRefD22_16x_0)</f>
        <v>321.29000000000002</v>
      </c>
      <c r="E102" s="1"/>
      <c r="F102" s="5">
        <f t="shared" ref="F102:F107" si="44">IF(D$12=0,0,D102/D$12)</f>
        <v>4.6232881393930949E-3</v>
      </c>
      <c r="G102" s="1"/>
      <c r="H102" s="1">
        <f>SUM(OSRRefH22_16x_0)</f>
        <v>369.36</v>
      </c>
      <c r="I102" s="1"/>
      <c r="J102" s="5">
        <f t="shared" ref="J102:J107" si="45">IF(H$12=0,0,H102/H$12)</f>
        <v>8.2273214072515199E-3</v>
      </c>
      <c r="K102" s="1"/>
      <c r="L102" s="1">
        <f t="shared" ref="L102:L107" si="46">+D102-H102</f>
        <v>-48.069999999999993</v>
      </c>
      <c r="M102" s="1"/>
      <c r="N102" s="5">
        <f t="shared" ref="N102:N107" si="47">IF(H102=0,0,L102/H102)</f>
        <v>-0.13014403292181068</v>
      </c>
      <c r="O102" s="14"/>
      <c r="P102" s="1">
        <f>SUM(OSRRefP22_16x_0)</f>
        <v>250.93</v>
      </c>
      <c r="Q102" s="1"/>
      <c r="R102" s="5">
        <f t="shared" ref="R102:R107" si="48">IF(P$12=0,0,P102/P$12)</f>
        <v>2.0742134099678297E-3</v>
      </c>
      <c r="S102" s="1"/>
      <c r="T102" s="1">
        <f>SUM(OSRRefT22_16x_0)</f>
        <v>693.67</v>
      </c>
      <c r="U102" s="1"/>
      <c r="V102" s="5">
        <f t="shared" ref="V102:V107" si="49">IF(T$12=0,0,T102/T$12)</f>
        <v>7.3058030511709525E-3</v>
      </c>
      <c r="W102" s="1"/>
      <c r="X102" s="1">
        <f t="shared" ref="X102:X107" si="50">+P102-T102</f>
        <v>-442.73999999999995</v>
      </c>
      <c r="Y102" s="1"/>
      <c r="Z102" s="5">
        <f t="shared" ref="Z102:Z107" si="51">IF(T102=0,0,X102/T102)</f>
        <v>-0.63825738463534532</v>
      </c>
    </row>
    <row r="103" spans="1:26" s="24" customFormat="1" hidden="1" outlineLevel="2" x14ac:dyDescent="0.25">
      <c r="A103" s="29"/>
      <c r="B103" s="11" t="str">
        <f>CONCATENATE("          ", "6309", " - ", "TELEPHONE")</f>
        <v xml:space="preserve">          6309 - TELEPHONE</v>
      </c>
      <c r="C103" s="11"/>
      <c r="D103" s="7">
        <v>321.29000000000002</v>
      </c>
      <c r="E103" s="2"/>
      <c r="F103" s="6">
        <f t="shared" si="44"/>
        <v>4.6232881393930949E-3</v>
      </c>
      <c r="G103" s="2"/>
      <c r="H103" s="7">
        <v>369.36</v>
      </c>
      <c r="I103" s="2"/>
      <c r="J103" s="6">
        <f t="shared" si="45"/>
        <v>8.2273214072515199E-3</v>
      </c>
      <c r="K103" s="2"/>
      <c r="L103" s="7">
        <f t="shared" si="46"/>
        <v>-48.069999999999993</v>
      </c>
      <c r="M103" s="2"/>
      <c r="N103" s="6">
        <f t="shared" si="47"/>
        <v>-0.13014403292181068</v>
      </c>
      <c r="O103" s="11"/>
      <c r="P103" s="7">
        <v>250.93</v>
      </c>
      <c r="Q103" s="2"/>
      <c r="R103" s="6">
        <f t="shared" si="48"/>
        <v>2.0742134099678297E-3</v>
      </c>
      <c r="S103" s="2"/>
      <c r="T103" s="7">
        <v>693.67</v>
      </c>
      <c r="U103" s="2"/>
      <c r="V103" s="6">
        <f t="shared" si="49"/>
        <v>7.3058030511709525E-3</v>
      </c>
      <c r="W103" s="2"/>
      <c r="X103" s="7">
        <f t="shared" si="50"/>
        <v>-442.73999999999995</v>
      </c>
      <c r="Y103" s="2"/>
      <c r="Z103" s="6">
        <f t="shared" si="51"/>
        <v>-0.63825738463534532</v>
      </c>
    </row>
    <row r="104" spans="1:26" s="27" customFormat="1" outlineLevel="1" collapsed="1" x14ac:dyDescent="0.25">
      <c r="A104" s="28"/>
      <c r="B104" s="14" t="str">
        <f>CONCATENATE("     ","Travel                                            ")</f>
        <v xml:space="preserve">     Travel                                            </v>
      </c>
      <c r="C104" s="14"/>
      <c r="D104" s="1">
        <f>SUM(OSRRefD22_17x_0)</f>
        <v>68.67</v>
      </c>
      <c r="E104" s="1"/>
      <c r="F104" s="5">
        <f t="shared" si="44"/>
        <v>9.8814527850889775E-4</v>
      </c>
      <c r="G104" s="1"/>
      <c r="H104" s="1">
        <f>SUM(OSRRefH22_17x_0)</f>
        <v>102.9</v>
      </c>
      <c r="I104" s="1"/>
      <c r="J104" s="5">
        <f t="shared" si="45"/>
        <v>2.2920494173873226E-3</v>
      </c>
      <c r="K104" s="1"/>
      <c r="L104" s="1">
        <f t="shared" si="46"/>
        <v>-34.230000000000004</v>
      </c>
      <c r="M104" s="1"/>
      <c r="N104" s="5">
        <f t="shared" si="47"/>
        <v>-0.33265306122448984</v>
      </c>
      <c r="O104" s="14"/>
      <c r="P104" s="1">
        <f>SUM(OSRRefP22_17x_0)</f>
        <v>68.67</v>
      </c>
      <c r="Q104" s="1"/>
      <c r="R104" s="5">
        <f t="shared" si="48"/>
        <v>5.6763334341246904E-4</v>
      </c>
      <c r="S104" s="1"/>
      <c r="T104" s="1">
        <f>SUM(OSRRefT22_17x_0)</f>
        <v>160.61000000000001</v>
      </c>
      <c r="U104" s="1"/>
      <c r="V104" s="5">
        <f t="shared" si="49"/>
        <v>1.6915608690711245E-3</v>
      </c>
      <c r="W104" s="1"/>
      <c r="X104" s="1">
        <f t="shared" si="50"/>
        <v>-91.940000000000012</v>
      </c>
      <c r="Y104" s="1"/>
      <c r="Z104" s="5">
        <f t="shared" si="51"/>
        <v>-0.57244256272959348</v>
      </c>
    </row>
    <row r="105" spans="1:26" s="24" customFormat="1" hidden="1" outlineLevel="2" x14ac:dyDescent="0.25">
      <c r="A105" s="29"/>
      <c r="B105" s="11" t="str">
        <f>CONCATENATE("          ", "6294", " - ", "TRAVEL OPERATIONAL")</f>
        <v xml:space="preserve">          6294 - TRAVEL OPERATIONAL</v>
      </c>
      <c r="C105" s="11"/>
      <c r="D105" s="7">
        <v>68.67</v>
      </c>
      <c r="E105" s="2"/>
      <c r="F105" s="6">
        <f t="shared" si="44"/>
        <v>9.8814527850889775E-4</v>
      </c>
      <c r="G105" s="2"/>
      <c r="H105" s="7">
        <v>102.9</v>
      </c>
      <c r="I105" s="2"/>
      <c r="J105" s="6">
        <f t="shared" si="45"/>
        <v>2.2920494173873226E-3</v>
      </c>
      <c r="K105" s="2"/>
      <c r="L105" s="7">
        <f t="shared" si="46"/>
        <v>-34.230000000000004</v>
      </c>
      <c r="M105" s="2"/>
      <c r="N105" s="6">
        <f t="shared" si="47"/>
        <v>-0.33265306122448984</v>
      </c>
      <c r="O105" s="11"/>
      <c r="P105" s="7">
        <v>68.67</v>
      </c>
      <c r="Q105" s="2"/>
      <c r="R105" s="6">
        <f t="shared" si="48"/>
        <v>5.6763334341246904E-4</v>
      </c>
      <c r="S105" s="2"/>
      <c r="T105" s="7">
        <v>160.61000000000001</v>
      </c>
      <c r="U105" s="2"/>
      <c r="V105" s="6">
        <f t="shared" si="49"/>
        <v>1.6915608690711245E-3</v>
      </c>
      <c r="W105" s="2"/>
      <c r="X105" s="7">
        <f t="shared" si="50"/>
        <v>-91.940000000000012</v>
      </c>
      <c r="Y105" s="2"/>
      <c r="Z105" s="6">
        <f t="shared" si="51"/>
        <v>-0.57244256272959348</v>
      </c>
    </row>
    <row r="106" spans="1:26" s="27" customFormat="1" outlineLevel="1" collapsed="1" x14ac:dyDescent="0.25">
      <c r="A106" s="28"/>
      <c r="B106" s="14" t="str">
        <f>CONCATENATE("     ","Utilities                                         ")</f>
        <v xml:space="preserve">     Utilities                                         </v>
      </c>
      <c r="C106" s="14"/>
      <c r="D106" s="1">
        <f>SUM(OSRRefD22_18x_0)</f>
        <v>53.78</v>
      </c>
      <c r="E106" s="1"/>
      <c r="F106" s="5">
        <f t="shared" si="44"/>
        <v>7.7388165251505059E-4</v>
      </c>
      <c r="G106" s="1"/>
      <c r="H106" s="1">
        <f>SUM(OSRRefH22_18x_0)</f>
        <v>76.11</v>
      </c>
      <c r="I106" s="1"/>
      <c r="J106" s="5">
        <f t="shared" si="45"/>
        <v>1.6953146856885238E-3</v>
      </c>
      <c r="K106" s="1"/>
      <c r="L106" s="1">
        <f t="shared" si="46"/>
        <v>-22.33</v>
      </c>
      <c r="M106" s="1"/>
      <c r="N106" s="5">
        <f t="shared" si="47"/>
        <v>-0.29339114439626857</v>
      </c>
      <c r="O106" s="14"/>
      <c r="P106" s="1">
        <f>SUM(OSRRefP22_18x_0)</f>
        <v>96.78</v>
      </c>
      <c r="Q106" s="1"/>
      <c r="R106" s="5">
        <f t="shared" si="48"/>
        <v>7.9999351937467243E-4</v>
      </c>
      <c r="S106" s="1"/>
      <c r="T106" s="1">
        <f>SUM(OSRRefT22_18x_0)</f>
        <v>141.36000000000001</v>
      </c>
      <c r="U106" s="1"/>
      <c r="V106" s="5">
        <f t="shared" si="49"/>
        <v>1.4888179095442012E-3</v>
      </c>
      <c r="W106" s="1"/>
      <c r="X106" s="1">
        <f t="shared" si="50"/>
        <v>-44.580000000000013</v>
      </c>
      <c r="Y106" s="1"/>
      <c r="Z106" s="5">
        <f t="shared" si="51"/>
        <v>-0.3153650254668931</v>
      </c>
    </row>
    <row r="107" spans="1:26" s="24" customFormat="1" hidden="1" outlineLevel="2" x14ac:dyDescent="0.25">
      <c r="A107" s="29"/>
      <c r="B107" s="11" t="str">
        <f>CONCATENATE("          ", "6274", " - ", "UTILITIES")</f>
        <v xml:space="preserve">          6274 - UTILITIES</v>
      </c>
      <c r="C107" s="11"/>
      <c r="D107" s="7">
        <v>53.78</v>
      </c>
      <c r="E107" s="2"/>
      <c r="F107" s="6">
        <f t="shared" si="44"/>
        <v>7.7388165251505059E-4</v>
      </c>
      <c r="G107" s="2"/>
      <c r="H107" s="7">
        <v>76.11</v>
      </c>
      <c r="I107" s="2"/>
      <c r="J107" s="6">
        <f t="shared" si="45"/>
        <v>1.6953146856885238E-3</v>
      </c>
      <c r="K107" s="2"/>
      <c r="L107" s="7">
        <f t="shared" si="46"/>
        <v>-22.33</v>
      </c>
      <c r="M107" s="2"/>
      <c r="N107" s="6">
        <f t="shared" si="47"/>
        <v>-0.29339114439626857</v>
      </c>
      <c r="O107" s="11"/>
      <c r="P107" s="7">
        <v>96.78</v>
      </c>
      <c r="Q107" s="2"/>
      <c r="R107" s="6">
        <f t="shared" si="48"/>
        <v>7.9999351937467243E-4</v>
      </c>
      <c r="S107" s="2"/>
      <c r="T107" s="7">
        <v>141.36000000000001</v>
      </c>
      <c r="U107" s="2"/>
      <c r="V107" s="6">
        <f t="shared" si="49"/>
        <v>1.4888179095442012E-3</v>
      </c>
      <c r="W107" s="2"/>
      <c r="X107" s="7">
        <f t="shared" si="50"/>
        <v>-44.580000000000013</v>
      </c>
      <c r="Y107" s="2"/>
      <c r="Z107" s="6">
        <f t="shared" si="51"/>
        <v>-0.3153650254668931</v>
      </c>
    </row>
    <row r="108" spans="1:26" s="62" customFormat="1" x14ac:dyDescent="0.25">
      <c r="A108" s="37"/>
      <c r="B108" s="37"/>
      <c r="C108" s="37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7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x14ac:dyDescent="0.25">
      <c r="A109" s="10"/>
      <c r="B109" s="25" t="s">
        <v>0</v>
      </c>
      <c r="C109" s="10"/>
      <c r="D109" s="4">
        <f>SUM(0)</f>
        <v>0</v>
      </c>
      <c r="E109" s="4"/>
      <c r="F109" s="12">
        <f>IF(D$12=0,0,D109/D$12)</f>
        <v>0</v>
      </c>
      <c r="G109" s="4"/>
      <c r="H109" s="4">
        <f>SUM(0)</f>
        <v>0</v>
      </c>
      <c r="I109" s="4"/>
      <c r="J109" s="12">
        <f>IF(H$12=0,0,H109/H$12)</f>
        <v>0</v>
      </c>
      <c r="K109" s="4"/>
      <c r="L109" s="4">
        <f>+D109-H109</f>
        <v>0</v>
      </c>
      <c r="M109" s="4"/>
      <c r="N109" s="12">
        <f>IF(H109=0,0,L109/H109)</f>
        <v>0</v>
      </c>
      <c r="O109" s="10"/>
      <c r="P109" s="4">
        <f>SUM(0)</f>
        <v>0</v>
      </c>
      <c r="Q109" s="4"/>
      <c r="R109" s="12">
        <f>IF(P$12=0,0,P109/P$12)</f>
        <v>0</v>
      </c>
      <c r="S109" s="4"/>
      <c r="T109" s="4">
        <f>SUM(0)</f>
        <v>0</v>
      </c>
      <c r="U109" s="4"/>
      <c r="V109" s="12">
        <f>IF(T$12=0,0,T109/T$12)</f>
        <v>0</v>
      </c>
      <c r="W109" s="4"/>
      <c r="X109" s="4">
        <f>+P109-T109</f>
        <v>0</v>
      </c>
      <c r="Y109" s="4"/>
      <c r="Z109" s="12">
        <f>IF(T109=0,0,X109/T109)</f>
        <v>0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10"/>
      <c r="B111" s="26" t="s">
        <v>3</v>
      </c>
      <c r="C111" s="26"/>
      <c r="D111" s="20">
        <f>+D52-D54+D109</f>
        <v>2532.5400000000081</v>
      </c>
      <c r="E111" s="13"/>
      <c r="F111" s="19">
        <f>IF(D$12=0,0,D111/D$12)</f>
        <v>3.6442659729648059E-2</v>
      </c>
      <c r="G111" s="13"/>
      <c r="H111" s="20">
        <f>+H52-H54+H109</f>
        <v>157.78999999998996</v>
      </c>
      <c r="I111" s="13"/>
      <c r="J111" s="19">
        <f>IF(H$12=0,0,H111/H$12)</f>
        <v>3.5146985186542525E-3</v>
      </c>
      <c r="K111" s="15"/>
      <c r="L111" s="20">
        <f>+D111-H111</f>
        <v>2374.7500000000182</v>
      </c>
      <c r="M111" s="15"/>
      <c r="N111" s="19">
        <f>IF(H111=0,0,L111/H111)</f>
        <v>15.05006654414202</v>
      </c>
      <c r="O111" s="25"/>
      <c r="P111" s="20">
        <f>+P52-P54+P109</f>
        <v>5047.0600000000341</v>
      </c>
      <c r="Q111" s="13"/>
      <c r="R111" s="19">
        <f>IF(P$12=0,0,P111/P$12)</f>
        <v>4.1719521511625966E-2</v>
      </c>
      <c r="S111" s="13"/>
      <c r="T111" s="20">
        <f>+T52-T54+T109</f>
        <v>-5871.6699999999837</v>
      </c>
      <c r="U111" s="13"/>
      <c r="V111" s="19">
        <f>IF(T$12=0,0,T111/T$12)</f>
        <v>-6.1841026138464733E-2</v>
      </c>
      <c r="W111" s="15"/>
      <c r="X111" s="20">
        <f>+P111-T111</f>
        <v>10918.730000000018</v>
      </c>
      <c r="Y111" s="15"/>
      <c r="Z111" s="19">
        <f>IF(T111=0,0,X111/T111)</f>
        <v>-1.8595612491846525</v>
      </c>
    </row>
    <row r="112" spans="1:26" x14ac:dyDescent="0.25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51"/>
      <c r="B113" s="10" t="s">
        <v>13</v>
      </c>
      <c r="C113" s="10"/>
      <c r="D113" s="4">
        <v>4378.84</v>
      </c>
      <c r="E113" s="4"/>
      <c r="F113" s="12">
        <f>IF(D$12=0,0,D113/D$12)</f>
        <v>6.3010485966883675E-2</v>
      </c>
      <c r="G113" s="4"/>
      <c r="H113" s="4">
        <v>-582.29</v>
      </c>
      <c r="I113" s="4"/>
      <c r="J113" s="12">
        <f>IF(H$12=0,0,H113/H$12)</f>
        <v>-1.2970237660354362E-2</v>
      </c>
      <c r="K113" s="4"/>
      <c r="L113" s="4">
        <f>+D113-H113</f>
        <v>4961.13</v>
      </c>
      <c r="M113" s="4"/>
      <c r="N113" s="12">
        <f>IF(H113=0,0,L113/H113)</f>
        <v>-8.5200329732607472</v>
      </c>
      <c r="O113" s="10"/>
      <c r="P113" s="4">
        <v>15083.5</v>
      </c>
      <c r="Q113" s="4"/>
      <c r="R113" s="12">
        <f>IF(P$12=0,0,P113/P$12)</f>
        <v>0.12468177567150104</v>
      </c>
      <c r="S113" s="4"/>
      <c r="T113" s="4">
        <v>9693.7199999999993</v>
      </c>
      <c r="U113" s="4"/>
      <c r="V113" s="12">
        <f>IF(T$12=0,0,T113/T$12)</f>
        <v>0.10209524579871825</v>
      </c>
      <c r="W113" s="4"/>
      <c r="X113" s="4">
        <f>+P113-T113</f>
        <v>5389.7800000000007</v>
      </c>
      <c r="Y113" s="4"/>
      <c r="Z113" s="12">
        <f>IF(T113=0,0,X113/T113)</f>
        <v>0.55600739447807457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6" t="s">
        <v>4</v>
      </c>
      <c r="C115" s="26"/>
      <c r="D115" s="31">
        <f>+D111-D113</f>
        <v>-1846.299999999992</v>
      </c>
      <c r="E115" s="13"/>
      <c r="F115" s="36">
        <f>IF(D$12=0,0,D115/D$12)</f>
        <v>-2.6567826237235623E-2</v>
      </c>
      <c r="G115" s="13"/>
      <c r="H115" s="31">
        <f>+H111-H113</f>
        <v>740.07999999998992</v>
      </c>
      <c r="I115" s="13"/>
      <c r="J115" s="36">
        <f>IF(H$12=0,0,H115/H$12)</f>
        <v>1.6484936179008616E-2</v>
      </c>
      <c r="K115" s="15"/>
      <c r="L115" s="31">
        <f>D115-H115</f>
        <v>-2586.3799999999819</v>
      </c>
      <c r="M115" s="15"/>
      <c r="N115" s="36">
        <f>IF(H115=0,0,L115/H115)</f>
        <v>-3.4947302994271121</v>
      </c>
      <c r="O115" s="25"/>
      <c r="P115" s="31">
        <f>+P111-P113</f>
        <v>-10036.439999999966</v>
      </c>
      <c r="Q115" s="13"/>
      <c r="R115" s="36">
        <f>IF(P$12=0,0,P115/P$12)</f>
        <v>-8.2962254159875071E-2</v>
      </c>
      <c r="S115" s="13"/>
      <c r="T115" s="31">
        <f>+T111-T113</f>
        <v>-15565.389999999983</v>
      </c>
      <c r="U115" s="13"/>
      <c r="V115" s="36">
        <f>IF(T$12=0,0,T115/T$12)</f>
        <v>-0.16393627193718296</v>
      </c>
      <c r="W115" s="15"/>
      <c r="X115" s="31">
        <f>P115-T115</f>
        <v>5528.9500000000171</v>
      </c>
      <c r="Y115" s="15"/>
      <c r="Z115" s="36">
        <f>IF(T115=0,0,X115/T115)</f>
        <v>-0.35520793247069449</v>
      </c>
    </row>
    <row r="116" spans="1:26" ht="15.75" thickTop="1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6" t="s">
        <v>5</v>
      </c>
      <c r="C118" s="26"/>
      <c r="D118" s="32">
        <f>SUM(D115:D117)</f>
        <v>-1846.299999999992</v>
      </c>
      <c r="E118" s="13"/>
      <c r="F118" s="30">
        <f>IF(D$12=0,0,D118/D$12)</f>
        <v>-2.6567826237235623E-2</v>
      </c>
      <c r="G118" s="13"/>
      <c r="H118" s="32">
        <f>SUM(H115:H117)</f>
        <v>740.07999999998992</v>
      </c>
      <c r="I118" s="13"/>
      <c r="J118" s="30">
        <f>IF(H$12=0,0,H118/H$12)</f>
        <v>1.6484936179008616E-2</v>
      </c>
      <c r="K118" s="15"/>
      <c r="L118" s="32">
        <f>+D118-H118</f>
        <v>-2586.3799999999819</v>
      </c>
      <c r="M118" s="15"/>
      <c r="N118" s="30">
        <f>IF(H118=0,0,L118/H118)</f>
        <v>-3.4947302994271121</v>
      </c>
      <c r="O118" s="25"/>
      <c r="P118" s="32">
        <f>SUM(P115:P117)</f>
        <v>-10036.439999999966</v>
      </c>
      <c r="Q118" s="13"/>
      <c r="R118" s="30">
        <f>IF(P$12=0,0,P118/P$12)</f>
        <v>-8.2962254159875071E-2</v>
      </c>
      <c r="S118" s="13"/>
      <c r="T118" s="32">
        <f>SUM(T115:T117)</f>
        <v>-15565.389999999983</v>
      </c>
      <c r="U118" s="13"/>
      <c r="V118" s="30">
        <f>IF(T$12=0,0,T118/T$12)</f>
        <v>-0.16393627193718296</v>
      </c>
      <c r="W118" s="15"/>
      <c r="X118" s="32">
        <f>+P118-T118</f>
        <v>5528.9500000000171</v>
      </c>
      <c r="Y118" s="15"/>
      <c r="Z118" s="30">
        <f>IF(T118=0,0,X118/T118)</f>
        <v>-0.35520793247069449</v>
      </c>
    </row>
    <row r="119" spans="1:26" ht="15.75" thickTop="1" x14ac:dyDescent="0.25">
      <c r="A119" s="9"/>
      <c r="C119" s="9"/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A120" s="9"/>
      <c r="B120" s="57">
        <v>43732.709909143516</v>
      </c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60" t="s">
        <v>313</v>
      </c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A122" s="9"/>
      <c r="B122" s="56"/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97366.560000000027</v>
      </c>
      <c r="E12" s="4"/>
      <c r="F12" s="12"/>
      <c r="G12" s="4"/>
      <c r="H12" s="4">
        <f>SUM(OSRRefH13x_0)</f>
        <v>98286.760000000009</v>
      </c>
      <c r="I12" s="4"/>
      <c r="J12" s="12"/>
      <c r="K12" s="4"/>
      <c r="L12" s="4">
        <f t="shared" ref="L12:L28" si="0">+D12-H12</f>
        <v>-920.19999999998254</v>
      </c>
      <c r="M12" s="4"/>
      <c r="N12" s="12">
        <f t="shared" ref="N12:N28" si="1">IF(H12=0,0,L12/H12)</f>
        <v>-9.3624003884142937E-3</v>
      </c>
      <c r="O12" s="10"/>
      <c r="P12" s="4">
        <f>SUM(OSRRefP13x_0)</f>
        <v>106275.65000000001</v>
      </c>
      <c r="Q12" s="4"/>
      <c r="R12" s="12"/>
      <c r="S12" s="4"/>
      <c r="T12" s="4">
        <f>SUM(OSRRefT13x_0)</f>
        <v>112886.98</v>
      </c>
      <c r="U12" s="4"/>
      <c r="V12" s="12"/>
      <c r="W12" s="4"/>
      <c r="X12" s="4">
        <f t="shared" ref="X12:X28" si="2">+P12-T12</f>
        <v>-6611.3299999999872</v>
      </c>
      <c r="Y12" s="4"/>
      <c r="Z12" s="12">
        <f t="shared" ref="Z12:Z28" si="3">IF(T12=0,0,X12/T12)</f>
        <v>-5.8565921419812872E-2</v>
      </c>
    </row>
    <row r="13" spans="1:26" s="24" customFormat="1" hidden="1" outlineLevel="1" x14ac:dyDescent="0.25">
      <c r="A13" s="50"/>
      <c r="B13" s="11" t="str">
        <f>CONCATENATE("          ", "4041", " - ", "TAXABLE SALES-LOGO GIFTS")</f>
        <v xml:space="preserve">          4041 - TAXABLE SALES-LOGO GIFTS</v>
      </c>
      <c r="C13" s="11"/>
      <c r="D13" s="2">
        <f>--73904.1</f>
        <v>73904.100000000006</v>
      </c>
      <c r="E13" s="2"/>
      <c r="F13" s="21"/>
      <c r="G13" s="2"/>
      <c r="H13" s="2">
        <f>--75166.35</f>
        <v>75166.350000000006</v>
      </c>
      <c r="I13" s="2"/>
      <c r="J13" s="21"/>
      <c r="K13" s="2"/>
      <c r="L13" s="2">
        <f t="shared" si="0"/>
        <v>-1262.25</v>
      </c>
      <c r="M13" s="2"/>
      <c r="N13" s="21">
        <f t="shared" si="1"/>
        <v>-1.6792753672354718E-2</v>
      </c>
      <c r="O13" s="11"/>
      <c r="P13" s="2">
        <f>--74367.8</f>
        <v>74367.8</v>
      </c>
      <c r="Q13" s="2"/>
      <c r="R13" s="21"/>
      <c r="S13" s="2"/>
      <c r="T13" s="2">
        <f>--80043.95</f>
        <v>80043.95</v>
      </c>
      <c r="U13" s="2"/>
      <c r="V13" s="21"/>
      <c r="W13" s="2"/>
      <c r="X13" s="2">
        <f t="shared" si="2"/>
        <v>-5676.1499999999942</v>
      </c>
      <c r="Y13" s="2"/>
      <c r="Z13" s="21">
        <f t="shared" si="3"/>
        <v>-7.0912917216104335E-2</v>
      </c>
    </row>
    <row r="14" spans="1:26" s="24" customFormat="1" hidden="1" outlineLevel="1" x14ac:dyDescent="0.25">
      <c r="A14" s="50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--8017.07</f>
        <v>8017.07</v>
      </c>
      <c r="E14" s="2"/>
      <c r="F14" s="21"/>
      <c r="G14" s="2"/>
      <c r="H14" s="2">
        <f>--8616.44</f>
        <v>8616.44</v>
      </c>
      <c r="I14" s="2"/>
      <c r="J14" s="21"/>
      <c r="K14" s="2"/>
      <c r="L14" s="2">
        <f t="shared" si="0"/>
        <v>-599.3700000000008</v>
      </c>
      <c r="M14" s="2"/>
      <c r="N14" s="21">
        <f t="shared" si="1"/>
        <v>-6.9561210894522649E-2</v>
      </c>
      <c r="O14" s="11"/>
      <c r="P14" s="2">
        <f>--12076.99</f>
        <v>12076.99</v>
      </c>
      <c r="Q14" s="2"/>
      <c r="R14" s="21"/>
      <c r="S14" s="2"/>
      <c r="T14" s="2">
        <f>--12612.05</f>
        <v>12612.05</v>
      </c>
      <c r="U14" s="2"/>
      <c r="V14" s="21"/>
      <c r="W14" s="2"/>
      <c r="X14" s="2">
        <f t="shared" si="2"/>
        <v>-535.05999999999949</v>
      </c>
      <c r="Y14" s="2"/>
      <c r="Z14" s="21">
        <f t="shared" si="3"/>
        <v>-4.2424506721746226E-2</v>
      </c>
    </row>
    <row r="15" spans="1:26" s="24" customFormat="1" hidden="1" outlineLevel="1" x14ac:dyDescent="0.25">
      <c r="A15" s="50"/>
      <c r="B15" s="11" t="str">
        <f>CONCATENATE("          ", "4043", " - ", "TAXABLE SALES-CARDS")</f>
        <v xml:space="preserve">          4043 - TAXABLE SALES-CARDS</v>
      </c>
      <c r="C15" s="11"/>
      <c r="D15" s="2">
        <f>--61.71</f>
        <v>61.71</v>
      </c>
      <c r="E15" s="2"/>
      <c r="F15" s="21"/>
      <c r="G15" s="2"/>
      <c r="H15" s="2">
        <f>--119.57</f>
        <v>119.57</v>
      </c>
      <c r="I15" s="2"/>
      <c r="J15" s="21"/>
      <c r="K15" s="2"/>
      <c r="L15" s="2">
        <f t="shared" si="0"/>
        <v>-57.859999999999992</v>
      </c>
      <c r="M15" s="2"/>
      <c r="N15" s="21">
        <f t="shared" si="1"/>
        <v>-0.48390064397424098</v>
      </c>
      <c r="O15" s="11"/>
      <c r="P15" s="2">
        <f>--77.26</f>
        <v>77.260000000000005</v>
      </c>
      <c r="Q15" s="2"/>
      <c r="R15" s="21"/>
      <c r="S15" s="2"/>
      <c r="T15" s="2">
        <f>--206.57</f>
        <v>206.57</v>
      </c>
      <c r="U15" s="2"/>
      <c r="V15" s="21"/>
      <c r="W15" s="2"/>
      <c r="X15" s="2">
        <f t="shared" si="2"/>
        <v>-129.31</v>
      </c>
      <c r="Y15" s="2"/>
      <c r="Z15" s="21">
        <f t="shared" si="3"/>
        <v>-0.62598634845330881</v>
      </c>
    </row>
    <row r="16" spans="1:26" s="24" customFormat="1" hidden="1" outlineLevel="1" x14ac:dyDescent="0.25">
      <c r="A16" s="50"/>
      <c r="B16" s="11" t="str">
        <f>CONCATENATE("          ", "4047", " - ", "TAXABLE SALES-MISC")</f>
        <v xml:space="preserve">          4047 - TAXABLE SALES-MISC</v>
      </c>
      <c r="C16" s="11"/>
      <c r="D16" s="2">
        <f>--442.38</f>
        <v>442.38</v>
      </c>
      <c r="E16" s="2"/>
      <c r="F16" s="21"/>
      <c r="G16" s="2"/>
      <c r="H16" s="2">
        <f>--299.3</f>
        <v>299.3</v>
      </c>
      <c r="I16" s="2"/>
      <c r="J16" s="21"/>
      <c r="K16" s="2"/>
      <c r="L16" s="2">
        <f t="shared" si="0"/>
        <v>143.07999999999998</v>
      </c>
      <c r="M16" s="2"/>
      <c r="N16" s="21">
        <f t="shared" si="1"/>
        <v>0.4780487804878048</v>
      </c>
      <c r="O16" s="11"/>
      <c r="P16" s="2">
        <f>--482.38</f>
        <v>482.38</v>
      </c>
      <c r="Q16" s="2"/>
      <c r="R16" s="21"/>
      <c r="S16" s="2"/>
      <c r="T16" s="2">
        <f>--349.29</f>
        <v>349.29</v>
      </c>
      <c r="U16" s="2"/>
      <c r="V16" s="21"/>
      <c r="W16" s="2"/>
      <c r="X16" s="2">
        <f t="shared" si="2"/>
        <v>133.08999999999997</v>
      </c>
      <c r="Y16" s="2"/>
      <c r="Z16" s="21">
        <f t="shared" si="3"/>
        <v>0.38103008961035234</v>
      </c>
    </row>
    <row r="17" spans="1:26" s="24" customFormat="1" hidden="1" outlineLevel="1" x14ac:dyDescent="0.25">
      <c r="A17" s="50"/>
      <c r="B17" s="11" t="str">
        <f>CONCATENATE("          ", "4092", " - ", "TAXABLE SALES-GRAD MERCH")</f>
        <v xml:space="preserve">          4092 - TAXABLE SALES-GRAD MERCH</v>
      </c>
      <c r="C17" s="11"/>
      <c r="D17" s="2">
        <f>--1734.05</f>
        <v>1734.05</v>
      </c>
      <c r="E17" s="2"/>
      <c r="F17" s="21"/>
      <c r="G17" s="2"/>
      <c r="H17" s="2">
        <f>--677.9</f>
        <v>677.9</v>
      </c>
      <c r="I17" s="2"/>
      <c r="J17" s="21"/>
      <c r="K17" s="2"/>
      <c r="L17" s="2">
        <f t="shared" si="0"/>
        <v>1056.1500000000001</v>
      </c>
      <c r="M17" s="2"/>
      <c r="N17" s="21">
        <f t="shared" si="1"/>
        <v>1.5579731523823575</v>
      </c>
      <c r="O17" s="11"/>
      <c r="P17" s="2">
        <f>--3862.68</f>
        <v>3862.68</v>
      </c>
      <c r="Q17" s="2"/>
      <c r="R17" s="21"/>
      <c r="S17" s="2"/>
      <c r="T17" s="2">
        <f>--4016.4</f>
        <v>4016.4</v>
      </c>
      <c r="U17" s="2"/>
      <c r="V17" s="21"/>
      <c r="W17" s="2"/>
      <c r="X17" s="2">
        <f t="shared" si="2"/>
        <v>-153.72000000000025</v>
      </c>
      <c r="Y17" s="2"/>
      <c r="Z17" s="21">
        <f t="shared" si="3"/>
        <v>-3.8273080370481091E-2</v>
      </c>
    </row>
    <row r="18" spans="1:26" s="24" customFormat="1" hidden="1" outlineLevel="1" x14ac:dyDescent="0.25">
      <c r="A18" s="50"/>
      <c r="B18" s="11" t="str">
        <f>CONCATENATE("          ", "4095", " - ", "TAXABLE SALES-CUSTOMER SERVICE")</f>
        <v xml:space="preserve">          4095 - TAXABLE SALES-CUSTOMER SERVICE</v>
      </c>
      <c r="C18" s="11"/>
      <c r="D18" s="2">
        <f>--121.55</f>
        <v>121.55</v>
      </c>
      <c r="E18" s="2"/>
      <c r="F18" s="21"/>
      <c r="G18" s="2"/>
      <c r="H18" s="2">
        <f>--321.75</f>
        <v>321.75</v>
      </c>
      <c r="I18" s="2"/>
      <c r="J18" s="21"/>
      <c r="K18" s="2"/>
      <c r="L18" s="2">
        <f t="shared" si="0"/>
        <v>-200.2</v>
      </c>
      <c r="M18" s="2"/>
      <c r="N18" s="21">
        <f t="shared" si="1"/>
        <v>-0.62222222222222223</v>
      </c>
      <c r="O18" s="11"/>
      <c r="P18" s="2">
        <f>--157.19</f>
        <v>157.19</v>
      </c>
      <c r="Q18" s="2"/>
      <c r="R18" s="21"/>
      <c r="S18" s="2"/>
      <c r="T18" s="2">
        <f>--502.92</f>
        <v>502.92</v>
      </c>
      <c r="U18" s="2"/>
      <c r="V18" s="21"/>
      <c r="W18" s="2"/>
      <c r="X18" s="2">
        <f t="shared" si="2"/>
        <v>-345.73</v>
      </c>
      <c r="Y18" s="2"/>
      <c r="Z18" s="21">
        <f t="shared" si="3"/>
        <v>-0.68744531933508313</v>
      </c>
    </row>
    <row r="19" spans="1:26" s="24" customFormat="1" hidden="1" outlineLevel="1" x14ac:dyDescent="0.25">
      <c r="A19" s="50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--169.45</f>
        <v>169.45</v>
      </c>
      <c r="E19" s="2"/>
      <c r="F19" s="21"/>
      <c r="G19" s="2"/>
      <c r="H19" s="2">
        <f>--776.3</f>
        <v>776.3</v>
      </c>
      <c r="I19" s="2"/>
      <c r="J19" s="21"/>
      <c r="K19" s="2"/>
      <c r="L19" s="2">
        <f t="shared" si="0"/>
        <v>-606.84999999999991</v>
      </c>
      <c r="M19" s="2"/>
      <c r="N19" s="21">
        <f t="shared" si="1"/>
        <v>-0.78172098415560987</v>
      </c>
      <c r="O19" s="11"/>
      <c r="P19" s="2">
        <f>--177.4</f>
        <v>177.4</v>
      </c>
      <c r="Q19" s="2"/>
      <c r="R19" s="21"/>
      <c r="S19" s="2"/>
      <c r="T19" s="2">
        <f>--784.25</f>
        <v>784.25</v>
      </c>
      <c r="U19" s="2"/>
      <c r="V19" s="21"/>
      <c r="W19" s="2"/>
      <c r="X19" s="2">
        <f t="shared" si="2"/>
        <v>-606.85</v>
      </c>
      <c r="Y19" s="2"/>
      <c r="Z19" s="21">
        <f t="shared" si="3"/>
        <v>-0.77379662097545432</v>
      </c>
    </row>
    <row r="20" spans="1:26" s="24" customFormat="1" hidden="1" outlineLevel="1" x14ac:dyDescent="0.25">
      <c r="A20" s="50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--401</f>
        <v>401</v>
      </c>
      <c r="E20" s="2"/>
      <c r="F20" s="21"/>
      <c r="G20" s="2"/>
      <c r="H20" s="2">
        <f>--428.5</f>
        <v>428.5</v>
      </c>
      <c r="I20" s="2"/>
      <c r="J20" s="21"/>
      <c r="K20" s="2"/>
      <c r="L20" s="2">
        <f t="shared" si="0"/>
        <v>-27.5</v>
      </c>
      <c r="M20" s="2"/>
      <c r="N20" s="21">
        <f t="shared" si="1"/>
        <v>-6.4177362893815634E-2</v>
      </c>
      <c r="O20" s="11"/>
      <c r="P20" s="2">
        <f>--512</f>
        <v>512</v>
      </c>
      <c r="Q20" s="2"/>
      <c r="R20" s="21"/>
      <c r="S20" s="2"/>
      <c r="T20" s="2">
        <f>--570.5</f>
        <v>570.5</v>
      </c>
      <c r="U20" s="2"/>
      <c r="V20" s="21"/>
      <c r="W20" s="2"/>
      <c r="X20" s="2">
        <f t="shared" si="2"/>
        <v>-58.5</v>
      </c>
      <c r="Y20" s="2"/>
      <c r="Z20" s="21">
        <f t="shared" si="3"/>
        <v>-0.10254163014899212</v>
      </c>
    </row>
    <row r="21" spans="1:26" s="24" customFormat="1" hidden="1" outlineLevel="1" x14ac:dyDescent="0.25">
      <c r="A21" s="50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--13281.65</f>
        <v>13281.65</v>
      </c>
      <c r="E21" s="2"/>
      <c r="F21" s="21"/>
      <c r="G21" s="2"/>
      <c r="H21" s="2">
        <f>--12322.4</f>
        <v>12322.4</v>
      </c>
      <c r="I21" s="2"/>
      <c r="J21" s="21"/>
      <c r="K21" s="2"/>
      <c r="L21" s="2">
        <f t="shared" si="0"/>
        <v>959.25</v>
      </c>
      <c r="M21" s="2"/>
      <c r="N21" s="21">
        <f t="shared" si="1"/>
        <v>7.7846036486398762E-2</v>
      </c>
      <c r="O21" s="11"/>
      <c r="P21" s="2">
        <f>--15348.75</f>
        <v>15348.75</v>
      </c>
      <c r="Q21" s="2"/>
      <c r="R21" s="21"/>
      <c r="S21" s="2"/>
      <c r="T21" s="2">
        <f>--14703.05</f>
        <v>14703.05</v>
      </c>
      <c r="U21" s="2"/>
      <c r="V21" s="21"/>
      <c r="W21" s="2"/>
      <c r="X21" s="2">
        <f t="shared" si="2"/>
        <v>645.70000000000073</v>
      </c>
      <c r="Y21" s="2"/>
      <c r="Z21" s="21">
        <f t="shared" si="3"/>
        <v>4.3916058232815691E-2</v>
      </c>
    </row>
    <row r="22" spans="1:26" s="24" customFormat="1" hidden="1" outlineLevel="1" x14ac:dyDescent="0.25">
      <c r="A22" s="50"/>
      <c r="B22" s="11" t="str">
        <f>CONCATENATE("          ", "4147", " - ", "NON-TAXABLE SALES-MISC")</f>
        <v xml:space="preserve">          4147 - NON-TAXABLE SALES-MISC</v>
      </c>
      <c r="C22" s="11"/>
      <c r="D22" s="2">
        <f>--53.9</f>
        <v>53.9</v>
      </c>
      <c r="E22" s="2"/>
      <c r="F22" s="21"/>
      <c r="G22" s="2"/>
      <c r="H22" s="2">
        <f>--80</f>
        <v>80</v>
      </c>
      <c r="I22" s="2"/>
      <c r="J22" s="21"/>
      <c r="K22" s="2"/>
      <c r="L22" s="2">
        <f t="shared" si="0"/>
        <v>-26.1</v>
      </c>
      <c r="M22" s="2"/>
      <c r="N22" s="21">
        <f t="shared" si="1"/>
        <v>-0.32625000000000004</v>
      </c>
      <c r="O22" s="11"/>
      <c r="P22" s="2">
        <f>--70.4</f>
        <v>70.400000000000006</v>
      </c>
      <c r="Q22" s="2"/>
      <c r="R22" s="21"/>
      <c r="S22" s="2"/>
      <c r="T22" s="2">
        <f>--98</f>
        <v>98</v>
      </c>
      <c r="U22" s="2"/>
      <c r="V22" s="21"/>
      <c r="W22" s="2"/>
      <c r="X22" s="2">
        <f t="shared" si="2"/>
        <v>-27.599999999999994</v>
      </c>
      <c r="Y22" s="2"/>
      <c r="Z22" s="21">
        <f t="shared" si="3"/>
        <v>-0.28163265306122442</v>
      </c>
    </row>
    <row r="23" spans="1:26" s="24" customFormat="1" hidden="1" outlineLevel="1" x14ac:dyDescent="0.25">
      <c r="A23" s="50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-452.95</f>
        <v>-452.95</v>
      </c>
      <c r="E23" s="2"/>
      <c r="F23" s="21"/>
      <c r="G23" s="2"/>
      <c r="H23" s="2">
        <f>-414.6</f>
        <v>-414.6</v>
      </c>
      <c r="I23" s="2"/>
      <c r="J23" s="21"/>
      <c r="K23" s="2"/>
      <c r="L23" s="2">
        <f t="shared" si="0"/>
        <v>-38.349999999999966</v>
      </c>
      <c r="M23" s="2"/>
      <c r="N23" s="21">
        <f t="shared" si="1"/>
        <v>9.2498794018330832E-2</v>
      </c>
      <c r="O23" s="11"/>
      <c r="P23" s="2">
        <f>-463.7</f>
        <v>-463.7</v>
      </c>
      <c r="Q23" s="2"/>
      <c r="R23" s="21"/>
      <c r="S23" s="2"/>
      <c r="T23" s="2">
        <f>-414.6</f>
        <v>-414.6</v>
      </c>
      <c r="U23" s="2"/>
      <c r="V23" s="21"/>
      <c r="W23" s="2"/>
      <c r="X23" s="2">
        <f t="shared" si="2"/>
        <v>-49.099999999999966</v>
      </c>
      <c r="Y23" s="2"/>
      <c r="Z23" s="21">
        <f t="shared" si="3"/>
        <v>0.11842739990352137</v>
      </c>
    </row>
    <row r="24" spans="1:26" s="24" customFormat="1" hidden="1" outlineLevel="1" x14ac:dyDescent="0.25">
      <c r="A24" s="50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>0</f>
        <v>0</v>
      </c>
      <c r="E24" s="2"/>
      <c r="F24" s="21"/>
      <c r="G24" s="2"/>
      <c r="H24" s="2">
        <f t="shared" ref="H24:H25" si="4">0</f>
        <v>0</v>
      </c>
      <c r="I24" s="2"/>
      <c r="J24" s="21"/>
      <c r="K24" s="2"/>
      <c r="L24" s="2">
        <f t="shared" si="0"/>
        <v>0</v>
      </c>
      <c r="M24" s="2"/>
      <c r="N24" s="21">
        <f t="shared" si="1"/>
        <v>0</v>
      </c>
      <c r="O24" s="11"/>
      <c r="P24" s="2">
        <f>-16.2</f>
        <v>-16.2</v>
      </c>
      <c r="Q24" s="2"/>
      <c r="R24" s="21"/>
      <c r="S24" s="2"/>
      <c r="T24" s="2">
        <f>0</f>
        <v>0</v>
      </c>
      <c r="U24" s="2"/>
      <c r="V24" s="21"/>
      <c r="W24" s="2"/>
      <c r="X24" s="2">
        <f t="shared" si="2"/>
        <v>-16.2</v>
      </c>
      <c r="Y24" s="2"/>
      <c r="Z24" s="21">
        <f t="shared" si="3"/>
        <v>0</v>
      </c>
    </row>
    <row r="25" spans="1:26" s="24" customFormat="1" hidden="1" outlineLevel="1" x14ac:dyDescent="0.25">
      <c r="A25" s="50"/>
      <c r="B25" s="11" t="str">
        <f>CONCATENATE("          ", "4292", " - ", "SALES RETURN TAXABLE-GRAD MERC")</f>
        <v xml:space="preserve">          4292 - SALES RETURN TAXABLE-GRAD MERC</v>
      </c>
      <c r="C25" s="11"/>
      <c r="D25" s="2">
        <f>-359.2</f>
        <v>-359.2</v>
      </c>
      <c r="E25" s="2"/>
      <c r="F25" s="21"/>
      <c r="G25" s="2"/>
      <c r="H25" s="2">
        <f t="shared" si="4"/>
        <v>0</v>
      </c>
      <c r="I25" s="2"/>
      <c r="J25" s="21"/>
      <c r="K25" s="2"/>
      <c r="L25" s="2">
        <f t="shared" si="0"/>
        <v>-359.2</v>
      </c>
      <c r="M25" s="2"/>
      <c r="N25" s="21">
        <f t="shared" si="1"/>
        <v>0</v>
      </c>
      <c r="O25" s="11"/>
      <c r="P25" s="2">
        <f>-369.15</f>
        <v>-369.15</v>
      </c>
      <c r="Q25" s="2"/>
      <c r="R25" s="21"/>
      <c r="S25" s="2"/>
      <c r="T25" s="2">
        <f>-478.25</f>
        <v>-478.25</v>
      </c>
      <c r="U25" s="2"/>
      <c r="V25" s="21"/>
      <c r="W25" s="2"/>
      <c r="X25" s="2">
        <f t="shared" si="2"/>
        <v>109.10000000000002</v>
      </c>
      <c r="Y25" s="2"/>
      <c r="Z25" s="21">
        <f t="shared" si="3"/>
        <v>-0.22812336644014641</v>
      </c>
    </row>
    <row r="26" spans="1:26" s="24" customFormat="1" hidden="1" outlineLevel="1" x14ac:dyDescent="0.25">
      <c r="A26" s="50"/>
      <c r="B26" s="11" t="str">
        <f>CONCATENATE("          ", "4295", " - ", "SALES RETURN TAXABLE-CUSTOMER")</f>
        <v xml:space="preserve">          4295 - SALES RETURN TAXABLE-CUSTOMER</v>
      </c>
      <c r="C26" s="11"/>
      <c r="D26" s="2">
        <f t="shared" ref="D26:D27" si="5">0</f>
        <v>0</v>
      </c>
      <c r="E26" s="2"/>
      <c r="F26" s="21"/>
      <c r="G26" s="2"/>
      <c r="H26" s="2">
        <f>-99</f>
        <v>-99</v>
      </c>
      <c r="I26" s="2"/>
      <c r="J26" s="21"/>
      <c r="K26" s="2"/>
      <c r="L26" s="2">
        <f t="shared" si="0"/>
        <v>99</v>
      </c>
      <c r="M26" s="2"/>
      <c r="N26" s="21">
        <f t="shared" si="1"/>
        <v>-1</v>
      </c>
      <c r="O26" s="11"/>
      <c r="P26" s="2">
        <f t="shared" ref="P26:P27" si="6">0</f>
        <v>0</v>
      </c>
      <c r="Q26" s="2"/>
      <c r="R26" s="21"/>
      <c r="S26" s="2"/>
      <c r="T26" s="2">
        <f>-99</f>
        <v>-99</v>
      </c>
      <c r="U26" s="2"/>
      <c r="V26" s="21"/>
      <c r="W26" s="2"/>
      <c r="X26" s="2">
        <f t="shared" si="2"/>
        <v>99</v>
      </c>
      <c r="Y26" s="2"/>
      <c r="Z26" s="21">
        <f t="shared" si="3"/>
        <v>-1</v>
      </c>
    </row>
    <row r="27" spans="1:26" s="24" customFormat="1" hidden="1" outlineLevel="1" x14ac:dyDescent="0.25">
      <c r="A27" s="50"/>
      <c r="B27" s="11" t="str">
        <f>CONCATENATE("          ", "4341", " - ", "SALES RETURN NON TAXABLE-LOGO")</f>
        <v xml:space="preserve">          4341 - SALES RETURN NON TAXABLE-LOGO</v>
      </c>
      <c r="C27" s="11"/>
      <c r="D27" s="2">
        <f t="shared" si="5"/>
        <v>0</v>
      </c>
      <c r="E27" s="2"/>
      <c r="F27" s="21"/>
      <c r="G27" s="2"/>
      <c r="H27" s="2">
        <f>-8.15</f>
        <v>-8.15</v>
      </c>
      <c r="I27" s="2"/>
      <c r="J27" s="21"/>
      <c r="K27" s="2"/>
      <c r="L27" s="2">
        <f t="shared" si="0"/>
        <v>8.15</v>
      </c>
      <c r="M27" s="2"/>
      <c r="N27" s="21">
        <f t="shared" si="1"/>
        <v>-1</v>
      </c>
      <c r="O27" s="11"/>
      <c r="P27" s="2">
        <f t="shared" si="6"/>
        <v>0</v>
      </c>
      <c r="Q27" s="2"/>
      <c r="R27" s="21"/>
      <c r="S27" s="2"/>
      <c r="T27" s="2">
        <f>-8.15</f>
        <v>-8.15</v>
      </c>
      <c r="U27" s="2"/>
      <c r="V27" s="21"/>
      <c r="W27" s="2"/>
      <c r="X27" s="2">
        <f t="shared" si="2"/>
        <v>8.15</v>
      </c>
      <c r="Y27" s="2"/>
      <c r="Z27" s="21">
        <f t="shared" si="3"/>
        <v>-1</v>
      </c>
    </row>
    <row r="28" spans="1:26" s="24" customFormat="1" hidden="1" outlineLevel="1" x14ac:dyDescent="0.25">
      <c r="A28" s="50"/>
      <c r="B28" s="11" t="str">
        <f>CONCATENATE("          ", "4346", " - ", "SALES RETURN NON TAXABLE-COIN-")</f>
        <v xml:space="preserve">          4346 - SALES RETURN NON TAXABLE-COIN-</v>
      </c>
      <c r="C28" s="11"/>
      <c r="D28" s="2">
        <f>-8.15</f>
        <v>-8.15</v>
      </c>
      <c r="E28" s="2"/>
      <c r="F28" s="21"/>
      <c r="G28" s="2"/>
      <c r="H28" s="2">
        <f>0</f>
        <v>0</v>
      </c>
      <c r="I28" s="2"/>
      <c r="J28" s="21"/>
      <c r="K28" s="2"/>
      <c r="L28" s="2">
        <f t="shared" si="0"/>
        <v>-8.15</v>
      </c>
      <c r="M28" s="2"/>
      <c r="N28" s="21">
        <f t="shared" si="1"/>
        <v>0</v>
      </c>
      <c r="O28" s="11"/>
      <c r="P28" s="2">
        <f>-8.15</f>
        <v>-8.15</v>
      </c>
      <c r="Q28" s="2"/>
      <c r="R28" s="21"/>
      <c r="S28" s="2"/>
      <c r="T28" s="2">
        <f>0</f>
        <v>0</v>
      </c>
      <c r="U28" s="2"/>
      <c r="V28" s="21"/>
      <c r="W28" s="2"/>
      <c r="X28" s="2">
        <f t="shared" si="2"/>
        <v>-8.15</v>
      </c>
      <c r="Y28" s="2"/>
      <c r="Z28" s="21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5" t="s">
        <v>8</v>
      </c>
      <c r="C30" s="10"/>
      <c r="D30" s="4">
        <f>SUM(OSRRefD16x_0)</f>
        <v>820.97</v>
      </c>
      <c r="E30" s="4"/>
      <c r="F30" s="12">
        <f t="shared" ref="F30:F35" si="7">IF(D$12=0,0,D30/D$12)</f>
        <v>8.4317449440547126E-3</v>
      </c>
      <c r="G30" s="4"/>
      <c r="H30" s="4">
        <f>SUM(OSRRefH16x_0)</f>
        <v>281.34999999999991</v>
      </c>
      <c r="I30" s="4"/>
      <c r="J30" s="12">
        <f t="shared" ref="J30:J35" si="8">IF(H$12=0,0,H30/H$12)</f>
        <v>2.8625422183008158E-3</v>
      </c>
      <c r="K30" s="4"/>
      <c r="L30" s="4">
        <f t="shared" ref="L30:L35" si="9">+D30-H30</f>
        <v>539.62000000000012</v>
      </c>
      <c r="M30" s="4"/>
      <c r="N30" s="12">
        <f t="shared" ref="N30:N35" si="10">IF(H30=0,0,L30/H30)</f>
        <v>1.9179669450861927</v>
      </c>
      <c r="O30" s="10"/>
      <c r="P30" s="4">
        <f>SUM(OSRRefP16x_0)</f>
        <v>1865.4199999999998</v>
      </c>
      <c r="Q30" s="4"/>
      <c r="R30" s="12">
        <f t="shared" ref="R30:R35" si="11">IF(P$12=0,0,P30/P$12)</f>
        <v>1.7552656699817877E-2</v>
      </c>
      <c r="S30" s="4"/>
      <c r="T30" s="4">
        <f>SUM(OSRRefT16x_0)</f>
        <v>1448.65</v>
      </c>
      <c r="U30" s="4"/>
      <c r="V30" s="12">
        <f t="shared" ref="V30:V35" si="12">IF(T$12=0,0,T30/T$12)</f>
        <v>1.283274652222958E-2</v>
      </c>
      <c r="W30" s="4"/>
      <c r="X30" s="4">
        <f t="shared" ref="X30:X35" si="13">+P30-T30</f>
        <v>416.76999999999975</v>
      </c>
      <c r="Y30" s="4"/>
      <c r="Z30" s="12">
        <f t="shared" ref="Z30:Z35" si="14">IF(T30=0,0,X30/T30)</f>
        <v>0.28769544058261121</v>
      </c>
    </row>
    <row r="31" spans="1:26" s="24" customFormat="1" hidden="1" outlineLevel="1" x14ac:dyDescent="0.25">
      <c r="A31" s="50"/>
      <c r="B31" s="11" t="str">
        <f>CONCATENATE("          ", "5092", " - ", "PURCHASES @ COST-GRAD MERCH")</f>
        <v xml:space="preserve">          5092 - PURCHASES @ COST-GRAD MERCH</v>
      </c>
      <c r="C31" s="11"/>
      <c r="D31" s="2">
        <v>-600.6</v>
      </c>
      <c r="E31" s="2"/>
      <c r="F31" s="21">
        <f t="shared" si="7"/>
        <v>-6.1684422249281461E-3</v>
      </c>
      <c r="G31" s="2"/>
      <c r="H31" s="2">
        <v>-1509.65</v>
      </c>
      <c r="I31" s="2"/>
      <c r="J31" s="21">
        <f t="shared" si="8"/>
        <v>-1.5359647627004898E-2</v>
      </c>
      <c r="K31" s="2"/>
      <c r="L31" s="2">
        <f t="shared" si="9"/>
        <v>909.05000000000007</v>
      </c>
      <c r="M31" s="2"/>
      <c r="N31" s="21">
        <f t="shared" si="10"/>
        <v>-0.60215944093001694</v>
      </c>
      <c r="O31" s="11"/>
      <c r="P31" s="2">
        <v>628</v>
      </c>
      <c r="Q31" s="2"/>
      <c r="R31" s="21">
        <f t="shared" si="11"/>
        <v>5.9091616941416023E-3</v>
      </c>
      <c r="S31" s="2"/>
      <c r="T31" s="2">
        <v>-2745.04</v>
      </c>
      <c r="U31" s="2"/>
      <c r="V31" s="21">
        <f t="shared" si="12"/>
        <v>-2.4316710394768289E-2</v>
      </c>
      <c r="W31" s="2"/>
      <c r="X31" s="2">
        <f t="shared" si="13"/>
        <v>3373.04</v>
      </c>
      <c r="Y31" s="2"/>
      <c r="Z31" s="21">
        <f t="shared" si="14"/>
        <v>-1.2287762655553289</v>
      </c>
    </row>
    <row r="32" spans="1:26" s="24" customFormat="1" hidden="1" outlineLevel="1" x14ac:dyDescent="0.25">
      <c r="A32" s="50"/>
      <c r="B32" s="11" t="str">
        <f>CONCATENATE("          ", "5095", " - ", "PURCHASES @ COST-CUSTOMER SERV")</f>
        <v xml:space="preserve">          5095 - PURCHASES @ COST-CUSTOMER SERV</v>
      </c>
      <c r="C32" s="11"/>
      <c r="D32" s="2"/>
      <c r="E32" s="2"/>
      <c r="F32" s="21">
        <f t="shared" si="7"/>
        <v>0</v>
      </c>
      <c r="G32" s="2"/>
      <c r="H32" s="2"/>
      <c r="I32" s="2"/>
      <c r="J32" s="21">
        <f t="shared" si="8"/>
        <v>0</v>
      </c>
      <c r="K32" s="2"/>
      <c r="L32" s="2">
        <f t="shared" si="9"/>
        <v>0</v>
      </c>
      <c r="M32" s="2"/>
      <c r="N32" s="21">
        <f t="shared" si="10"/>
        <v>0</v>
      </c>
      <c r="O32" s="11"/>
      <c r="P32" s="2">
        <v>11.85</v>
      </c>
      <c r="Q32" s="2"/>
      <c r="R32" s="21">
        <f t="shared" si="11"/>
        <v>1.1150249375092035E-4</v>
      </c>
      <c r="S32" s="2"/>
      <c r="T32" s="2"/>
      <c r="U32" s="2"/>
      <c r="V32" s="21">
        <f t="shared" si="12"/>
        <v>0</v>
      </c>
      <c r="W32" s="2"/>
      <c r="X32" s="2">
        <f t="shared" si="13"/>
        <v>11.85</v>
      </c>
      <c r="Y32" s="2"/>
      <c r="Z32" s="21">
        <f t="shared" si="14"/>
        <v>0</v>
      </c>
    </row>
    <row r="33" spans="1:26" s="24" customFormat="1" hidden="1" outlineLevel="1" x14ac:dyDescent="0.25">
      <c r="A33" s="50"/>
      <c r="B33" s="11" t="str">
        <f>CONCATENATE("          ", "5200", " - ", "PURCHASES OFFSET")</f>
        <v xml:space="preserve">          5200 - PURCHASES OFFSET</v>
      </c>
      <c r="C33" s="11"/>
      <c r="D33" s="2">
        <v>541</v>
      </c>
      <c r="E33" s="2"/>
      <c r="F33" s="21">
        <f t="shared" si="7"/>
        <v>5.5563224170598188E-3</v>
      </c>
      <c r="G33" s="2"/>
      <c r="H33" s="2">
        <v>1510</v>
      </c>
      <c r="I33" s="2"/>
      <c r="J33" s="21">
        <f t="shared" si="8"/>
        <v>1.5363208635629049E-2</v>
      </c>
      <c r="K33" s="2"/>
      <c r="L33" s="2">
        <f t="shared" si="9"/>
        <v>-969</v>
      </c>
      <c r="M33" s="2"/>
      <c r="N33" s="21">
        <f t="shared" si="10"/>
        <v>-0.6417218543046358</v>
      </c>
      <c r="O33" s="11"/>
      <c r="P33" s="2">
        <v>-700</v>
      </c>
      <c r="Q33" s="2"/>
      <c r="R33" s="21">
        <f t="shared" si="11"/>
        <v>-6.5866452004763078E-3</v>
      </c>
      <c r="S33" s="2"/>
      <c r="T33" s="2">
        <v>2637</v>
      </c>
      <c r="U33" s="2"/>
      <c r="V33" s="21">
        <f t="shared" si="12"/>
        <v>2.3359646967258757E-2</v>
      </c>
      <c r="W33" s="2"/>
      <c r="X33" s="2">
        <f t="shared" si="13"/>
        <v>-3337</v>
      </c>
      <c r="Y33" s="2"/>
      <c r="Z33" s="21">
        <f t="shared" si="14"/>
        <v>-1.2654531664770572</v>
      </c>
    </row>
    <row r="34" spans="1:26" s="24" customFormat="1" hidden="1" outlineLevel="1" x14ac:dyDescent="0.25">
      <c r="A34" s="50"/>
      <c r="B34" s="11" t="str">
        <f>CONCATENATE("          ", "5300", " - ", "COG$ OFFSET")</f>
        <v xml:space="preserve">          5300 - COG$ OFFSET</v>
      </c>
      <c r="C34" s="11"/>
      <c r="D34" s="2">
        <v>821</v>
      </c>
      <c r="E34" s="2"/>
      <c r="F34" s="21">
        <f t="shared" si="7"/>
        <v>8.4320530580519609E-3</v>
      </c>
      <c r="G34" s="2"/>
      <c r="H34" s="2">
        <v>281</v>
      </c>
      <c r="I34" s="2"/>
      <c r="J34" s="21">
        <f t="shared" si="8"/>
        <v>2.8589812096766641E-3</v>
      </c>
      <c r="K34" s="2"/>
      <c r="L34" s="2">
        <f t="shared" si="9"/>
        <v>540</v>
      </c>
      <c r="M34" s="2"/>
      <c r="N34" s="21">
        <f t="shared" si="10"/>
        <v>1.9217081850533808</v>
      </c>
      <c r="O34" s="11"/>
      <c r="P34" s="2">
        <v>1866</v>
      </c>
      <c r="Q34" s="2"/>
      <c r="R34" s="21">
        <f t="shared" si="11"/>
        <v>1.7558114205841129E-2</v>
      </c>
      <c r="S34" s="2"/>
      <c r="T34" s="2">
        <v>1448</v>
      </c>
      <c r="U34" s="2"/>
      <c r="V34" s="21">
        <f t="shared" si="12"/>
        <v>1.2826988550849709E-2</v>
      </c>
      <c r="W34" s="2"/>
      <c r="X34" s="2">
        <f t="shared" si="13"/>
        <v>418</v>
      </c>
      <c r="Y34" s="2"/>
      <c r="Z34" s="21">
        <f t="shared" si="14"/>
        <v>0.28867403314917128</v>
      </c>
    </row>
    <row r="35" spans="1:26" s="24" customFormat="1" hidden="1" outlineLevel="1" x14ac:dyDescent="0.25">
      <c r="A35" s="50"/>
      <c r="B35" s="11" t="str">
        <f>CONCATENATE("          ", "5592", " - ", "FREIGHT-IN-GRAD MERCH")</f>
        <v xml:space="preserve">          5592 - FREIGHT-IN-GRAD MERCH</v>
      </c>
      <c r="C35" s="11"/>
      <c r="D35" s="2">
        <v>59.57</v>
      </c>
      <c r="E35" s="2"/>
      <c r="F35" s="21">
        <f t="shared" si="7"/>
        <v>6.1181169387107841E-4</v>
      </c>
      <c r="G35" s="2"/>
      <c r="H35" s="2"/>
      <c r="I35" s="2"/>
      <c r="J35" s="21">
        <f t="shared" si="8"/>
        <v>0</v>
      </c>
      <c r="K35" s="2"/>
      <c r="L35" s="2">
        <f t="shared" si="9"/>
        <v>59.57</v>
      </c>
      <c r="M35" s="2"/>
      <c r="N35" s="21">
        <f t="shared" si="10"/>
        <v>0</v>
      </c>
      <c r="O35" s="11"/>
      <c r="P35" s="2">
        <v>59.57</v>
      </c>
      <c r="Q35" s="2"/>
      <c r="R35" s="21">
        <f t="shared" si="11"/>
        <v>5.6052350656053381E-4</v>
      </c>
      <c r="S35" s="2"/>
      <c r="T35" s="2">
        <v>108.69</v>
      </c>
      <c r="U35" s="2"/>
      <c r="V35" s="21">
        <f t="shared" si="12"/>
        <v>9.6282139888940251E-4</v>
      </c>
      <c r="W35" s="2"/>
      <c r="X35" s="2">
        <f t="shared" si="13"/>
        <v>-49.12</v>
      </c>
      <c r="Y35" s="2"/>
      <c r="Z35" s="21">
        <f t="shared" si="14"/>
        <v>-0.45192750023001194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6" t="s">
        <v>6</v>
      </c>
      <c r="C37" s="26"/>
      <c r="D37" s="20">
        <f>D12-D30</f>
        <v>96545.590000000026</v>
      </c>
      <c r="E37" s="13"/>
      <c r="F37" s="19">
        <f>IF(D$12=0,0,D37/D$12)</f>
        <v>0.99156825505594526</v>
      </c>
      <c r="G37" s="13"/>
      <c r="H37" s="20">
        <f>H12-H30</f>
        <v>98005.41</v>
      </c>
      <c r="I37" s="13"/>
      <c r="J37" s="19">
        <f>IF(H$12=0,0,H37/H$12)</f>
        <v>0.99713745778169915</v>
      </c>
      <c r="K37" s="15"/>
      <c r="L37" s="20">
        <f>+D37-H37</f>
        <v>-1459.8199999999779</v>
      </c>
      <c r="M37" s="15"/>
      <c r="N37" s="19">
        <f>IF(H37=0,0,L37/H37)</f>
        <v>-1.4895300167612971E-2</v>
      </c>
      <c r="O37" s="25"/>
      <c r="P37" s="20">
        <f>P12-P30</f>
        <v>104410.23000000001</v>
      </c>
      <c r="Q37" s="13"/>
      <c r="R37" s="19">
        <f>IF(P$12=0,0,P37/P$12)</f>
        <v>0.98244734330018213</v>
      </c>
      <c r="S37" s="13"/>
      <c r="T37" s="20">
        <f>T12-T30</f>
        <v>111438.33</v>
      </c>
      <c r="U37" s="13"/>
      <c r="V37" s="19">
        <f>IF(T$12=0,0,T37/T$12)</f>
        <v>0.98716725347777046</v>
      </c>
      <c r="W37" s="15"/>
      <c r="X37" s="20">
        <f>+P37-T37</f>
        <v>-7028.0999999999913</v>
      </c>
      <c r="Y37" s="15"/>
      <c r="Z37" s="19">
        <f>IF(T37=0,0,X37/T37)</f>
        <v>-6.3067169079077112E-2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5" t="s">
        <v>9</v>
      </c>
      <c r="C39" s="10"/>
      <c r="D39" s="22">
        <f>SUM(OSRRefD22x_0)</f>
        <v>27068.840000000004</v>
      </c>
      <c r="E39" s="22"/>
      <c r="F39" s="33">
        <f t="shared" ref="F39:F48" si="15">IF(D$12=0,0,D39/D$12)</f>
        <v>0.27800961644326344</v>
      </c>
      <c r="G39" s="22"/>
      <c r="H39" s="22">
        <f>SUM(OSRRefH22x_0)</f>
        <v>31007.26</v>
      </c>
      <c r="I39" s="22"/>
      <c r="J39" s="33">
        <f t="shared" ref="J39:J48" si="16">IF(H$12=0,0,H39/H$12)</f>
        <v>0.31547748648953322</v>
      </c>
      <c r="K39" s="4"/>
      <c r="L39" s="22">
        <f t="shared" ref="L39:L48" si="17">+D39-H39</f>
        <v>-3938.4199999999946</v>
      </c>
      <c r="M39" s="4"/>
      <c r="N39" s="33">
        <f t="shared" ref="N39:N48" si="18">IF(H39=0,0,L39/H39)</f>
        <v>-0.12701606010979347</v>
      </c>
      <c r="O39" s="10"/>
      <c r="P39" s="22">
        <f>SUM(OSRRefP22x_0)</f>
        <v>61812.200000000012</v>
      </c>
      <c r="Q39" s="22"/>
      <c r="R39" s="33">
        <f t="shared" ref="R39:R48" si="19">IF(P$12=0,0,P39/P$12)</f>
        <v>0.5816214720869739</v>
      </c>
      <c r="S39" s="22"/>
      <c r="T39" s="22">
        <f>SUM(OSRRefT22x_0)</f>
        <v>71685.819999999978</v>
      </c>
      <c r="U39" s="22"/>
      <c r="V39" s="33">
        <f t="shared" ref="V39:V48" si="20">IF(T$12=0,0,T39/T$12)</f>
        <v>0.63502292292698392</v>
      </c>
      <c r="W39" s="4"/>
      <c r="X39" s="22">
        <f t="shared" ref="X39:X48" si="21">+P39-T39</f>
        <v>-9873.6199999999662</v>
      </c>
      <c r="Y39" s="4"/>
      <c r="Z39" s="33">
        <f t="shared" ref="Z39:Z48" si="22">IF(T39=0,0,X39/T39)</f>
        <v>-0.13773463147941908</v>
      </c>
    </row>
    <row r="40" spans="1:26" s="27" customFormat="1" outlineLevel="1" collapsed="1" x14ac:dyDescent="0.25">
      <c r="A40" s="28"/>
      <c r="B40" s="14" t="str">
        <f>CONCATENATE("     ","*Benefits                                         ")</f>
        <v xml:space="preserve">     *Benefits                                         </v>
      </c>
      <c r="C40" s="14"/>
      <c r="D40" s="1">
        <f>SUM(OSRRefD22_0x_0)</f>
        <v>7233.82</v>
      </c>
      <c r="E40" s="1"/>
      <c r="F40" s="5">
        <f t="shared" si="15"/>
        <v>7.4294706519363499E-2</v>
      </c>
      <c r="G40" s="1"/>
      <c r="H40" s="1">
        <f>SUM(OSRRefH22_0x_0)</f>
        <v>6854.65</v>
      </c>
      <c r="I40" s="1"/>
      <c r="J40" s="5">
        <f t="shared" si="16"/>
        <v>6.9741336472989843E-2</v>
      </c>
      <c r="K40" s="1"/>
      <c r="L40" s="1">
        <f t="shared" si="17"/>
        <v>379.17000000000007</v>
      </c>
      <c r="M40" s="1"/>
      <c r="N40" s="5">
        <f t="shared" si="18"/>
        <v>5.531573457434006E-2</v>
      </c>
      <c r="O40" s="14"/>
      <c r="P40" s="1">
        <f>SUM(OSRRefP22_0x_0)</f>
        <v>15142.07</v>
      </c>
      <c r="Q40" s="1"/>
      <c r="R40" s="5">
        <f t="shared" si="19"/>
        <v>0.14247920384396612</v>
      </c>
      <c r="S40" s="1"/>
      <c r="T40" s="1">
        <f>SUM(OSRRefT22_0x_0)</f>
        <v>13470.04</v>
      </c>
      <c r="U40" s="1"/>
      <c r="V40" s="5">
        <f t="shared" si="20"/>
        <v>0.11932323816262957</v>
      </c>
      <c r="W40" s="1"/>
      <c r="X40" s="1">
        <f t="shared" si="21"/>
        <v>1672.0299999999988</v>
      </c>
      <c r="Y40" s="1"/>
      <c r="Z40" s="5">
        <f t="shared" si="22"/>
        <v>0.12412954972665254</v>
      </c>
    </row>
    <row r="41" spans="1:26" s="24" customFormat="1" hidden="1" outlineLevel="2" x14ac:dyDescent="0.25">
      <c r="A41" s="29"/>
      <c r="B41" s="11" t="str">
        <f>CONCATENATE("          ", "6111", " - ", "F.I.C.A.")</f>
        <v xml:space="preserve">          6111 - F.I.C.A.</v>
      </c>
      <c r="C41" s="11"/>
      <c r="D41" s="7">
        <v>1362.13</v>
      </c>
      <c r="E41" s="2"/>
      <c r="F41" s="6">
        <f t="shared" si="15"/>
        <v>1.3989710635766527E-2</v>
      </c>
      <c r="G41" s="2"/>
      <c r="H41" s="7">
        <v>1196.7</v>
      </c>
      <c r="I41" s="2"/>
      <c r="J41" s="6">
        <f t="shared" si="16"/>
        <v>1.217559720149489E-2</v>
      </c>
      <c r="K41" s="2"/>
      <c r="L41" s="7">
        <f t="shared" si="17"/>
        <v>165.43000000000006</v>
      </c>
      <c r="M41" s="2"/>
      <c r="N41" s="6">
        <f t="shared" si="18"/>
        <v>0.13823848917857445</v>
      </c>
      <c r="O41" s="11"/>
      <c r="P41" s="7">
        <v>2488.9299999999998</v>
      </c>
      <c r="Q41" s="2"/>
      <c r="R41" s="6">
        <f t="shared" si="19"/>
        <v>2.3419569769744995E-2</v>
      </c>
      <c r="S41" s="2"/>
      <c r="T41" s="7">
        <v>2229.36</v>
      </c>
      <c r="U41" s="2"/>
      <c r="V41" s="6">
        <f t="shared" si="20"/>
        <v>1.9748601654504358E-2</v>
      </c>
      <c r="W41" s="2"/>
      <c r="X41" s="7">
        <f t="shared" si="21"/>
        <v>259.56999999999971</v>
      </c>
      <c r="Y41" s="2"/>
      <c r="Z41" s="6">
        <f t="shared" si="22"/>
        <v>0.11643251874977559</v>
      </c>
    </row>
    <row r="42" spans="1:26" s="24" customFormat="1" hidden="1" outlineLevel="2" x14ac:dyDescent="0.25">
      <c r="A42" s="29"/>
      <c r="B42" s="11" t="str">
        <f>CONCATENATE("          ", "6112", " - ", "COMPENSATION INSURANCE")</f>
        <v xml:space="preserve">          6112 - COMPENSATION INSURANCE</v>
      </c>
      <c r="C42" s="11"/>
      <c r="D42" s="7">
        <v>223.99</v>
      </c>
      <c r="E42" s="2"/>
      <c r="F42" s="6">
        <f t="shared" si="15"/>
        <v>2.3004818081279643E-3</v>
      </c>
      <c r="G42" s="2"/>
      <c r="H42" s="7">
        <v>181.64</v>
      </c>
      <c r="I42" s="2"/>
      <c r="J42" s="6">
        <f t="shared" si="16"/>
        <v>1.8480617328315632E-3</v>
      </c>
      <c r="K42" s="2"/>
      <c r="L42" s="7">
        <f t="shared" si="17"/>
        <v>42.350000000000023</v>
      </c>
      <c r="M42" s="2"/>
      <c r="N42" s="6">
        <f t="shared" si="18"/>
        <v>0.23315349042061234</v>
      </c>
      <c r="O42" s="11"/>
      <c r="P42" s="7">
        <v>402.46</v>
      </c>
      <c r="Q42" s="2"/>
      <c r="R42" s="6">
        <f t="shared" si="19"/>
        <v>3.7869446105481355E-3</v>
      </c>
      <c r="S42" s="2"/>
      <c r="T42" s="7">
        <v>413.7</v>
      </c>
      <c r="U42" s="2"/>
      <c r="V42" s="6">
        <f t="shared" si="20"/>
        <v>3.6647273228498098E-3</v>
      </c>
      <c r="W42" s="2"/>
      <c r="X42" s="7">
        <f t="shared" si="21"/>
        <v>-11.240000000000009</v>
      </c>
      <c r="Y42" s="2"/>
      <c r="Z42" s="6">
        <f t="shared" si="22"/>
        <v>-2.7169446458786582E-2</v>
      </c>
    </row>
    <row r="43" spans="1:26" s="24" customFormat="1" hidden="1" outlineLevel="2" x14ac:dyDescent="0.25">
      <c r="A43" s="29"/>
      <c r="B43" s="11" t="str">
        <f>CONCATENATE("          ", "6113", " - ", "GROUP INSURANCE")</f>
        <v xml:space="preserve">          6113 - GROUP INSURANCE</v>
      </c>
      <c r="C43" s="11"/>
      <c r="D43" s="7">
        <v>2741.79</v>
      </c>
      <c r="E43" s="2"/>
      <c r="F43" s="6">
        <f t="shared" si="15"/>
        <v>2.8159462550592311E-2</v>
      </c>
      <c r="G43" s="2"/>
      <c r="H43" s="7">
        <v>2722.97</v>
      </c>
      <c r="I43" s="2"/>
      <c r="J43" s="6">
        <f t="shared" si="16"/>
        <v>2.7704341866595251E-2</v>
      </c>
      <c r="K43" s="2"/>
      <c r="L43" s="7">
        <f t="shared" si="17"/>
        <v>18.820000000000164</v>
      </c>
      <c r="M43" s="2"/>
      <c r="N43" s="6">
        <f t="shared" si="18"/>
        <v>6.9115708215662184E-3</v>
      </c>
      <c r="O43" s="11"/>
      <c r="P43" s="7">
        <v>5483.58</v>
      </c>
      <c r="Q43" s="2"/>
      <c r="R43" s="6">
        <f t="shared" si="19"/>
        <v>5.1597708412039818E-2</v>
      </c>
      <c r="S43" s="2"/>
      <c r="T43" s="7">
        <v>3748.8</v>
      </c>
      <c r="U43" s="2"/>
      <c r="V43" s="6">
        <f t="shared" si="20"/>
        <v>3.3208435552089355E-2</v>
      </c>
      <c r="W43" s="2"/>
      <c r="X43" s="7">
        <f t="shared" si="21"/>
        <v>1734.7799999999997</v>
      </c>
      <c r="Y43" s="2"/>
      <c r="Z43" s="6">
        <f t="shared" si="22"/>
        <v>0.4627560819462227</v>
      </c>
    </row>
    <row r="44" spans="1:26" s="24" customFormat="1" hidden="1" outlineLevel="2" x14ac:dyDescent="0.25">
      <c r="A44" s="29"/>
      <c r="B44" s="11" t="str">
        <f>CONCATENATE("          ", "6114", " - ", "STATE UNEMPLOYMENT INSURANCE")</f>
        <v xml:space="preserve">          6114 - STATE UNEMPLOYMENT INSURANCE</v>
      </c>
      <c r="C44" s="11"/>
      <c r="D44" s="7">
        <v>45.01</v>
      </c>
      <c r="E44" s="2"/>
      <c r="F44" s="6">
        <f t="shared" si="15"/>
        <v>4.622737005394869E-4</v>
      </c>
      <c r="G44" s="2"/>
      <c r="H44" s="7">
        <v>39.69</v>
      </c>
      <c r="I44" s="2"/>
      <c r="J44" s="6">
        <f t="shared" si="16"/>
        <v>4.038183779788854E-4</v>
      </c>
      <c r="K44" s="2"/>
      <c r="L44" s="7">
        <f t="shared" si="17"/>
        <v>5.32</v>
      </c>
      <c r="M44" s="2"/>
      <c r="N44" s="6">
        <f t="shared" si="18"/>
        <v>0.13403880070546739</v>
      </c>
      <c r="O44" s="11"/>
      <c r="P44" s="7">
        <v>83.79</v>
      </c>
      <c r="Q44" s="2"/>
      <c r="R44" s="6">
        <f t="shared" si="19"/>
        <v>7.884214304970141E-4</v>
      </c>
      <c r="S44" s="2"/>
      <c r="T44" s="7">
        <v>90.39</v>
      </c>
      <c r="U44" s="2"/>
      <c r="V44" s="6">
        <f t="shared" si="20"/>
        <v>8.0071235850228263E-4</v>
      </c>
      <c r="W44" s="2"/>
      <c r="X44" s="7">
        <f t="shared" si="21"/>
        <v>-6.5999999999999943</v>
      </c>
      <c r="Y44" s="2"/>
      <c r="Z44" s="6">
        <f t="shared" si="22"/>
        <v>-7.3016926651178163E-2</v>
      </c>
    </row>
    <row r="45" spans="1:26" s="24" customFormat="1" hidden="1" outlineLevel="2" x14ac:dyDescent="0.25">
      <c r="A45" s="29"/>
      <c r="B45" s="11" t="str">
        <f>CONCATENATE("          ", "6115", " - ", "P.E.R.S.")</f>
        <v xml:space="preserve">          6115 - P.E.R.S.</v>
      </c>
      <c r="C45" s="11"/>
      <c r="D45" s="7">
        <v>1156.69</v>
      </c>
      <c r="E45" s="2"/>
      <c r="F45" s="6">
        <f t="shared" si="15"/>
        <v>1.1879745982604292E-2</v>
      </c>
      <c r="G45" s="2"/>
      <c r="H45" s="7">
        <v>984.68</v>
      </c>
      <c r="I45" s="2"/>
      <c r="J45" s="6">
        <f t="shared" si="16"/>
        <v>1.0018439920086896E-2</v>
      </c>
      <c r="K45" s="2"/>
      <c r="L45" s="7">
        <f t="shared" si="17"/>
        <v>172.0100000000001</v>
      </c>
      <c r="M45" s="2"/>
      <c r="N45" s="6">
        <f t="shared" si="18"/>
        <v>0.17468619246861936</v>
      </c>
      <c r="O45" s="11"/>
      <c r="P45" s="7">
        <v>2313.38</v>
      </c>
      <c r="Q45" s="2"/>
      <c r="R45" s="6">
        <f t="shared" si="19"/>
        <v>2.1767733248396974E-2</v>
      </c>
      <c r="S45" s="2"/>
      <c r="T45" s="7">
        <v>2447.37</v>
      </c>
      <c r="U45" s="2"/>
      <c r="V45" s="6">
        <f t="shared" si="20"/>
        <v>2.1679825255312882E-2</v>
      </c>
      <c r="W45" s="2"/>
      <c r="X45" s="7">
        <f t="shared" si="21"/>
        <v>-133.98999999999978</v>
      </c>
      <c r="Y45" s="2"/>
      <c r="Z45" s="6">
        <f t="shared" si="22"/>
        <v>-5.4748566828881531E-2</v>
      </c>
    </row>
    <row r="46" spans="1:26" s="24" customFormat="1" hidden="1" outlineLevel="2" x14ac:dyDescent="0.25">
      <c r="A46" s="29"/>
      <c r="B46" s="11" t="str">
        <f>CONCATENATE("          ", "6118", " - ", "VACATION")</f>
        <v xml:space="preserve">          6118 - VACATION</v>
      </c>
      <c r="C46" s="11"/>
      <c r="D46" s="7">
        <v>1024.78</v>
      </c>
      <c r="E46" s="2"/>
      <c r="F46" s="6">
        <f t="shared" si="15"/>
        <v>1.0524968736699742E-2</v>
      </c>
      <c r="G46" s="2"/>
      <c r="H46" s="7">
        <v>951.42</v>
      </c>
      <c r="I46" s="2"/>
      <c r="J46" s="6">
        <f t="shared" si="16"/>
        <v>9.6800423576888679E-3</v>
      </c>
      <c r="K46" s="2"/>
      <c r="L46" s="7">
        <f t="shared" si="17"/>
        <v>73.360000000000014</v>
      </c>
      <c r="M46" s="2"/>
      <c r="N46" s="6">
        <f t="shared" si="18"/>
        <v>7.7105799751949741E-2</v>
      </c>
      <c r="O46" s="11"/>
      <c r="P46" s="7">
        <v>2557.06</v>
      </c>
      <c r="Q46" s="2"/>
      <c r="R46" s="6">
        <f t="shared" si="19"/>
        <v>2.4060638537614212E-2</v>
      </c>
      <c r="S46" s="2"/>
      <c r="T46" s="7">
        <v>1902.84</v>
      </c>
      <c r="U46" s="2"/>
      <c r="V46" s="6">
        <f t="shared" si="20"/>
        <v>1.6856151169957777E-2</v>
      </c>
      <c r="W46" s="2"/>
      <c r="X46" s="7">
        <f t="shared" si="21"/>
        <v>654.22</v>
      </c>
      <c r="Y46" s="2"/>
      <c r="Z46" s="6">
        <f t="shared" si="22"/>
        <v>0.34381240671837887</v>
      </c>
    </row>
    <row r="47" spans="1:26" s="24" customFormat="1" hidden="1" outlineLevel="2" x14ac:dyDescent="0.25">
      <c r="A47" s="29"/>
      <c r="B47" s="11" t="str">
        <f>CONCATENATE("          ", "6119", " - ", "SICK LEAVE")</f>
        <v xml:space="preserve">          6119 - SICK LEAVE</v>
      </c>
      <c r="C47" s="11"/>
      <c r="D47" s="7">
        <v>536.02</v>
      </c>
      <c r="E47" s="2"/>
      <c r="F47" s="6">
        <f t="shared" si="15"/>
        <v>5.5051754935164579E-3</v>
      </c>
      <c r="G47" s="2"/>
      <c r="H47" s="7">
        <v>482.72</v>
      </c>
      <c r="I47" s="2"/>
      <c r="J47" s="6">
        <f t="shared" si="16"/>
        <v>4.9113430944310301E-3</v>
      </c>
      <c r="K47" s="2"/>
      <c r="L47" s="7">
        <f t="shared" si="17"/>
        <v>53.299999999999955</v>
      </c>
      <c r="M47" s="2"/>
      <c r="N47" s="6">
        <f t="shared" si="18"/>
        <v>0.11041597613523357</v>
      </c>
      <c r="O47" s="11"/>
      <c r="P47" s="7">
        <v>1427.08</v>
      </c>
      <c r="Q47" s="2"/>
      <c r="R47" s="6">
        <f t="shared" si="19"/>
        <v>1.3428099475279613E-2</v>
      </c>
      <c r="S47" s="2"/>
      <c r="T47" s="7">
        <v>2069.4699999999998</v>
      </c>
      <c r="U47" s="2"/>
      <c r="V47" s="6">
        <f t="shared" si="20"/>
        <v>1.8332229279231314E-2</v>
      </c>
      <c r="W47" s="2"/>
      <c r="X47" s="7">
        <f t="shared" si="21"/>
        <v>-642.38999999999987</v>
      </c>
      <c r="Y47" s="2"/>
      <c r="Z47" s="6">
        <f t="shared" si="22"/>
        <v>-0.31041281100958212</v>
      </c>
    </row>
    <row r="48" spans="1:26" s="24" customFormat="1" hidden="1" outlineLevel="2" x14ac:dyDescent="0.25">
      <c r="A48" s="29"/>
      <c r="B48" s="11" t="str">
        <f>CONCATENATE("          ", "6156", " - ", "EMPLOYEE MEALS")</f>
        <v xml:space="preserve">          6156 - EMPLOYEE MEALS</v>
      </c>
      <c r="C48" s="11"/>
      <c r="D48" s="7">
        <v>143.41</v>
      </c>
      <c r="E48" s="2"/>
      <c r="F48" s="6">
        <f t="shared" si="15"/>
        <v>1.4728876115167257E-3</v>
      </c>
      <c r="G48" s="2"/>
      <c r="H48" s="7">
        <v>294.83</v>
      </c>
      <c r="I48" s="2"/>
      <c r="J48" s="6">
        <f t="shared" si="16"/>
        <v>2.9996919218824585E-3</v>
      </c>
      <c r="K48" s="2"/>
      <c r="L48" s="7">
        <f t="shared" si="17"/>
        <v>-151.41999999999999</v>
      </c>
      <c r="M48" s="2"/>
      <c r="N48" s="6">
        <f t="shared" si="18"/>
        <v>-0.51358409931146765</v>
      </c>
      <c r="O48" s="11"/>
      <c r="P48" s="7">
        <v>385.79</v>
      </c>
      <c r="Q48" s="2"/>
      <c r="R48" s="6">
        <f t="shared" si="19"/>
        <v>3.6300883598453641E-3</v>
      </c>
      <c r="S48" s="2"/>
      <c r="T48" s="7">
        <v>568.11</v>
      </c>
      <c r="U48" s="2"/>
      <c r="V48" s="6">
        <f t="shared" si="20"/>
        <v>5.0325555701817874E-3</v>
      </c>
      <c r="W48" s="2"/>
      <c r="X48" s="7">
        <f t="shared" si="21"/>
        <v>-182.32</v>
      </c>
      <c r="Y48" s="2"/>
      <c r="Z48" s="6">
        <f t="shared" si="22"/>
        <v>-0.32092376476386614</v>
      </c>
    </row>
    <row r="49" spans="1:26" s="27" customFormat="1" outlineLevel="1" collapsed="1" x14ac:dyDescent="0.25">
      <c r="A49" s="28"/>
      <c r="B49" s="14" t="str">
        <f>CONCATENATE("     ","*Payroll                                          ")</f>
        <v xml:space="preserve">     *Payroll                                          </v>
      </c>
      <c r="C49" s="14"/>
      <c r="D49" s="1">
        <f>SUM(OSRRefD22_1x_0)</f>
        <v>18121.89</v>
      </c>
      <c r="E49" s="1"/>
      <c r="F49" s="5">
        <f t="shared" ref="F49:F53" si="23">IF(D$12=0,0,D49/D$12)</f>
        <v>0.18612026552031821</v>
      </c>
      <c r="G49" s="1"/>
      <c r="H49" s="1">
        <f>SUM(OSRRefH22_1x_0)</f>
        <v>16025.48</v>
      </c>
      <c r="I49" s="1"/>
      <c r="J49" s="5">
        <f t="shared" ref="J49:J53" si="24">IF(H$12=0,0,H49/H$12)</f>
        <v>0.16304820710337789</v>
      </c>
      <c r="K49" s="1"/>
      <c r="L49" s="1">
        <f t="shared" ref="L49:L53" si="25">+D49-H49</f>
        <v>2096.41</v>
      </c>
      <c r="M49" s="1"/>
      <c r="N49" s="5">
        <f t="shared" ref="N49:N53" si="26">IF(H49=0,0,L49/H49)</f>
        <v>0.13081729845221485</v>
      </c>
      <c r="O49" s="14"/>
      <c r="P49" s="1">
        <f>SUM(OSRRefP22_1x_0)</f>
        <v>36043.759999999995</v>
      </c>
      <c r="Q49" s="1"/>
      <c r="R49" s="5">
        <f t="shared" ref="R49:R53" si="27">IF(P$12=0,0,P49/P$12)</f>
        <v>0.33915351258731413</v>
      </c>
      <c r="S49" s="1"/>
      <c r="T49" s="1">
        <f>SUM(OSRRefT22_1x_0)</f>
        <v>32522.899999999998</v>
      </c>
      <c r="U49" s="1"/>
      <c r="V49" s="5">
        <f t="shared" ref="V49:V53" si="28">IF(T$12=0,0,T49/T$12)</f>
        <v>0.28810142675444056</v>
      </c>
      <c r="W49" s="1"/>
      <c r="X49" s="1">
        <f t="shared" ref="X49:X53" si="29">+P49-T49</f>
        <v>3520.8599999999969</v>
      </c>
      <c r="Y49" s="1"/>
      <c r="Z49" s="5">
        <f t="shared" ref="Z49:Z53" si="30">IF(T49=0,0,X49/T49)</f>
        <v>0.10825787368285107</v>
      </c>
    </row>
    <row r="50" spans="1:26" s="24" customFormat="1" hidden="1" outlineLevel="2" x14ac:dyDescent="0.25">
      <c r="A50" s="29"/>
      <c r="B50" s="11" t="str">
        <f>CONCATENATE("          ", "6002", " - ", "STAFF SALARIES")</f>
        <v xml:space="preserve">          6002 - STAFF SALARIES</v>
      </c>
      <c r="C50" s="11"/>
      <c r="D50" s="7">
        <v>11254.4</v>
      </c>
      <c r="E50" s="2"/>
      <c r="F50" s="6">
        <f t="shared" si="23"/>
        <v>0.11558793902136417</v>
      </c>
      <c r="G50" s="2"/>
      <c r="H50" s="7">
        <v>10284.709999999999</v>
      </c>
      <c r="I50" s="2"/>
      <c r="J50" s="6">
        <f t="shared" si="24"/>
        <v>0.10463983144830492</v>
      </c>
      <c r="K50" s="2"/>
      <c r="L50" s="7">
        <f t="shared" si="25"/>
        <v>969.69000000000051</v>
      </c>
      <c r="M50" s="2"/>
      <c r="N50" s="6">
        <f t="shared" si="26"/>
        <v>9.4284622512448152E-2</v>
      </c>
      <c r="O50" s="11"/>
      <c r="P50" s="7">
        <v>24928.769999999997</v>
      </c>
      <c r="Q50" s="2"/>
      <c r="R50" s="6">
        <f t="shared" si="27"/>
        <v>0.23456709039182536</v>
      </c>
      <c r="S50" s="2"/>
      <c r="T50" s="7">
        <v>22859.85</v>
      </c>
      <c r="U50" s="2"/>
      <c r="V50" s="6">
        <f t="shared" si="28"/>
        <v>0.20250209545866138</v>
      </c>
      <c r="W50" s="2"/>
      <c r="X50" s="7">
        <f t="shared" si="29"/>
        <v>2068.9199999999983</v>
      </c>
      <c r="Y50" s="2"/>
      <c r="Z50" s="6">
        <f t="shared" si="30"/>
        <v>9.0504530869625052E-2</v>
      </c>
    </row>
    <row r="51" spans="1:26" s="24" customFormat="1" hidden="1" outlineLevel="2" x14ac:dyDescent="0.25">
      <c r="A51" s="29"/>
      <c r="B51" s="11" t="str">
        <f>CONCATENATE("          ", "6005", " - ", "TEMPORARY WAGES-HOURLY")</f>
        <v xml:space="preserve">          6005 - TEMPORARY WAGES-HOURLY</v>
      </c>
      <c r="C51" s="11"/>
      <c r="D51" s="7">
        <v>1505</v>
      </c>
      <c r="E51" s="2"/>
      <c r="F51" s="6">
        <f t="shared" si="23"/>
        <v>1.5457052195332766E-2</v>
      </c>
      <c r="G51" s="2"/>
      <c r="H51" s="7">
        <v>1100.82</v>
      </c>
      <c r="I51" s="2"/>
      <c r="J51" s="6">
        <f t="shared" si="24"/>
        <v>1.1200084324684218E-2</v>
      </c>
      <c r="K51" s="2"/>
      <c r="L51" s="7">
        <f t="shared" si="25"/>
        <v>404.18000000000006</v>
      </c>
      <c r="M51" s="2"/>
      <c r="N51" s="6">
        <f t="shared" si="26"/>
        <v>0.36716266056212649</v>
      </c>
      <c r="O51" s="11"/>
      <c r="P51" s="7">
        <v>2492</v>
      </c>
      <c r="Q51" s="2"/>
      <c r="R51" s="6">
        <f t="shared" si="27"/>
        <v>2.3448456913695657E-2</v>
      </c>
      <c r="S51" s="2"/>
      <c r="T51" s="7">
        <v>1888.78</v>
      </c>
      <c r="U51" s="2"/>
      <c r="V51" s="6">
        <f t="shared" si="28"/>
        <v>1.6731601819802426E-2</v>
      </c>
      <c r="W51" s="2"/>
      <c r="X51" s="7">
        <f t="shared" si="29"/>
        <v>603.22</v>
      </c>
      <c r="Y51" s="2"/>
      <c r="Z51" s="6">
        <f t="shared" si="30"/>
        <v>0.31937017545717344</v>
      </c>
    </row>
    <row r="52" spans="1:26" s="24" customFormat="1" hidden="1" outlineLevel="2" x14ac:dyDescent="0.25">
      <c r="A52" s="29"/>
      <c r="B52" s="11" t="str">
        <f>CONCATENATE("          ", "6006", " - ", "TEMPORARY PART TIME")</f>
        <v xml:space="preserve">          6006 - TEMPORARY PART TIME</v>
      </c>
      <c r="C52" s="11"/>
      <c r="D52" s="7">
        <v>57.37</v>
      </c>
      <c r="E52" s="2"/>
      <c r="F52" s="6">
        <f t="shared" si="23"/>
        <v>5.8921666740614006E-4</v>
      </c>
      <c r="G52" s="2"/>
      <c r="H52" s="7">
        <v>1235.7</v>
      </c>
      <c r="I52" s="2"/>
      <c r="J52" s="6">
        <f t="shared" si="24"/>
        <v>1.2572395305329017E-2</v>
      </c>
      <c r="K52" s="2"/>
      <c r="L52" s="7">
        <f t="shared" si="25"/>
        <v>-1178.3300000000002</v>
      </c>
      <c r="M52" s="2"/>
      <c r="N52" s="6">
        <f t="shared" si="26"/>
        <v>-0.95357287367484023</v>
      </c>
      <c r="O52" s="11"/>
      <c r="P52" s="7">
        <v>57.37</v>
      </c>
      <c r="Q52" s="2"/>
      <c r="R52" s="6">
        <f t="shared" si="27"/>
        <v>5.3982262164475111E-4</v>
      </c>
      <c r="S52" s="2"/>
      <c r="T52" s="7">
        <v>2008.39</v>
      </c>
      <c r="U52" s="2"/>
      <c r="V52" s="6">
        <f t="shared" si="28"/>
        <v>1.7791157137873652E-2</v>
      </c>
      <c r="W52" s="2"/>
      <c r="X52" s="7">
        <f t="shared" si="29"/>
        <v>-1951.0200000000002</v>
      </c>
      <c r="Y52" s="2"/>
      <c r="Z52" s="6">
        <f t="shared" si="30"/>
        <v>-0.97143483088443983</v>
      </c>
    </row>
    <row r="53" spans="1:26" s="24" customFormat="1" hidden="1" outlineLevel="2" x14ac:dyDescent="0.25">
      <c r="A53" s="29"/>
      <c r="B53" s="11" t="str">
        <f>CONCATENATE("          ", "6007", " - ", "STUDENT HOURLY")</f>
        <v xml:space="preserve">          6007 - STUDENT HOURLY</v>
      </c>
      <c r="C53" s="11"/>
      <c r="D53" s="7">
        <v>5305.12</v>
      </c>
      <c r="E53" s="2"/>
      <c r="F53" s="6">
        <f t="shared" si="23"/>
        <v>5.4486057636215127E-2</v>
      </c>
      <c r="G53" s="2"/>
      <c r="H53" s="7">
        <v>3404.25</v>
      </c>
      <c r="I53" s="2"/>
      <c r="J53" s="6">
        <f t="shared" si="24"/>
        <v>3.4635896025059731E-2</v>
      </c>
      <c r="K53" s="2"/>
      <c r="L53" s="7">
        <f t="shared" si="25"/>
        <v>1900.87</v>
      </c>
      <c r="M53" s="2"/>
      <c r="N53" s="6">
        <f t="shared" si="26"/>
        <v>0.55838143497099213</v>
      </c>
      <c r="O53" s="11"/>
      <c r="P53" s="7">
        <v>8565.6200000000008</v>
      </c>
      <c r="Q53" s="2"/>
      <c r="R53" s="6">
        <f t="shared" si="27"/>
        <v>8.0598142660148392E-2</v>
      </c>
      <c r="S53" s="2"/>
      <c r="T53" s="7">
        <v>5765.88</v>
      </c>
      <c r="U53" s="2"/>
      <c r="V53" s="6">
        <f t="shared" si="28"/>
        <v>5.1076572338103123E-2</v>
      </c>
      <c r="W53" s="2"/>
      <c r="X53" s="7">
        <f t="shared" si="29"/>
        <v>2799.7400000000007</v>
      </c>
      <c r="Y53" s="2"/>
      <c r="Z53" s="6">
        <f t="shared" si="30"/>
        <v>0.48557028588871093</v>
      </c>
    </row>
    <row r="54" spans="1:26" s="27" customFormat="1" outlineLevel="1" collapsed="1" x14ac:dyDescent="0.25">
      <c r="A54" s="28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SUM(OSRRefD22_2x_0)</f>
        <v>0</v>
      </c>
      <c r="E54" s="1"/>
      <c r="F54" s="5">
        <f t="shared" ref="F54:F62" si="31">IF(D$12=0,0,D54/D$12)</f>
        <v>0</v>
      </c>
      <c r="G54" s="1"/>
      <c r="H54" s="1">
        <f>SUM(OSRRefH22_2x_0)</f>
        <v>20</v>
      </c>
      <c r="I54" s="1"/>
      <c r="J54" s="5">
        <f t="shared" ref="J54:J62" si="32">IF(H$12=0,0,H54/H$12)</f>
        <v>2.0348620709442449E-4</v>
      </c>
      <c r="K54" s="1"/>
      <c r="L54" s="1">
        <f t="shared" ref="L54:L62" si="33">+D54-H54</f>
        <v>-20</v>
      </c>
      <c r="M54" s="1"/>
      <c r="N54" s="5">
        <f t="shared" ref="N54:N62" si="34">IF(H54=0,0,L54/H54)</f>
        <v>-1</v>
      </c>
      <c r="O54" s="14"/>
      <c r="P54" s="1">
        <f>SUM(OSRRefP22_2x_0)</f>
        <v>0</v>
      </c>
      <c r="Q54" s="1"/>
      <c r="R54" s="5">
        <f t="shared" ref="R54:R62" si="35">IF(P$12=0,0,P54/P$12)</f>
        <v>0</v>
      </c>
      <c r="S54" s="1"/>
      <c r="T54" s="1">
        <f>SUM(OSRRefT22_2x_0)</f>
        <v>538</v>
      </c>
      <c r="U54" s="1"/>
      <c r="V54" s="5">
        <f t="shared" ref="V54:V62" si="36">IF(T$12=0,0,T54/T$12)</f>
        <v>4.7658286190311759E-3</v>
      </c>
      <c r="W54" s="1"/>
      <c r="X54" s="1">
        <f t="shared" ref="X54:X62" si="37">+P54-T54</f>
        <v>-538</v>
      </c>
      <c r="Y54" s="1"/>
      <c r="Z54" s="5">
        <f t="shared" ref="Z54:Z62" si="38">IF(T54=0,0,X54/T54)</f>
        <v>-1</v>
      </c>
    </row>
    <row r="55" spans="1:26" s="24" customFormat="1" hidden="1" outlineLevel="2" x14ac:dyDescent="0.25">
      <c r="A55" s="29"/>
      <c r="B55" s="11" t="str">
        <f>CONCATENATE("          ", "6362", " - ", "ADVERTISING EXPENSE")</f>
        <v xml:space="preserve">          6362 - ADVERTISING EXPENSE</v>
      </c>
      <c r="C55" s="11"/>
      <c r="D55" s="7"/>
      <c r="E55" s="2"/>
      <c r="F55" s="6">
        <f t="shared" si="31"/>
        <v>0</v>
      </c>
      <c r="G55" s="2"/>
      <c r="H55" s="7">
        <v>20</v>
      </c>
      <c r="I55" s="2"/>
      <c r="J55" s="6">
        <f t="shared" si="32"/>
        <v>2.0348620709442449E-4</v>
      </c>
      <c r="K55" s="2"/>
      <c r="L55" s="7">
        <f t="shared" si="33"/>
        <v>-20</v>
      </c>
      <c r="M55" s="2"/>
      <c r="N55" s="6">
        <f t="shared" si="34"/>
        <v>-1</v>
      </c>
      <c r="O55" s="11"/>
      <c r="P55" s="7"/>
      <c r="Q55" s="2"/>
      <c r="R55" s="6">
        <f t="shared" si="35"/>
        <v>0</v>
      </c>
      <c r="S55" s="2"/>
      <c r="T55" s="7">
        <v>538</v>
      </c>
      <c r="U55" s="2"/>
      <c r="V55" s="6">
        <f t="shared" si="36"/>
        <v>4.7658286190311759E-3</v>
      </c>
      <c r="W55" s="2"/>
      <c r="X55" s="7">
        <f t="shared" si="37"/>
        <v>-538</v>
      </c>
      <c r="Y55" s="2"/>
      <c r="Z55" s="6">
        <f t="shared" si="38"/>
        <v>-1</v>
      </c>
    </row>
    <row r="56" spans="1:26" s="27" customFormat="1" outlineLevel="1" collapsed="1" x14ac:dyDescent="0.25">
      <c r="A56" s="28"/>
      <c r="B56" s="14" t="str">
        <f>CONCATENATE("     ","Discounts and Markdowns                           ")</f>
        <v xml:space="preserve">     Discounts and Markdowns                           </v>
      </c>
      <c r="C56" s="14"/>
      <c r="D56" s="1">
        <f>SUM(OSRRefD22_3x_0)</f>
        <v>96.95</v>
      </c>
      <c r="E56" s="1"/>
      <c r="F56" s="5">
        <f t="shared" si="31"/>
        <v>9.9572173444352941E-4</v>
      </c>
      <c r="G56" s="1"/>
      <c r="H56" s="1">
        <f>SUM(OSRRefH22_3x_0)</f>
        <v>262.06</v>
      </c>
      <c r="I56" s="1"/>
      <c r="J56" s="5">
        <f t="shared" si="32"/>
        <v>2.6662797715582441E-3</v>
      </c>
      <c r="K56" s="1"/>
      <c r="L56" s="1">
        <f t="shared" si="33"/>
        <v>-165.11</v>
      </c>
      <c r="M56" s="1"/>
      <c r="N56" s="5">
        <f t="shared" si="34"/>
        <v>-0.63004655422422351</v>
      </c>
      <c r="O56" s="14"/>
      <c r="P56" s="1">
        <f>SUM(OSRRefP22_3x_0)</f>
        <v>165.42</v>
      </c>
      <c r="Q56" s="1"/>
      <c r="R56" s="5">
        <f t="shared" si="35"/>
        <v>1.5565183558039868E-3</v>
      </c>
      <c r="S56" s="1"/>
      <c r="T56" s="1">
        <f>SUM(OSRRefT22_3x_0)</f>
        <v>342.06</v>
      </c>
      <c r="U56" s="1"/>
      <c r="V56" s="5">
        <f t="shared" si="36"/>
        <v>3.0301102926130188E-3</v>
      </c>
      <c r="W56" s="1"/>
      <c r="X56" s="1">
        <f t="shared" si="37"/>
        <v>-176.64000000000001</v>
      </c>
      <c r="Y56" s="1"/>
      <c r="Z56" s="5">
        <f t="shared" si="38"/>
        <v>-0.51640063146816351</v>
      </c>
    </row>
    <row r="57" spans="1:26" s="24" customFormat="1" hidden="1" outlineLevel="2" x14ac:dyDescent="0.25">
      <c r="A57" s="29"/>
      <c r="B57" s="11" t="str">
        <f>CONCATENATE("          ", "6382", " - ", "DISCOUNTS/MARK DOWNS")</f>
        <v xml:space="preserve">          6382 - DISCOUNTS/MARK DOWNS</v>
      </c>
      <c r="C57" s="11"/>
      <c r="D57" s="7">
        <v>96.95</v>
      </c>
      <c r="E57" s="2"/>
      <c r="F57" s="6">
        <f t="shared" si="31"/>
        <v>9.9572173444352941E-4</v>
      </c>
      <c r="G57" s="2"/>
      <c r="H57" s="7">
        <v>262.06</v>
      </c>
      <c r="I57" s="2"/>
      <c r="J57" s="6">
        <f t="shared" si="32"/>
        <v>2.6662797715582441E-3</v>
      </c>
      <c r="K57" s="2"/>
      <c r="L57" s="7">
        <f t="shared" si="33"/>
        <v>-165.11</v>
      </c>
      <c r="M57" s="2"/>
      <c r="N57" s="6">
        <f t="shared" si="34"/>
        <v>-0.63004655422422351</v>
      </c>
      <c r="O57" s="11"/>
      <c r="P57" s="7">
        <v>165.42</v>
      </c>
      <c r="Q57" s="2"/>
      <c r="R57" s="6">
        <f t="shared" si="35"/>
        <v>1.5565183558039868E-3</v>
      </c>
      <c r="S57" s="2"/>
      <c r="T57" s="7">
        <v>342.06</v>
      </c>
      <c r="U57" s="2"/>
      <c r="V57" s="6">
        <f t="shared" si="36"/>
        <v>3.0301102926130188E-3</v>
      </c>
      <c r="W57" s="2"/>
      <c r="X57" s="7">
        <f t="shared" si="37"/>
        <v>-176.64000000000001</v>
      </c>
      <c r="Y57" s="2"/>
      <c r="Z57" s="6">
        <f t="shared" si="38"/>
        <v>-0.51640063146816351</v>
      </c>
    </row>
    <row r="58" spans="1:26" s="27" customFormat="1" outlineLevel="1" collapsed="1" x14ac:dyDescent="0.25">
      <c r="A58" s="28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SUM(OSRRefD22_4x_0)</f>
        <v>1205.6400000000001</v>
      </c>
      <c r="E58" s="1"/>
      <c r="F58" s="5">
        <f t="shared" si="31"/>
        <v>1.2382485321449168E-2</v>
      </c>
      <c r="G58" s="1"/>
      <c r="H58" s="1">
        <f>SUM(OSRRefH22_4x_0)</f>
        <v>3142.91</v>
      </c>
      <c r="I58" s="1"/>
      <c r="J58" s="5">
        <f t="shared" si="32"/>
        <v>3.1976941756956881E-2</v>
      </c>
      <c r="K58" s="1"/>
      <c r="L58" s="1">
        <f t="shared" si="33"/>
        <v>-1937.2699999999998</v>
      </c>
      <c r="M58" s="1"/>
      <c r="N58" s="5">
        <f t="shared" si="34"/>
        <v>-0.61639372428736416</v>
      </c>
      <c r="O58" s="14"/>
      <c r="P58" s="1">
        <f>SUM(OSRRefP22_4x_0)</f>
        <v>2411.2800000000002</v>
      </c>
      <c r="Q58" s="1"/>
      <c r="R58" s="5">
        <f t="shared" si="35"/>
        <v>2.2688922627149305E-2</v>
      </c>
      <c r="S58" s="1"/>
      <c r="T58" s="1">
        <f>SUM(OSRRefT22_4x_0)</f>
        <v>6287.1</v>
      </c>
      <c r="U58" s="1"/>
      <c r="V58" s="5">
        <f t="shared" si="36"/>
        <v>5.5693756711358566E-2</v>
      </c>
      <c r="W58" s="1"/>
      <c r="X58" s="1">
        <f t="shared" si="37"/>
        <v>-3875.82</v>
      </c>
      <c r="Y58" s="1"/>
      <c r="Z58" s="5">
        <f t="shared" si="38"/>
        <v>-0.61647182325714556</v>
      </c>
    </row>
    <row r="59" spans="1:26" s="24" customFormat="1" hidden="1" outlineLevel="2" x14ac:dyDescent="0.25">
      <c r="A59" s="29"/>
      <c r="B59" s="11" t="str">
        <f>CONCATENATE("          ", "6351", " - ", "EQUIPMENT RENTAL")</f>
        <v xml:space="preserve">          6351 - EQUIPMENT RENTAL</v>
      </c>
      <c r="C59" s="11"/>
      <c r="D59" s="7">
        <v>1205.6400000000001</v>
      </c>
      <c r="E59" s="2"/>
      <c r="F59" s="6">
        <f t="shared" si="31"/>
        <v>1.2382485321449168E-2</v>
      </c>
      <c r="G59" s="2"/>
      <c r="H59" s="7">
        <v>3142.91</v>
      </c>
      <c r="I59" s="2"/>
      <c r="J59" s="6">
        <f t="shared" si="32"/>
        <v>3.1976941756956881E-2</v>
      </c>
      <c r="K59" s="2"/>
      <c r="L59" s="7">
        <f t="shared" si="33"/>
        <v>-1937.2699999999998</v>
      </c>
      <c r="M59" s="2"/>
      <c r="N59" s="6">
        <f t="shared" si="34"/>
        <v>-0.61639372428736416</v>
      </c>
      <c r="O59" s="11"/>
      <c r="P59" s="7">
        <v>2411.2800000000002</v>
      </c>
      <c r="Q59" s="2"/>
      <c r="R59" s="6">
        <f t="shared" si="35"/>
        <v>2.2688922627149305E-2</v>
      </c>
      <c r="S59" s="2"/>
      <c r="T59" s="7">
        <v>6287.1</v>
      </c>
      <c r="U59" s="2"/>
      <c r="V59" s="6">
        <f t="shared" si="36"/>
        <v>5.5693756711358566E-2</v>
      </c>
      <c r="W59" s="2"/>
      <c r="X59" s="7">
        <f t="shared" si="37"/>
        <v>-3875.82</v>
      </c>
      <c r="Y59" s="2"/>
      <c r="Z59" s="6">
        <f t="shared" si="38"/>
        <v>-0.61647182325714556</v>
      </c>
    </row>
    <row r="60" spans="1:26" s="27" customFormat="1" outlineLevel="1" collapsed="1" x14ac:dyDescent="0.25">
      <c r="A60" s="28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SUM(OSRRefD22_5x_0)</f>
        <v>-13203.749999999996</v>
      </c>
      <c r="E60" s="1"/>
      <c r="F60" s="5">
        <f t="shared" si="31"/>
        <v>-0.1356086730392857</v>
      </c>
      <c r="G60" s="1"/>
      <c r="H60" s="1">
        <f>SUM(OSRRefH22_5x_0)</f>
        <v>-9435.0300000000007</v>
      </c>
      <c r="I60" s="1"/>
      <c r="J60" s="5">
        <f t="shared" si="32"/>
        <v>-9.5994923426105411E-2</v>
      </c>
      <c r="K60" s="1"/>
      <c r="L60" s="1">
        <f t="shared" si="33"/>
        <v>-3768.7199999999957</v>
      </c>
      <c r="M60" s="1"/>
      <c r="N60" s="5">
        <f t="shared" si="34"/>
        <v>0.39943911148136207</v>
      </c>
      <c r="O60" s="14"/>
      <c r="P60" s="1">
        <f>SUM(OSRRefP22_5x_0)</f>
        <v>-15800.169999999998</v>
      </c>
      <c r="Q60" s="1"/>
      <c r="R60" s="5">
        <f t="shared" si="35"/>
        <v>-0.14867159128172819</v>
      </c>
      <c r="S60" s="1"/>
      <c r="T60" s="1">
        <f>SUM(OSRRefT22_5x_0)</f>
        <v>-9836.98</v>
      </c>
      <c r="U60" s="1"/>
      <c r="V60" s="5">
        <f t="shared" si="36"/>
        <v>-8.7140075852857435E-2</v>
      </c>
      <c r="W60" s="1"/>
      <c r="X60" s="1">
        <f t="shared" si="37"/>
        <v>-5963.1899999999987</v>
      </c>
      <c r="Y60" s="1"/>
      <c r="Z60" s="5">
        <f t="shared" si="38"/>
        <v>0.60620129348641549</v>
      </c>
    </row>
    <row r="61" spans="1:26" s="24" customFormat="1" hidden="1" outlineLevel="2" x14ac:dyDescent="0.25">
      <c r="A61" s="29"/>
      <c r="B61" s="11" t="str">
        <f>CONCATENATE("          ", "6305", " - ", "FREIGHT OUT")</f>
        <v xml:space="preserve">          6305 - FREIGHT OUT</v>
      </c>
      <c r="C61" s="11"/>
      <c r="D61" s="7">
        <v>2560.3000000000002</v>
      </c>
      <c r="E61" s="2"/>
      <c r="F61" s="6">
        <f t="shared" si="31"/>
        <v>2.6295475571900654E-2</v>
      </c>
      <c r="G61" s="2"/>
      <c r="H61" s="7">
        <v>2197.48</v>
      </c>
      <c r="I61" s="2"/>
      <c r="J61" s="6">
        <f t="shared" si="32"/>
        <v>2.2357843518292796E-2</v>
      </c>
      <c r="K61" s="2"/>
      <c r="L61" s="7">
        <f t="shared" si="33"/>
        <v>362.82000000000016</v>
      </c>
      <c r="M61" s="2"/>
      <c r="N61" s="6">
        <f t="shared" si="34"/>
        <v>0.16510730473087362</v>
      </c>
      <c r="O61" s="11"/>
      <c r="P61" s="7">
        <v>3613.43</v>
      </c>
      <c r="Q61" s="2"/>
      <c r="R61" s="6">
        <f t="shared" si="35"/>
        <v>3.4000544809653005E-2</v>
      </c>
      <c r="S61" s="2"/>
      <c r="T61" s="7">
        <v>4327.99</v>
      </c>
      <c r="U61" s="2"/>
      <c r="V61" s="6">
        <f t="shared" si="36"/>
        <v>3.8339142388254165E-2</v>
      </c>
      <c r="W61" s="2"/>
      <c r="X61" s="7">
        <f t="shared" si="37"/>
        <v>-714.56</v>
      </c>
      <c r="Y61" s="2"/>
      <c r="Z61" s="6">
        <f t="shared" si="38"/>
        <v>-0.16510204506017806</v>
      </c>
    </row>
    <row r="62" spans="1:26" s="24" customFormat="1" hidden="1" outlineLevel="2" x14ac:dyDescent="0.25">
      <c r="A62" s="29"/>
      <c r="B62" s="11" t="str">
        <f>CONCATENATE("          ", "6307", " - ", "POSTAGE")</f>
        <v xml:space="preserve">          6307 - POSTAGE</v>
      </c>
      <c r="C62" s="11"/>
      <c r="D62" s="7">
        <v>-15764.049999999997</v>
      </c>
      <c r="E62" s="2"/>
      <c r="F62" s="6">
        <f t="shared" si="31"/>
        <v>-0.16190414861118635</v>
      </c>
      <c r="G62" s="2"/>
      <c r="H62" s="7">
        <v>-11632.51</v>
      </c>
      <c r="I62" s="2"/>
      <c r="J62" s="6">
        <f t="shared" si="32"/>
        <v>-0.1183527669443982</v>
      </c>
      <c r="K62" s="2"/>
      <c r="L62" s="7">
        <f t="shared" si="33"/>
        <v>-4131.5399999999972</v>
      </c>
      <c r="M62" s="2"/>
      <c r="N62" s="6">
        <f t="shared" si="34"/>
        <v>0.35517184167475441</v>
      </c>
      <c r="O62" s="11"/>
      <c r="P62" s="7">
        <v>-19413.599999999999</v>
      </c>
      <c r="Q62" s="2"/>
      <c r="R62" s="6">
        <f t="shared" si="35"/>
        <v>-0.18267213609138119</v>
      </c>
      <c r="S62" s="2"/>
      <c r="T62" s="7">
        <v>-14164.97</v>
      </c>
      <c r="U62" s="2"/>
      <c r="V62" s="6">
        <f t="shared" si="36"/>
        <v>-0.12547921824111161</v>
      </c>
      <c r="W62" s="2"/>
      <c r="X62" s="7">
        <f t="shared" si="37"/>
        <v>-5248.6299999999992</v>
      </c>
      <c r="Y62" s="2"/>
      <c r="Z62" s="6">
        <f t="shared" si="38"/>
        <v>0.37053590653562973</v>
      </c>
    </row>
    <row r="63" spans="1:26" s="27" customFormat="1" outlineLevel="1" collapsed="1" x14ac:dyDescent="0.25">
      <c r="A63" s="28"/>
      <c r="B63" s="14" t="str">
        <f>CONCATENATE("     ","Inventory Adjustment                              ")</f>
        <v xml:space="preserve">     Inventory Adjustment                              </v>
      </c>
      <c r="C63" s="14"/>
      <c r="D63" s="1">
        <f>SUM(OSRRefD22_6x_0)</f>
        <v>100</v>
      </c>
      <c r="E63" s="1"/>
      <c r="F63" s="5">
        <f t="shared" ref="F63:F74" si="39">IF(D$12=0,0,D63/D$12)</f>
        <v>1.0270466574971938E-3</v>
      </c>
      <c r="G63" s="1"/>
      <c r="H63" s="1">
        <f>SUM(OSRRefH22_6x_0)</f>
        <v>100</v>
      </c>
      <c r="I63" s="1"/>
      <c r="J63" s="5">
        <f t="shared" ref="J63:J74" si="40">IF(H$12=0,0,H63/H$12)</f>
        <v>1.0174310354721225E-3</v>
      </c>
      <c r="K63" s="1"/>
      <c r="L63" s="1">
        <f t="shared" ref="L63:L74" si="41">+D63-H63</f>
        <v>0</v>
      </c>
      <c r="M63" s="1"/>
      <c r="N63" s="5">
        <f t="shared" ref="N63:N74" si="42">IF(H63=0,0,L63/H63)</f>
        <v>0</v>
      </c>
      <c r="O63" s="14"/>
      <c r="P63" s="1">
        <f>SUM(OSRRefP22_6x_0)</f>
        <v>100</v>
      </c>
      <c r="Q63" s="1"/>
      <c r="R63" s="5">
        <f t="shared" ref="R63:R74" si="43">IF(P$12=0,0,P63/P$12)</f>
        <v>9.4094931435375825E-4</v>
      </c>
      <c r="S63" s="1"/>
      <c r="T63" s="1">
        <f>SUM(OSRRefT22_6x_0)</f>
        <v>200</v>
      </c>
      <c r="U63" s="1"/>
      <c r="V63" s="5">
        <f t="shared" ref="V63:V74" si="44">IF(T$12=0,0,T63/T$12)</f>
        <v>1.7716835014985786E-3</v>
      </c>
      <c r="W63" s="1"/>
      <c r="X63" s="1">
        <f t="shared" ref="X63:X74" si="45">+P63-T63</f>
        <v>-100</v>
      </c>
      <c r="Y63" s="1"/>
      <c r="Z63" s="5">
        <f t="shared" ref="Z63:Z74" si="46">IF(T63=0,0,X63/T63)</f>
        <v>-0.5</v>
      </c>
    </row>
    <row r="64" spans="1:26" s="24" customFormat="1" hidden="1" outlineLevel="2" x14ac:dyDescent="0.25">
      <c r="A64" s="29"/>
      <c r="B64" s="11" t="str">
        <f>CONCATENATE("          ", "6408", " - ", "INVENTORY ADJUSTMENT")</f>
        <v xml:space="preserve">          6408 - INVENTORY ADJUSTMENT</v>
      </c>
      <c r="C64" s="11"/>
      <c r="D64" s="7">
        <v>100</v>
      </c>
      <c r="E64" s="2"/>
      <c r="F64" s="6">
        <f t="shared" si="39"/>
        <v>1.0270466574971938E-3</v>
      </c>
      <c r="G64" s="2"/>
      <c r="H64" s="7">
        <v>100</v>
      </c>
      <c r="I64" s="2"/>
      <c r="J64" s="6">
        <f t="shared" si="40"/>
        <v>1.0174310354721225E-3</v>
      </c>
      <c r="K64" s="2"/>
      <c r="L64" s="7">
        <f t="shared" si="41"/>
        <v>0</v>
      </c>
      <c r="M64" s="2"/>
      <c r="N64" s="6">
        <f t="shared" si="42"/>
        <v>0</v>
      </c>
      <c r="O64" s="11"/>
      <c r="P64" s="7">
        <v>100</v>
      </c>
      <c r="Q64" s="2"/>
      <c r="R64" s="6">
        <f t="shared" si="43"/>
        <v>9.4094931435375825E-4</v>
      </c>
      <c r="S64" s="2"/>
      <c r="T64" s="7">
        <v>200</v>
      </c>
      <c r="U64" s="2"/>
      <c r="V64" s="6">
        <f t="shared" si="44"/>
        <v>1.7716835014985786E-3</v>
      </c>
      <c r="W64" s="2"/>
      <c r="X64" s="7">
        <f t="shared" si="45"/>
        <v>-100</v>
      </c>
      <c r="Y64" s="2"/>
      <c r="Z64" s="6">
        <f t="shared" si="46"/>
        <v>-0.5</v>
      </c>
    </row>
    <row r="65" spans="1:26" s="27" customFormat="1" outlineLevel="1" collapsed="1" x14ac:dyDescent="0.25">
      <c r="A65" s="28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SUM(OSRRefD22_7x_0)</f>
        <v>5867.62</v>
      </c>
      <c r="E65" s="1"/>
      <c r="F65" s="5">
        <f t="shared" si="39"/>
        <v>6.0263195084636845E-2</v>
      </c>
      <c r="G65" s="1"/>
      <c r="H65" s="1">
        <f>SUM(OSRRefH22_7x_0)</f>
        <v>9315.2900000000009</v>
      </c>
      <c r="I65" s="1"/>
      <c r="J65" s="5">
        <f t="shared" si="40"/>
        <v>9.4776651504231091E-2</v>
      </c>
      <c r="K65" s="1"/>
      <c r="L65" s="1">
        <f t="shared" si="41"/>
        <v>-3447.670000000001</v>
      </c>
      <c r="M65" s="1"/>
      <c r="N65" s="5">
        <f t="shared" si="42"/>
        <v>-0.37010871373838072</v>
      </c>
      <c r="O65" s="14"/>
      <c r="P65" s="1">
        <f>SUM(OSRRefP22_7x_0)</f>
        <v>11810.02</v>
      </c>
      <c r="Q65" s="1"/>
      <c r="R65" s="5">
        <f t="shared" si="43"/>
        <v>0.11112630221504173</v>
      </c>
      <c r="S65" s="1"/>
      <c r="T65" s="1">
        <f>SUM(OSRRefT22_7x_0)</f>
        <v>17907.030000000002</v>
      </c>
      <c r="U65" s="1"/>
      <c r="V65" s="5">
        <f t="shared" si="44"/>
        <v>0.15862794805920047</v>
      </c>
      <c r="W65" s="1"/>
      <c r="X65" s="1">
        <f t="shared" si="45"/>
        <v>-6097.010000000002</v>
      </c>
      <c r="Y65" s="1"/>
      <c r="Z65" s="5">
        <f t="shared" si="46"/>
        <v>-0.34048136402295642</v>
      </c>
    </row>
    <row r="66" spans="1:26" s="24" customFormat="1" hidden="1" outlineLevel="2" x14ac:dyDescent="0.25">
      <c r="A66" s="29"/>
      <c r="B66" s="11" t="str">
        <f>CONCATENATE("          ", "6373", " - ", "MAINTENANCE CONTRACTS")</f>
        <v xml:space="preserve">          6373 - MAINTENANCE CONTRACTS</v>
      </c>
      <c r="C66" s="11"/>
      <c r="D66" s="7">
        <v>5867.62</v>
      </c>
      <c r="E66" s="2"/>
      <c r="F66" s="6">
        <f t="shared" si="39"/>
        <v>6.0263195084636845E-2</v>
      </c>
      <c r="G66" s="2"/>
      <c r="H66" s="7">
        <v>9315.2900000000009</v>
      </c>
      <c r="I66" s="2"/>
      <c r="J66" s="6">
        <f t="shared" si="40"/>
        <v>9.4776651504231091E-2</v>
      </c>
      <c r="K66" s="2"/>
      <c r="L66" s="7">
        <f t="shared" si="41"/>
        <v>-3447.670000000001</v>
      </c>
      <c r="M66" s="2"/>
      <c r="N66" s="6">
        <f t="shared" si="42"/>
        <v>-0.37010871373838072</v>
      </c>
      <c r="O66" s="11"/>
      <c r="P66" s="7">
        <v>11810.02</v>
      </c>
      <c r="Q66" s="2"/>
      <c r="R66" s="6">
        <f t="shared" si="43"/>
        <v>0.11112630221504173</v>
      </c>
      <c r="S66" s="2"/>
      <c r="T66" s="7">
        <v>17907.030000000002</v>
      </c>
      <c r="U66" s="2"/>
      <c r="V66" s="6">
        <f t="shared" si="44"/>
        <v>0.15862794805920047</v>
      </c>
      <c r="W66" s="2"/>
      <c r="X66" s="7">
        <f t="shared" si="45"/>
        <v>-6097.010000000002</v>
      </c>
      <c r="Y66" s="2"/>
      <c r="Z66" s="6">
        <f t="shared" si="46"/>
        <v>-0.34048136402295642</v>
      </c>
    </row>
    <row r="67" spans="1:26" s="27" customFormat="1" outlineLevel="1" collapsed="1" x14ac:dyDescent="0.25">
      <c r="A67" s="28"/>
      <c r="B67" s="14" t="str">
        <f>CONCATENATE("     ","Royalty &amp; Commissions                             ")</f>
        <v xml:space="preserve">     Royalty &amp; Commissions                             </v>
      </c>
      <c r="C67" s="14"/>
      <c r="D67" s="1">
        <f>SUM(OSRRefD22_8x_0)</f>
        <v>3649.17</v>
      </c>
      <c r="E67" s="1"/>
      <c r="F67" s="5">
        <f t="shared" si="39"/>
        <v>3.7478678511390348E-2</v>
      </c>
      <c r="G67" s="1"/>
      <c r="H67" s="1">
        <f>SUM(OSRRefH22_8x_0)</f>
        <v>3705.24</v>
      </c>
      <c r="I67" s="1"/>
      <c r="J67" s="5">
        <f t="shared" si="40"/>
        <v>3.7698261698727267E-2</v>
      </c>
      <c r="K67" s="1"/>
      <c r="L67" s="1">
        <f t="shared" si="41"/>
        <v>-56.069999999999709</v>
      </c>
      <c r="M67" s="1"/>
      <c r="N67" s="5">
        <f t="shared" si="42"/>
        <v>-1.5132622987984507E-2</v>
      </c>
      <c r="O67" s="14"/>
      <c r="P67" s="1">
        <f>SUM(OSRRefP22_8x_0)</f>
        <v>4254.18</v>
      </c>
      <c r="Q67" s="1"/>
      <c r="R67" s="5">
        <f t="shared" si="43"/>
        <v>4.0029677541374716E-2</v>
      </c>
      <c r="S67" s="1"/>
      <c r="T67" s="1">
        <f>SUM(OSRRefT22_8x_0)</f>
        <v>4397.08</v>
      </c>
      <c r="U67" s="1"/>
      <c r="V67" s="5">
        <f t="shared" si="44"/>
        <v>3.8951170453846849E-2</v>
      </c>
      <c r="W67" s="1"/>
      <c r="X67" s="1">
        <f t="shared" si="45"/>
        <v>-142.89999999999964</v>
      </c>
      <c r="Y67" s="1"/>
      <c r="Z67" s="5">
        <f t="shared" si="46"/>
        <v>-3.2498840139365132E-2</v>
      </c>
    </row>
    <row r="68" spans="1:26" s="24" customFormat="1" hidden="1" outlineLevel="2" x14ac:dyDescent="0.25">
      <c r="A68" s="29"/>
      <c r="B68" s="11" t="str">
        <f>CONCATENATE("          ", "6259", " - ", "ROYALTY &amp; COMMISSIONS")</f>
        <v xml:space="preserve">          6259 - ROYALTY &amp; COMMISSIONS</v>
      </c>
      <c r="C68" s="11"/>
      <c r="D68" s="7">
        <v>3649.17</v>
      </c>
      <c r="E68" s="2"/>
      <c r="F68" s="6">
        <f t="shared" si="39"/>
        <v>3.7478678511390348E-2</v>
      </c>
      <c r="G68" s="2"/>
      <c r="H68" s="7">
        <v>3705.24</v>
      </c>
      <c r="I68" s="2"/>
      <c r="J68" s="6">
        <f t="shared" si="40"/>
        <v>3.7698261698727267E-2</v>
      </c>
      <c r="K68" s="2"/>
      <c r="L68" s="7">
        <f t="shared" si="41"/>
        <v>-56.069999999999709</v>
      </c>
      <c r="M68" s="2"/>
      <c r="N68" s="6">
        <f t="shared" si="42"/>
        <v>-1.5132622987984507E-2</v>
      </c>
      <c r="O68" s="11"/>
      <c r="P68" s="7">
        <v>4254.18</v>
      </c>
      <c r="Q68" s="2"/>
      <c r="R68" s="6">
        <f t="shared" si="43"/>
        <v>4.0029677541374716E-2</v>
      </c>
      <c r="S68" s="2"/>
      <c r="T68" s="7">
        <v>4397.08</v>
      </c>
      <c r="U68" s="2"/>
      <c r="V68" s="6">
        <f t="shared" si="44"/>
        <v>3.8951170453846849E-2</v>
      </c>
      <c r="W68" s="2"/>
      <c r="X68" s="7">
        <f t="shared" si="45"/>
        <v>-142.89999999999964</v>
      </c>
      <c r="Y68" s="2"/>
      <c r="Z68" s="6">
        <f t="shared" si="46"/>
        <v>-3.2498840139365132E-2</v>
      </c>
    </row>
    <row r="69" spans="1:26" s="27" customFormat="1" outlineLevel="1" collapsed="1" x14ac:dyDescent="0.25">
      <c r="A69" s="28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SUM(OSRRefD22_9x_0)</f>
        <v>3797.9</v>
      </c>
      <c r="E69" s="1"/>
      <c r="F69" s="5">
        <f t="shared" si="39"/>
        <v>3.9006205005085927E-2</v>
      </c>
      <c r="G69" s="1"/>
      <c r="H69" s="1">
        <f>SUM(OSRRefH22_9x_0)</f>
        <v>710.01</v>
      </c>
      <c r="I69" s="1"/>
      <c r="J69" s="5">
        <f t="shared" si="40"/>
        <v>7.2238620949556165E-3</v>
      </c>
      <c r="K69" s="1"/>
      <c r="L69" s="1">
        <f t="shared" si="41"/>
        <v>3087.8900000000003</v>
      </c>
      <c r="M69" s="1"/>
      <c r="N69" s="5">
        <f t="shared" si="42"/>
        <v>4.3490795904283042</v>
      </c>
      <c r="O69" s="14"/>
      <c r="P69" s="1">
        <f>SUM(OSRRefP22_9x_0)</f>
        <v>7293.59</v>
      </c>
      <c r="Q69" s="1"/>
      <c r="R69" s="5">
        <f t="shared" si="43"/>
        <v>6.8628985096774286E-2</v>
      </c>
      <c r="S69" s="1"/>
      <c r="T69" s="1">
        <f>SUM(OSRRefT22_9x_0)</f>
        <v>5153.1400000000003</v>
      </c>
      <c r="U69" s="1"/>
      <c r="V69" s="5">
        <f t="shared" si="44"/>
        <v>4.5648665594561925E-2</v>
      </c>
      <c r="W69" s="1"/>
      <c r="X69" s="1">
        <f t="shared" si="45"/>
        <v>2140.4499999999998</v>
      </c>
      <c r="Y69" s="1"/>
      <c r="Z69" s="5">
        <f t="shared" si="46"/>
        <v>0.41536810565985005</v>
      </c>
    </row>
    <row r="70" spans="1:26" s="24" customFormat="1" hidden="1" outlineLevel="2" x14ac:dyDescent="0.25">
      <c r="A70" s="29"/>
      <c r="B70" s="11" t="str">
        <f>CONCATENATE("          ", "6234", " - ", "EXPENDABLE SUPPLIES &amp; EQUIPMEN")</f>
        <v xml:space="preserve">          6234 - EXPENDABLE SUPPLIES &amp; EQUIPMEN</v>
      </c>
      <c r="C70" s="11"/>
      <c r="D70" s="7">
        <v>1000</v>
      </c>
      <c r="E70" s="2"/>
      <c r="F70" s="6">
        <f t="shared" si="39"/>
        <v>1.0270466574971939E-2</v>
      </c>
      <c r="G70" s="2"/>
      <c r="H70" s="7">
        <v>856.68</v>
      </c>
      <c r="I70" s="2"/>
      <c r="J70" s="6">
        <f t="shared" si="40"/>
        <v>8.7161281946825792E-3</v>
      </c>
      <c r="K70" s="2"/>
      <c r="L70" s="7">
        <f t="shared" si="41"/>
        <v>143.32000000000005</v>
      </c>
      <c r="M70" s="2"/>
      <c r="N70" s="6">
        <f t="shared" si="42"/>
        <v>0.16729700705047398</v>
      </c>
      <c r="O70" s="11"/>
      <c r="P70" s="7">
        <v>1017.27</v>
      </c>
      <c r="Q70" s="2"/>
      <c r="R70" s="6">
        <f t="shared" si="43"/>
        <v>9.5719950901264773E-3</v>
      </c>
      <c r="S70" s="2"/>
      <c r="T70" s="7">
        <v>856.68</v>
      </c>
      <c r="U70" s="2"/>
      <c r="V70" s="6">
        <f t="shared" si="44"/>
        <v>7.5888291103190109E-3</v>
      </c>
      <c r="W70" s="2"/>
      <c r="X70" s="7">
        <f t="shared" si="45"/>
        <v>160.59000000000003</v>
      </c>
      <c r="Y70" s="2"/>
      <c r="Z70" s="6">
        <f t="shared" si="46"/>
        <v>0.18745622636223566</v>
      </c>
    </row>
    <row r="71" spans="1:26" s="24" customFormat="1" hidden="1" outlineLevel="2" x14ac:dyDescent="0.25">
      <c r="A71" s="29"/>
      <c r="B71" s="11" t="str">
        <f>CONCATENATE("          ", "6241", " - ", "OFFICE EXPENSE")</f>
        <v xml:space="preserve">          6241 - OFFICE EXPENSE</v>
      </c>
      <c r="C71" s="11"/>
      <c r="D71" s="7">
        <v>27.61</v>
      </c>
      <c r="E71" s="2"/>
      <c r="F71" s="6">
        <f t="shared" si="39"/>
        <v>2.8356758213497518E-4</v>
      </c>
      <c r="G71" s="2"/>
      <c r="H71" s="7"/>
      <c r="I71" s="2"/>
      <c r="J71" s="6">
        <f t="shared" si="40"/>
        <v>0</v>
      </c>
      <c r="K71" s="2"/>
      <c r="L71" s="7">
        <f t="shared" si="41"/>
        <v>27.61</v>
      </c>
      <c r="M71" s="2"/>
      <c r="N71" s="6">
        <f t="shared" si="42"/>
        <v>0</v>
      </c>
      <c r="O71" s="11"/>
      <c r="P71" s="7">
        <v>27.61</v>
      </c>
      <c r="Q71" s="2"/>
      <c r="R71" s="6">
        <f t="shared" si="43"/>
        <v>2.5979610569307264E-4</v>
      </c>
      <c r="S71" s="2"/>
      <c r="T71" s="7">
        <v>1.59</v>
      </c>
      <c r="U71" s="2"/>
      <c r="V71" s="6">
        <f t="shared" si="44"/>
        <v>1.40848838369137E-5</v>
      </c>
      <c r="W71" s="2"/>
      <c r="X71" s="7">
        <f t="shared" si="45"/>
        <v>26.02</v>
      </c>
      <c r="Y71" s="2"/>
      <c r="Z71" s="6">
        <f t="shared" si="46"/>
        <v>16.364779874213834</v>
      </c>
    </row>
    <row r="72" spans="1:26" s="24" customFormat="1" hidden="1" outlineLevel="2" x14ac:dyDescent="0.25">
      <c r="A72" s="29"/>
      <c r="B72" s="11" t="str">
        <f>CONCATENATE("          ", "6243", " - ", "PAPER SUPPLIES")</f>
        <v xml:space="preserve">          6243 - PAPER SUPPLIES</v>
      </c>
      <c r="C72" s="11"/>
      <c r="D72" s="7">
        <v>1496.95</v>
      </c>
      <c r="E72" s="2"/>
      <c r="F72" s="6">
        <f t="shared" si="39"/>
        <v>1.5374374939404243E-2</v>
      </c>
      <c r="G72" s="2"/>
      <c r="H72" s="7">
        <v>-154.74</v>
      </c>
      <c r="I72" s="2"/>
      <c r="J72" s="6">
        <f t="shared" si="40"/>
        <v>-1.5743727842895624E-3</v>
      </c>
      <c r="K72" s="2"/>
      <c r="L72" s="7">
        <f t="shared" si="41"/>
        <v>1651.69</v>
      </c>
      <c r="M72" s="2"/>
      <c r="N72" s="6">
        <f t="shared" si="42"/>
        <v>-10.67396923872302</v>
      </c>
      <c r="O72" s="11"/>
      <c r="P72" s="7">
        <v>2658.29</v>
      </c>
      <c r="Q72" s="2"/>
      <c r="R72" s="6">
        <f t="shared" si="43"/>
        <v>2.5013161528534521E-2</v>
      </c>
      <c r="S72" s="2"/>
      <c r="T72" s="7">
        <v>2282.29</v>
      </c>
      <c r="U72" s="2"/>
      <c r="V72" s="6">
        <f t="shared" si="44"/>
        <v>2.0217477693175955E-2</v>
      </c>
      <c r="W72" s="2"/>
      <c r="X72" s="7">
        <f t="shared" si="45"/>
        <v>376</v>
      </c>
      <c r="Y72" s="2"/>
      <c r="Z72" s="6">
        <f t="shared" si="46"/>
        <v>0.16474681131670385</v>
      </c>
    </row>
    <row r="73" spans="1:26" s="24" customFormat="1" hidden="1" outlineLevel="2" x14ac:dyDescent="0.25">
      <c r="A73" s="29"/>
      <c r="B73" s="11" t="str">
        <f>CONCATENATE("          ", "6245", " - ", "PRINTING")</f>
        <v xml:space="preserve">          6245 - PRINTING</v>
      </c>
      <c r="C73" s="11"/>
      <c r="D73" s="7">
        <v>-12.7</v>
      </c>
      <c r="E73" s="2"/>
      <c r="F73" s="6">
        <f t="shared" si="39"/>
        <v>-1.3043492550214361E-4</v>
      </c>
      <c r="G73" s="2"/>
      <c r="H73" s="7">
        <v>8.07</v>
      </c>
      <c r="I73" s="2"/>
      <c r="J73" s="6">
        <f t="shared" si="40"/>
        <v>8.2106684562600294E-5</v>
      </c>
      <c r="K73" s="2"/>
      <c r="L73" s="7">
        <f t="shared" si="41"/>
        <v>-20.77</v>
      </c>
      <c r="M73" s="2"/>
      <c r="N73" s="6">
        <f t="shared" si="42"/>
        <v>-2.5737298636926886</v>
      </c>
      <c r="O73" s="11"/>
      <c r="P73" s="7">
        <v>-12.7</v>
      </c>
      <c r="Q73" s="2"/>
      <c r="R73" s="6">
        <f t="shared" si="43"/>
        <v>-1.195005629229273E-4</v>
      </c>
      <c r="S73" s="2"/>
      <c r="T73" s="7">
        <v>10.69</v>
      </c>
      <c r="U73" s="2"/>
      <c r="V73" s="6">
        <f t="shared" si="44"/>
        <v>9.4696483155099021E-5</v>
      </c>
      <c r="W73" s="2"/>
      <c r="X73" s="7">
        <f t="shared" si="45"/>
        <v>-23.39</v>
      </c>
      <c r="Y73" s="2"/>
      <c r="Z73" s="6">
        <f t="shared" si="46"/>
        <v>-2.1880261927034614</v>
      </c>
    </row>
    <row r="74" spans="1:26" s="24" customFormat="1" hidden="1" outlineLevel="2" x14ac:dyDescent="0.25">
      <c r="A74" s="29"/>
      <c r="B74" s="11" t="str">
        <f>CONCATENATE("          ", "6247", " - ", "STORE SUPPLIES")</f>
        <v xml:space="preserve">          6247 - STORE SUPPLIES</v>
      </c>
      <c r="C74" s="11"/>
      <c r="D74" s="7">
        <v>1286.04</v>
      </c>
      <c r="E74" s="2"/>
      <c r="F74" s="6">
        <f t="shared" si="39"/>
        <v>1.3208230834076911E-2</v>
      </c>
      <c r="G74" s="2"/>
      <c r="H74" s="7"/>
      <c r="I74" s="2"/>
      <c r="J74" s="6">
        <f t="shared" si="40"/>
        <v>0</v>
      </c>
      <c r="K74" s="2"/>
      <c r="L74" s="7">
        <f t="shared" si="41"/>
        <v>1286.04</v>
      </c>
      <c r="M74" s="2"/>
      <c r="N74" s="6">
        <f t="shared" si="42"/>
        <v>0</v>
      </c>
      <c r="O74" s="11"/>
      <c r="P74" s="7">
        <v>3603.12</v>
      </c>
      <c r="Q74" s="2"/>
      <c r="R74" s="6">
        <f t="shared" si="43"/>
        <v>3.3903532935343136E-2</v>
      </c>
      <c r="S74" s="2"/>
      <c r="T74" s="7">
        <v>2001.89</v>
      </c>
      <c r="U74" s="2"/>
      <c r="V74" s="6">
        <f t="shared" si="44"/>
        <v>1.7733577424074949E-2</v>
      </c>
      <c r="W74" s="2"/>
      <c r="X74" s="7">
        <f t="shared" si="45"/>
        <v>1601.2299999999998</v>
      </c>
      <c r="Y74" s="2"/>
      <c r="Z74" s="6">
        <f t="shared" si="46"/>
        <v>0.7998591331192022</v>
      </c>
    </row>
    <row r="75" spans="1:26" s="27" customFormat="1" outlineLevel="1" collapsed="1" x14ac:dyDescent="0.25">
      <c r="A75" s="28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SUM(OSRRefD22_10x_0)</f>
        <v>199.6</v>
      </c>
      <c r="E75" s="1"/>
      <c r="F75" s="5">
        <f t="shared" ref="F75:F76" si="47">IF(D$12=0,0,D75/D$12)</f>
        <v>2.0499851283643988E-3</v>
      </c>
      <c r="G75" s="1"/>
      <c r="H75" s="1">
        <f>SUM(OSRRefH22_10x_0)</f>
        <v>306.64999999999998</v>
      </c>
      <c r="I75" s="1"/>
      <c r="J75" s="5">
        <f t="shared" ref="J75:J76" si="48">IF(H$12=0,0,H75/H$12)</f>
        <v>3.1199522702752636E-3</v>
      </c>
      <c r="K75" s="1"/>
      <c r="L75" s="1">
        <f t="shared" ref="L75:L76" si="49">+D75-H75</f>
        <v>-107.04999999999998</v>
      </c>
      <c r="M75" s="1"/>
      <c r="N75" s="5">
        <f t="shared" ref="N75:N76" si="50">IF(H75=0,0,L75/H75)</f>
        <v>-0.34909505951410402</v>
      </c>
      <c r="O75" s="14"/>
      <c r="P75" s="1">
        <f>SUM(OSRRefP22_10x_0)</f>
        <v>392.05</v>
      </c>
      <c r="Q75" s="1"/>
      <c r="R75" s="5">
        <f t="shared" ref="R75:R76" si="51">IF(P$12=0,0,P75/P$12)</f>
        <v>3.6889917869239093E-3</v>
      </c>
      <c r="S75" s="1"/>
      <c r="T75" s="1">
        <f>SUM(OSRRefT22_10x_0)</f>
        <v>705.45</v>
      </c>
      <c r="U75" s="1"/>
      <c r="V75" s="5">
        <f t="shared" ref="V75:V76" si="52">IF(T$12=0,0,T75/T$12)</f>
        <v>6.2491706306608613E-3</v>
      </c>
      <c r="W75" s="1"/>
      <c r="X75" s="1">
        <f t="shared" ref="X75:X76" si="53">+P75-T75</f>
        <v>-313.40000000000003</v>
      </c>
      <c r="Y75" s="1"/>
      <c r="Z75" s="5">
        <f t="shared" ref="Z75:Z76" si="54">IF(T75=0,0,X75/T75)</f>
        <v>-0.44425543979020488</v>
      </c>
    </row>
    <row r="76" spans="1:26" s="24" customFormat="1" hidden="1" outlineLevel="2" x14ac:dyDescent="0.25">
      <c r="A76" s="29"/>
      <c r="B76" s="11" t="str">
        <f>CONCATENATE("          ", "6309", " - ", "TELEPHONE")</f>
        <v xml:space="preserve">          6309 - TELEPHONE</v>
      </c>
      <c r="C76" s="11"/>
      <c r="D76" s="7">
        <v>199.6</v>
      </c>
      <c r="E76" s="2"/>
      <c r="F76" s="6">
        <f t="shared" si="47"/>
        <v>2.0499851283643988E-3</v>
      </c>
      <c r="G76" s="2"/>
      <c r="H76" s="7">
        <v>306.64999999999998</v>
      </c>
      <c r="I76" s="2"/>
      <c r="J76" s="6">
        <f t="shared" si="48"/>
        <v>3.1199522702752636E-3</v>
      </c>
      <c r="K76" s="2"/>
      <c r="L76" s="7">
        <f t="shared" si="49"/>
        <v>-107.04999999999998</v>
      </c>
      <c r="M76" s="2"/>
      <c r="N76" s="6">
        <f t="shared" si="50"/>
        <v>-0.34909505951410402</v>
      </c>
      <c r="O76" s="11"/>
      <c r="P76" s="7">
        <v>392.05</v>
      </c>
      <c r="Q76" s="2"/>
      <c r="R76" s="6">
        <f t="shared" si="51"/>
        <v>3.6889917869239093E-3</v>
      </c>
      <c r="S76" s="2"/>
      <c r="T76" s="7">
        <v>705.45</v>
      </c>
      <c r="U76" s="2"/>
      <c r="V76" s="6">
        <f t="shared" si="52"/>
        <v>6.2491706306608613E-3</v>
      </c>
      <c r="W76" s="2"/>
      <c r="X76" s="7">
        <f t="shared" si="53"/>
        <v>-313.40000000000003</v>
      </c>
      <c r="Y76" s="2"/>
      <c r="Z76" s="6">
        <f t="shared" si="54"/>
        <v>-0.44425543979020488</v>
      </c>
    </row>
    <row r="77" spans="1:26" s="62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25">
      <c r="A78" s="10"/>
      <c r="B78" s="25" t="s">
        <v>0</v>
      </c>
      <c r="C78" s="10"/>
      <c r="D78" s="4">
        <f>SUM(OSRRefD25x_0)</f>
        <v>36231.15</v>
      </c>
      <c r="E78" s="4"/>
      <c r="F78" s="12">
        <f t="shared" ref="F78:F83" si="55">IF(D$12=0,0,D78/D$12)</f>
        <v>0.37211081504779453</v>
      </c>
      <c r="G78" s="4"/>
      <c r="H78" s="4">
        <f>SUM(OSRRefH25x_0)</f>
        <v>12263</v>
      </c>
      <c r="I78" s="4"/>
      <c r="J78" s="12">
        <f t="shared" ref="J78:J83" si="56">IF(H$12=0,0,H78/H$12)</f>
        <v>0.12476756787994638</v>
      </c>
      <c r="K78" s="4"/>
      <c r="L78" s="4">
        <f t="shared" ref="L78:L83" si="57">+D78-H78</f>
        <v>23968.15</v>
      </c>
      <c r="M78" s="4"/>
      <c r="N78" s="12">
        <f t="shared" ref="N78:N83" si="58">IF(H78=0,0,L78/H78)</f>
        <v>1.9545095001223194</v>
      </c>
      <c r="O78" s="10"/>
      <c r="P78" s="4">
        <f>SUM(OSRRefP25x_0)</f>
        <v>49829.85</v>
      </c>
      <c r="Q78" s="4"/>
      <c r="R78" s="12">
        <f t="shared" ref="R78:R83" si="59">IF(P$12=0,0,P78/P$12)</f>
        <v>0.46887363191850623</v>
      </c>
      <c r="S78" s="4"/>
      <c r="T78" s="4">
        <f>SUM(OSRRefT25x_0)</f>
        <v>24691</v>
      </c>
      <c r="U78" s="4"/>
      <c r="V78" s="12">
        <f t="shared" ref="V78:V83" si="60">IF(T$12=0,0,T78/T$12)</f>
        <v>0.21872318667750701</v>
      </c>
      <c r="W78" s="4"/>
      <c r="X78" s="4">
        <f t="shared" ref="X78:X83" si="61">+P78-T78</f>
        <v>25138.85</v>
      </c>
      <c r="Y78" s="4"/>
      <c r="Z78" s="12">
        <f t="shared" ref="Z78:Z83" si="62">IF(T78=0,0,X78/T78)</f>
        <v>1.0181381880037259</v>
      </c>
    </row>
    <row r="79" spans="1:26" s="24" customFormat="1" hidden="1" outlineLevel="1" x14ac:dyDescent="0.25">
      <c r="A79" s="50"/>
      <c r="B79" s="11" t="str">
        <f>CONCATENATE("          ", "4098", " - ", "TAXABLE SALES-GRAD RENTALS")</f>
        <v xml:space="preserve">          4098 - TAXABLE SALES-GRAD RENTALS</v>
      </c>
      <c r="C79" s="11"/>
      <c r="D79" s="2">
        <f>--1552.15</f>
        <v>1552.15</v>
      </c>
      <c r="E79" s="2"/>
      <c r="F79" s="21">
        <f t="shared" si="55"/>
        <v>1.5941304694342694E-2</v>
      </c>
      <c r="G79" s="2"/>
      <c r="H79" s="2">
        <f>0</f>
        <v>0</v>
      </c>
      <c r="I79" s="2"/>
      <c r="J79" s="21">
        <f t="shared" si="56"/>
        <v>0</v>
      </c>
      <c r="K79" s="2"/>
      <c r="L79" s="2">
        <f t="shared" si="57"/>
        <v>1552.15</v>
      </c>
      <c r="M79" s="2"/>
      <c r="N79" s="21">
        <f t="shared" si="58"/>
        <v>0</v>
      </c>
      <c r="O79" s="11"/>
      <c r="P79" s="2">
        <f>--1626.85</f>
        <v>1626.85</v>
      </c>
      <c r="Q79" s="2"/>
      <c r="R79" s="21">
        <f t="shared" si="59"/>
        <v>1.5307833920564116E-2</v>
      </c>
      <c r="S79" s="2"/>
      <c r="T79" s="2">
        <f>0</f>
        <v>0</v>
      </c>
      <c r="U79" s="2"/>
      <c r="V79" s="21">
        <f t="shared" si="60"/>
        <v>0</v>
      </c>
      <c r="W79" s="2"/>
      <c r="X79" s="2">
        <f t="shared" si="61"/>
        <v>1626.85</v>
      </c>
      <c r="Y79" s="2"/>
      <c r="Z79" s="21">
        <f t="shared" si="62"/>
        <v>0</v>
      </c>
    </row>
    <row r="80" spans="1:26" s="24" customFormat="1" hidden="1" outlineLevel="1" x14ac:dyDescent="0.25">
      <c r="A80" s="50"/>
      <c r="B80" s="11" t="str">
        <f>CONCATENATE("          ", "4197", " - ", "NON-TAXABLE SALES-RETURNED CHE")</f>
        <v xml:space="preserve">          4197 - NON-TAXABLE SALES-RETURNED CHE</v>
      </c>
      <c r="C80" s="11"/>
      <c r="D80" s="2">
        <f>--30</f>
        <v>30</v>
      </c>
      <c r="E80" s="2"/>
      <c r="F80" s="21">
        <f t="shared" si="55"/>
        <v>3.0811399724915814E-4</v>
      </c>
      <c r="G80" s="2"/>
      <c r="H80" s="2">
        <f>--120</f>
        <v>120</v>
      </c>
      <c r="I80" s="2"/>
      <c r="J80" s="21">
        <f t="shared" si="56"/>
        <v>1.2209172425665469E-3</v>
      </c>
      <c r="K80" s="2"/>
      <c r="L80" s="2">
        <f t="shared" si="57"/>
        <v>-90</v>
      </c>
      <c r="M80" s="2"/>
      <c r="N80" s="21">
        <f t="shared" si="58"/>
        <v>-0.75</v>
      </c>
      <c r="O80" s="11"/>
      <c r="P80" s="2">
        <f>--30</f>
        <v>30</v>
      </c>
      <c r="Q80" s="2"/>
      <c r="R80" s="21">
        <f t="shared" si="59"/>
        <v>2.8228479430612749E-4</v>
      </c>
      <c r="S80" s="2"/>
      <c r="T80" s="2">
        <f>--120</f>
        <v>120</v>
      </c>
      <c r="U80" s="2"/>
      <c r="V80" s="21">
        <f t="shared" si="60"/>
        <v>1.0630101008991472E-3</v>
      </c>
      <c r="W80" s="2"/>
      <c r="X80" s="2">
        <f t="shared" si="61"/>
        <v>-90</v>
      </c>
      <c r="Y80" s="2"/>
      <c r="Z80" s="21">
        <f t="shared" si="62"/>
        <v>-0.75</v>
      </c>
    </row>
    <row r="81" spans="1:26" s="24" customFormat="1" hidden="1" outlineLevel="1" x14ac:dyDescent="0.25">
      <c r="A81" s="50"/>
      <c r="B81" s="11" t="str">
        <f>CONCATENATE("          ", "4198", " - ", "NON-TAXABLE SALES-GRAD RENTALS")</f>
        <v xml:space="preserve">          4198 - NON-TAXABLE SALES-GRAD RENTALS</v>
      </c>
      <c r="C81" s="11"/>
      <c r="D81" s="2">
        <f>--210</f>
        <v>210</v>
      </c>
      <c r="E81" s="2"/>
      <c r="F81" s="21">
        <f t="shared" si="55"/>
        <v>2.1567979807441072E-3</v>
      </c>
      <c r="G81" s="2"/>
      <c r="H81" s="2">
        <f>--60</f>
        <v>60</v>
      </c>
      <c r="I81" s="2"/>
      <c r="J81" s="21">
        <f t="shared" si="56"/>
        <v>6.1045862128327345E-4</v>
      </c>
      <c r="K81" s="2"/>
      <c r="L81" s="2">
        <f t="shared" si="57"/>
        <v>150</v>
      </c>
      <c r="M81" s="2"/>
      <c r="N81" s="21">
        <f t="shared" si="58"/>
        <v>2.5</v>
      </c>
      <c r="O81" s="11"/>
      <c r="P81" s="2">
        <f>--465</f>
        <v>465</v>
      </c>
      <c r="Q81" s="2"/>
      <c r="R81" s="21">
        <f t="shared" si="59"/>
        <v>4.3754143117449764E-3</v>
      </c>
      <c r="S81" s="2"/>
      <c r="T81" s="2">
        <f>--405</f>
        <v>405</v>
      </c>
      <c r="U81" s="2"/>
      <c r="V81" s="21">
        <f t="shared" si="60"/>
        <v>3.5876590905346215E-3</v>
      </c>
      <c r="W81" s="2"/>
      <c r="X81" s="2">
        <f t="shared" si="61"/>
        <v>60</v>
      </c>
      <c r="Y81" s="2"/>
      <c r="Z81" s="21">
        <f t="shared" si="62"/>
        <v>0.14814814814814814</v>
      </c>
    </row>
    <row r="82" spans="1:26" s="24" customFormat="1" hidden="1" outlineLevel="1" x14ac:dyDescent="0.25">
      <c r="A82" s="50"/>
      <c r="B82" s="11" t="str">
        <f>CONCATENATE("          ", "9150", " - ", "MISC. INCOME")</f>
        <v xml:space="preserve">          9150 - MISC. INCOME</v>
      </c>
      <c r="C82" s="11"/>
      <c r="D82" s="2">
        <f>--13269</f>
        <v>13269</v>
      </c>
      <c r="E82" s="2"/>
      <c r="F82" s="21">
        <f t="shared" si="55"/>
        <v>0.13627882098330266</v>
      </c>
      <c r="G82" s="2"/>
      <c r="H82" s="2">
        <f>--12083</f>
        <v>12083</v>
      </c>
      <c r="I82" s="2"/>
      <c r="J82" s="21">
        <f t="shared" si="56"/>
        <v>0.12293619201609657</v>
      </c>
      <c r="K82" s="2"/>
      <c r="L82" s="2">
        <f t="shared" si="57"/>
        <v>1186</v>
      </c>
      <c r="M82" s="2"/>
      <c r="N82" s="21">
        <f t="shared" si="58"/>
        <v>9.8154431846395759E-2</v>
      </c>
      <c r="O82" s="11"/>
      <c r="P82" s="2">
        <f>--26538</f>
        <v>26538</v>
      </c>
      <c r="Q82" s="2"/>
      <c r="R82" s="21">
        <f t="shared" si="59"/>
        <v>0.24970912904320036</v>
      </c>
      <c r="S82" s="2"/>
      <c r="T82" s="2">
        <f>--24166</f>
        <v>24166</v>
      </c>
      <c r="U82" s="2"/>
      <c r="V82" s="21">
        <f t="shared" si="60"/>
        <v>0.21407251748607325</v>
      </c>
      <c r="W82" s="2"/>
      <c r="X82" s="2">
        <f t="shared" si="61"/>
        <v>2372</v>
      </c>
      <c r="Y82" s="2"/>
      <c r="Z82" s="21">
        <f t="shared" si="62"/>
        <v>9.8154431846395759E-2</v>
      </c>
    </row>
    <row r="83" spans="1:26" s="24" customFormat="1" hidden="1" outlineLevel="1" x14ac:dyDescent="0.25">
      <c r="A83" s="50"/>
      <c r="B83" s="11" t="str">
        <f>CONCATENATE("          ", "9160", " - ", "MISC. INCOME")</f>
        <v xml:space="preserve">          9160 - MISC. INCOME</v>
      </c>
      <c r="C83" s="11"/>
      <c r="D83" s="2">
        <f>--21170</f>
        <v>21170</v>
      </c>
      <c r="E83" s="2"/>
      <c r="F83" s="21">
        <f t="shared" si="55"/>
        <v>0.21742577739215593</v>
      </c>
      <c r="G83" s="2"/>
      <c r="H83" s="2">
        <f>0</f>
        <v>0</v>
      </c>
      <c r="I83" s="2"/>
      <c r="J83" s="21">
        <f t="shared" si="56"/>
        <v>0</v>
      </c>
      <c r="K83" s="2"/>
      <c r="L83" s="2">
        <f t="shared" si="57"/>
        <v>21170</v>
      </c>
      <c r="M83" s="2"/>
      <c r="N83" s="21">
        <f t="shared" si="58"/>
        <v>0</v>
      </c>
      <c r="O83" s="11"/>
      <c r="P83" s="2">
        <f>--21170</f>
        <v>21170</v>
      </c>
      <c r="Q83" s="2"/>
      <c r="R83" s="21">
        <f t="shared" si="59"/>
        <v>0.19919896984869062</v>
      </c>
      <c r="S83" s="2"/>
      <c r="T83" s="2">
        <f>0</f>
        <v>0</v>
      </c>
      <c r="U83" s="2"/>
      <c r="V83" s="21">
        <f t="shared" si="60"/>
        <v>0</v>
      </c>
      <c r="W83" s="2"/>
      <c r="X83" s="2">
        <f t="shared" si="61"/>
        <v>21170</v>
      </c>
      <c r="Y83" s="2"/>
      <c r="Z83" s="21">
        <f t="shared" si="62"/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6" t="s">
        <v>3</v>
      </c>
      <c r="C85" s="26"/>
      <c r="D85" s="20">
        <f>+D37-D39+D78</f>
        <v>105707.90000000002</v>
      </c>
      <c r="E85" s="13"/>
      <c r="F85" s="19">
        <f>IF(D$12=0,0,D85/D$12)</f>
        <v>1.0856694536604763</v>
      </c>
      <c r="G85" s="13"/>
      <c r="H85" s="20">
        <f>+H37-H39+H78</f>
        <v>79261.150000000009</v>
      </c>
      <c r="I85" s="13"/>
      <c r="J85" s="19">
        <f>IF(H$12=0,0,H85/H$12)</f>
        <v>0.8064275391721123</v>
      </c>
      <c r="K85" s="15"/>
      <c r="L85" s="20">
        <f>+D85-H85</f>
        <v>26446.750000000015</v>
      </c>
      <c r="M85" s="15"/>
      <c r="N85" s="19">
        <f>IF(H85=0,0,L85/H85)</f>
        <v>0.33366598894918897</v>
      </c>
      <c r="O85" s="25"/>
      <c r="P85" s="20">
        <f>+P37-P39+P78</f>
        <v>92427.88</v>
      </c>
      <c r="Q85" s="13"/>
      <c r="R85" s="19">
        <f>IF(P$12=0,0,P85/P$12)</f>
        <v>0.86969950313171451</v>
      </c>
      <c r="S85" s="13"/>
      <c r="T85" s="20">
        <f>+T37-T39+T78</f>
        <v>64443.510000000024</v>
      </c>
      <c r="U85" s="13"/>
      <c r="V85" s="19">
        <f>IF(T$12=0,0,T85/T$12)</f>
        <v>0.57086751722829354</v>
      </c>
      <c r="W85" s="15"/>
      <c r="X85" s="20">
        <f>+P85-T85</f>
        <v>27984.369999999981</v>
      </c>
      <c r="Y85" s="15"/>
      <c r="Z85" s="19">
        <f>IF(T85=0,0,X85/T85)</f>
        <v>0.43424652071248093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11398.17</v>
      </c>
      <c r="E87" s="4"/>
      <c r="F87" s="12">
        <f>IF(D$12=0,0,D87/D$12)</f>
        <v>0.11706452400084789</v>
      </c>
      <c r="G87" s="4"/>
      <c r="H87" s="4">
        <v>8527.7900000000009</v>
      </c>
      <c r="I87" s="4"/>
      <c r="J87" s="12">
        <f>IF(H$12=0,0,H87/H$12)</f>
        <v>8.6764382099888127E-2</v>
      </c>
      <c r="K87" s="4"/>
      <c r="L87" s="4">
        <f>+D87-H87</f>
        <v>2870.3799999999992</v>
      </c>
      <c r="M87" s="4"/>
      <c r="N87" s="12">
        <f>IF(H87=0,0,L87/H87)</f>
        <v>0.33659130911994772</v>
      </c>
      <c r="O87" s="10"/>
      <c r="P87" s="4">
        <v>13250.64</v>
      </c>
      <c r="Q87" s="4"/>
      <c r="R87" s="12">
        <f>IF(P$12=0,0,P87/P$12)</f>
        <v>0.12468180622748483</v>
      </c>
      <c r="S87" s="4"/>
      <c r="T87" s="4">
        <v>11525.23</v>
      </c>
      <c r="U87" s="4"/>
      <c r="V87" s="12">
        <f>IF(T$12=0,0,T87/T$12)</f>
        <v>0.10209529920988231</v>
      </c>
      <c r="W87" s="4"/>
      <c r="X87" s="4">
        <f>+P87-T87</f>
        <v>1725.4099999999999</v>
      </c>
      <c r="Y87" s="4"/>
      <c r="Z87" s="12">
        <f>IF(T87=0,0,X87/T87)</f>
        <v>0.14970720757850384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6" t="s">
        <v>4</v>
      </c>
      <c r="C89" s="26"/>
      <c r="D89" s="31">
        <f>+D85-D87</f>
        <v>94309.730000000025</v>
      </c>
      <c r="E89" s="13"/>
      <c r="F89" s="36">
        <f>IF(D$12=0,0,D89/D$12)</f>
        <v>0.96860492965962852</v>
      </c>
      <c r="G89" s="13"/>
      <c r="H89" s="31">
        <f>+H85-H87</f>
        <v>70733.360000000015</v>
      </c>
      <c r="I89" s="13"/>
      <c r="J89" s="36">
        <f>IF(H$12=0,0,H89/H$12)</f>
        <v>0.71966315707222428</v>
      </c>
      <c r="K89" s="15"/>
      <c r="L89" s="31">
        <f>D89-H89</f>
        <v>23576.37000000001</v>
      </c>
      <c r="M89" s="15"/>
      <c r="N89" s="36">
        <f>IF(H89=0,0,L89/H89)</f>
        <v>0.33331330506567203</v>
      </c>
      <c r="O89" s="25"/>
      <c r="P89" s="31">
        <f>+P85-P87</f>
        <v>79177.240000000005</v>
      </c>
      <c r="Q89" s="13"/>
      <c r="R89" s="36">
        <f>IF(P$12=0,0,P89/P$12)</f>
        <v>0.7450176969042297</v>
      </c>
      <c r="S89" s="13"/>
      <c r="T89" s="31">
        <f>+T85-T87</f>
        <v>52918.280000000028</v>
      </c>
      <c r="U89" s="13"/>
      <c r="V89" s="36">
        <f>IF(T$12=0,0,T89/T$12)</f>
        <v>0.46877221801841124</v>
      </c>
      <c r="W89" s="15"/>
      <c r="X89" s="31">
        <f>P89-T89</f>
        <v>26258.959999999977</v>
      </c>
      <c r="Y89" s="15"/>
      <c r="Z89" s="36">
        <f>IF(T89=0,0,X89/T89)</f>
        <v>0.49621718619728311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5</v>
      </c>
      <c r="C92" s="26"/>
      <c r="D92" s="32">
        <f>SUM(D89:D91)</f>
        <v>94309.730000000025</v>
      </c>
      <c r="E92" s="13"/>
      <c r="F92" s="30">
        <f>IF(D$12=0,0,D92/D$12)</f>
        <v>0.96860492965962852</v>
      </c>
      <c r="G92" s="13"/>
      <c r="H92" s="32">
        <f>SUM(H89:H91)</f>
        <v>70733.360000000015</v>
      </c>
      <c r="I92" s="13"/>
      <c r="J92" s="30">
        <f>IF(H$12=0,0,H92/H$12)</f>
        <v>0.71966315707222428</v>
      </c>
      <c r="K92" s="15"/>
      <c r="L92" s="32">
        <f>+D92-H92</f>
        <v>23576.37000000001</v>
      </c>
      <c r="M92" s="15"/>
      <c r="N92" s="30">
        <f>IF(H92=0,0,L92/H92)</f>
        <v>0.33331330506567203</v>
      </c>
      <c r="O92" s="25"/>
      <c r="P92" s="32">
        <f>SUM(P89:P91)</f>
        <v>79177.240000000005</v>
      </c>
      <c r="Q92" s="13"/>
      <c r="R92" s="30">
        <f>IF(P$12=0,0,P92/P$12)</f>
        <v>0.7450176969042297</v>
      </c>
      <c r="S92" s="13"/>
      <c r="T92" s="32">
        <f>SUM(T89:T91)</f>
        <v>52918.280000000028</v>
      </c>
      <c r="U92" s="13"/>
      <c r="V92" s="30">
        <f>IF(T$12=0,0,T92/T$12)</f>
        <v>0.46877221801841124</v>
      </c>
      <c r="W92" s="15"/>
      <c r="X92" s="32">
        <f>+P92-T92</f>
        <v>26258.959999999977</v>
      </c>
      <c r="Y92" s="15"/>
      <c r="Z92" s="30">
        <f>IF(T92=0,0,X92/T92)</f>
        <v>0.49621718619728311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7">
        <v>43732.70924074074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60" t="s">
        <v>313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6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4:24" x14ac:dyDescent="0.25"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","316", " - ", "Campus Copy Center")</f>
        <v>Department 316 - Campus Copy Center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95870.160000000018</v>
      </c>
      <c r="E12" s="4"/>
      <c r="F12" s="12"/>
      <c r="G12" s="4"/>
      <c r="H12" s="4">
        <f>SUM(OSRRefH13x_0)</f>
        <v>97386.110000000015</v>
      </c>
      <c r="I12" s="4"/>
      <c r="J12" s="12"/>
      <c r="K12" s="4"/>
      <c r="L12" s="4">
        <f t="shared" ref="L12:L24" si="0">+D12-H12</f>
        <v>-1515.9499999999971</v>
      </c>
      <c r="M12" s="4"/>
      <c r="N12" s="12">
        <f t="shared" ref="N12:N24" si="1">IF(H12=0,0,L12/H12)</f>
        <v>-1.5566388266252722E-2</v>
      </c>
      <c r="O12" s="10"/>
      <c r="P12" s="4">
        <f>SUM(OSRRefP13x_0)</f>
        <v>102624.93000000001</v>
      </c>
      <c r="Q12" s="4"/>
      <c r="R12" s="12"/>
      <c r="S12" s="4"/>
      <c r="T12" s="4">
        <f>SUM(OSRRefT13x_0)</f>
        <v>108944.91</v>
      </c>
      <c r="U12" s="4"/>
      <c r="V12" s="12"/>
      <c r="W12" s="4"/>
      <c r="X12" s="4">
        <f t="shared" ref="X12:X24" si="2">+P12-T12</f>
        <v>-6319.9799999999959</v>
      </c>
      <c r="Y12" s="4"/>
      <c r="Z12" s="12">
        <f t="shared" ref="Z12:Z24" si="3">IF(T12=0,0,X12/T12)</f>
        <v>-5.8010787286895696E-2</v>
      </c>
    </row>
    <row r="13" spans="1:26" s="24" customFormat="1" hidden="1" outlineLevel="1" x14ac:dyDescent="0.25">
      <c r="A13" s="50"/>
      <c r="B13" s="11" t="str">
        <f>CONCATENATE("          ", "4041", " - ", "TAXABLE SALES-LOGO GIFTS")</f>
        <v xml:space="preserve">          4041 - TAXABLE SALES-LOGO GIFTS</v>
      </c>
      <c r="C13" s="11"/>
      <c r="D13" s="2">
        <f>--73904.1</f>
        <v>73904.100000000006</v>
      </c>
      <c r="E13" s="2"/>
      <c r="F13" s="21"/>
      <c r="G13" s="2"/>
      <c r="H13" s="2">
        <f>--75166.35</f>
        <v>75166.350000000006</v>
      </c>
      <c r="I13" s="2"/>
      <c r="J13" s="21"/>
      <c r="K13" s="2"/>
      <c r="L13" s="2">
        <f t="shared" si="0"/>
        <v>-1262.25</v>
      </c>
      <c r="M13" s="2"/>
      <c r="N13" s="21">
        <f t="shared" si="1"/>
        <v>-1.6792753672354718E-2</v>
      </c>
      <c r="O13" s="11"/>
      <c r="P13" s="2">
        <f>--74367.8</f>
        <v>74367.8</v>
      </c>
      <c r="Q13" s="2"/>
      <c r="R13" s="21"/>
      <c r="S13" s="2"/>
      <c r="T13" s="2">
        <f>--80043.95</f>
        <v>80043.95</v>
      </c>
      <c r="U13" s="2"/>
      <c r="V13" s="21"/>
      <c r="W13" s="2"/>
      <c r="X13" s="2">
        <f t="shared" si="2"/>
        <v>-5676.1499999999942</v>
      </c>
      <c r="Y13" s="2"/>
      <c r="Z13" s="21">
        <f t="shared" si="3"/>
        <v>-7.0912917216104335E-2</v>
      </c>
    </row>
    <row r="14" spans="1:26" s="24" customFormat="1" hidden="1" outlineLevel="1" x14ac:dyDescent="0.25">
      <c r="A14" s="50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--8017.07</f>
        <v>8017.07</v>
      </c>
      <c r="E14" s="2"/>
      <c r="F14" s="21"/>
      <c r="G14" s="2"/>
      <c r="H14" s="2">
        <f>--8616.44</f>
        <v>8616.44</v>
      </c>
      <c r="I14" s="2"/>
      <c r="J14" s="21"/>
      <c r="K14" s="2"/>
      <c r="L14" s="2">
        <f t="shared" si="0"/>
        <v>-599.3700000000008</v>
      </c>
      <c r="M14" s="2"/>
      <c r="N14" s="21">
        <f t="shared" si="1"/>
        <v>-6.9561210894522649E-2</v>
      </c>
      <c r="O14" s="11"/>
      <c r="P14" s="2">
        <f>--12076.99</f>
        <v>12076.99</v>
      </c>
      <c r="Q14" s="2"/>
      <c r="R14" s="21"/>
      <c r="S14" s="2"/>
      <c r="T14" s="2">
        <f>--12612.05</f>
        <v>12612.05</v>
      </c>
      <c r="U14" s="2"/>
      <c r="V14" s="21"/>
      <c r="W14" s="2"/>
      <c r="X14" s="2">
        <f t="shared" si="2"/>
        <v>-535.05999999999949</v>
      </c>
      <c r="Y14" s="2"/>
      <c r="Z14" s="21">
        <f t="shared" si="3"/>
        <v>-4.2424506721746226E-2</v>
      </c>
    </row>
    <row r="15" spans="1:26" s="24" customFormat="1" hidden="1" outlineLevel="1" x14ac:dyDescent="0.25">
      <c r="A15" s="50"/>
      <c r="B15" s="11" t="str">
        <f>CONCATENATE("          ", "4043", " - ", "TAXABLE SALES-CARDS")</f>
        <v xml:space="preserve">          4043 - TAXABLE SALES-CARDS</v>
      </c>
      <c r="C15" s="11"/>
      <c r="D15" s="2">
        <f>--61.71</f>
        <v>61.71</v>
      </c>
      <c r="E15" s="2"/>
      <c r="F15" s="21"/>
      <c r="G15" s="2"/>
      <c r="H15" s="2">
        <f>--119.57</f>
        <v>119.57</v>
      </c>
      <c r="I15" s="2"/>
      <c r="J15" s="21"/>
      <c r="K15" s="2"/>
      <c r="L15" s="2">
        <f t="shared" si="0"/>
        <v>-57.859999999999992</v>
      </c>
      <c r="M15" s="2"/>
      <c r="N15" s="21">
        <f t="shared" si="1"/>
        <v>-0.48390064397424098</v>
      </c>
      <c r="O15" s="11"/>
      <c r="P15" s="2">
        <f>--77.26</f>
        <v>77.260000000000005</v>
      </c>
      <c r="Q15" s="2"/>
      <c r="R15" s="21"/>
      <c r="S15" s="2"/>
      <c r="T15" s="2">
        <f>--206.57</f>
        <v>206.57</v>
      </c>
      <c r="U15" s="2"/>
      <c r="V15" s="21"/>
      <c r="W15" s="2"/>
      <c r="X15" s="2">
        <f t="shared" si="2"/>
        <v>-129.31</v>
      </c>
      <c r="Y15" s="2"/>
      <c r="Z15" s="21">
        <f t="shared" si="3"/>
        <v>-0.62598634845330881</v>
      </c>
    </row>
    <row r="16" spans="1:26" s="24" customFormat="1" hidden="1" outlineLevel="1" x14ac:dyDescent="0.25">
      <c r="A16" s="50"/>
      <c r="B16" s="11" t="str">
        <f>CONCATENATE("          ", "4047", " - ", "TAXABLE SALES-MISC")</f>
        <v xml:space="preserve">          4047 - TAXABLE SALES-MISC</v>
      </c>
      <c r="C16" s="11"/>
      <c r="D16" s="2">
        <f>--442.38</f>
        <v>442.38</v>
      </c>
      <c r="E16" s="2"/>
      <c r="F16" s="21"/>
      <c r="G16" s="2"/>
      <c r="H16" s="2">
        <f>--299.3</f>
        <v>299.3</v>
      </c>
      <c r="I16" s="2"/>
      <c r="J16" s="21"/>
      <c r="K16" s="2"/>
      <c r="L16" s="2">
        <f t="shared" si="0"/>
        <v>143.07999999999998</v>
      </c>
      <c r="M16" s="2"/>
      <c r="N16" s="21">
        <f t="shared" si="1"/>
        <v>0.4780487804878048</v>
      </c>
      <c r="O16" s="11"/>
      <c r="P16" s="2">
        <f>--482.38</f>
        <v>482.38</v>
      </c>
      <c r="Q16" s="2"/>
      <c r="R16" s="21"/>
      <c r="S16" s="2"/>
      <c r="T16" s="2">
        <f>--349.29</f>
        <v>349.29</v>
      </c>
      <c r="U16" s="2"/>
      <c r="V16" s="21"/>
      <c r="W16" s="2"/>
      <c r="X16" s="2">
        <f t="shared" si="2"/>
        <v>133.08999999999997</v>
      </c>
      <c r="Y16" s="2"/>
      <c r="Z16" s="21">
        <f t="shared" si="3"/>
        <v>0.38103008961035234</v>
      </c>
    </row>
    <row r="17" spans="1:26" s="24" customFormat="1" hidden="1" outlineLevel="1" x14ac:dyDescent="0.25">
      <c r="A17" s="50"/>
      <c r="B17" s="11" t="str">
        <f>CONCATENATE("          ", "4141", " - ", "NON-TAXABLE SALES-LOGO GIFTS")</f>
        <v xml:space="preserve">          4141 - NON-TAXABLE SALES-LOGO GIFTS</v>
      </c>
      <c r="C17" s="11"/>
      <c r="D17" s="2">
        <f>--169.45</f>
        <v>169.45</v>
      </c>
      <c r="E17" s="2"/>
      <c r="F17" s="21"/>
      <c r="G17" s="2"/>
      <c r="H17" s="2">
        <f>--776.3</f>
        <v>776.3</v>
      </c>
      <c r="I17" s="2"/>
      <c r="J17" s="21"/>
      <c r="K17" s="2"/>
      <c r="L17" s="2">
        <f t="shared" si="0"/>
        <v>-606.84999999999991</v>
      </c>
      <c r="M17" s="2"/>
      <c r="N17" s="21">
        <f t="shared" si="1"/>
        <v>-0.78172098415560987</v>
      </c>
      <c r="O17" s="11"/>
      <c r="P17" s="2">
        <f>--177.4</f>
        <v>177.4</v>
      </c>
      <c r="Q17" s="2"/>
      <c r="R17" s="21"/>
      <c r="S17" s="2"/>
      <c r="T17" s="2">
        <f>--784.25</f>
        <v>784.25</v>
      </c>
      <c r="U17" s="2"/>
      <c r="V17" s="21"/>
      <c r="W17" s="2"/>
      <c r="X17" s="2">
        <f t="shared" si="2"/>
        <v>-606.85</v>
      </c>
      <c r="Y17" s="2"/>
      <c r="Z17" s="21">
        <f t="shared" si="3"/>
        <v>-0.77379662097545432</v>
      </c>
    </row>
    <row r="18" spans="1:26" s="24" customFormat="1" hidden="1" outlineLevel="1" x14ac:dyDescent="0.25">
      <c r="A18" s="50"/>
      <c r="B18" s="11" t="str">
        <f>CONCATENATE("          ", "4142", " - ", "NON-TAXABLE SALES-EVERYDAY GIF")</f>
        <v xml:space="preserve">          4142 - NON-TAXABLE SALES-EVERYDAY GIF</v>
      </c>
      <c r="C18" s="11"/>
      <c r="D18" s="2">
        <f>--401</f>
        <v>401</v>
      </c>
      <c r="E18" s="2"/>
      <c r="F18" s="21"/>
      <c r="G18" s="2"/>
      <c r="H18" s="2">
        <f>--428.5</f>
        <v>428.5</v>
      </c>
      <c r="I18" s="2"/>
      <c r="J18" s="21"/>
      <c r="K18" s="2"/>
      <c r="L18" s="2">
        <f t="shared" si="0"/>
        <v>-27.5</v>
      </c>
      <c r="M18" s="2"/>
      <c r="N18" s="21">
        <f t="shared" si="1"/>
        <v>-6.4177362893815634E-2</v>
      </c>
      <c r="O18" s="11"/>
      <c r="P18" s="2">
        <f>--512</f>
        <v>512</v>
      </c>
      <c r="Q18" s="2"/>
      <c r="R18" s="21"/>
      <c r="S18" s="2"/>
      <c r="T18" s="2">
        <f>--570.5</f>
        <v>570.5</v>
      </c>
      <c r="U18" s="2"/>
      <c r="V18" s="21"/>
      <c r="W18" s="2"/>
      <c r="X18" s="2">
        <f t="shared" si="2"/>
        <v>-58.5</v>
      </c>
      <c r="Y18" s="2"/>
      <c r="Z18" s="21">
        <f t="shared" si="3"/>
        <v>-0.10254163014899212</v>
      </c>
    </row>
    <row r="19" spans="1:26" s="24" customFormat="1" hidden="1" outlineLevel="1" x14ac:dyDescent="0.25">
      <c r="A19" s="50"/>
      <c r="B19" s="11" t="str">
        <f>CONCATENATE("          ", "4146", " - ", "NON-TAXABLE SALES-COIN OP MACH")</f>
        <v xml:space="preserve">          4146 - NON-TAXABLE SALES-COIN OP MACH</v>
      </c>
      <c r="C19" s="11"/>
      <c r="D19" s="2">
        <f>--13281.65</f>
        <v>13281.65</v>
      </c>
      <c r="E19" s="2"/>
      <c r="F19" s="21"/>
      <c r="G19" s="2"/>
      <c r="H19" s="2">
        <f>--12322.4</f>
        <v>12322.4</v>
      </c>
      <c r="I19" s="2"/>
      <c r="J19" s="21"/>
      <c r="K19" s="2"/>
      <c r="L19" s="2">
        <f t="shared" si="0"/>
        <v>959.25</v>
      </c>
      <c r="M19" s="2"/>
      <c r="N19" s="21">
        <f t="shared" si="1"/>
        <v>7.7846036486398762E-2</v>
      </c>
      <c r="O19" s="11"/>
      <c r="P19" s="2">
        <f>--15348.75</f>
        <v>15348.75</v>
      </c>
      <c r="Q19" s="2"/>
      <c r="R19" s="21"/>
      <c r="S19" s="2"/>
      <c r="T19" s="2">
        <f>--14703.05</f>
        <v>14703.05</v>
      </c>
      <c r="U19" s="2"/>
      <c r="V19" s="21"/>
      <c r="W19" s="2"/>
      <c r="X19" s="2">
        <f t="shared" si="2"/>
        <v>645.70000000000073</v>
      </c>
      <c r="Y19" s="2"/>
      <c r="Z19" s="21">
        <f t="shared" si="3"/>
        <v>4.3916058232815691E-2</v>
      </c>
    </row>
    <row r="20" spans="1:26" s="24" customFormat="1" hidden="1" outlineLevel="1" x14ac:dyDescent="0.25">
      <c r="A20" s="50"/>
      <c r="B20" s="11" t="str">
        <f>CONCATENATE("          ", "4147", " - ", "NON-TAXABLE SALES-MISC")</f>
        <v xml:space="preserve">          4147 - NON-TAXABLE SALES-MISC</v>
      </c>
      <c r="C20" s="11"/>
      <c r="D20" s="2">
        <f>--53.9</f>
        <v>53.9</v>
      </c>
      <c r="E20" s="2"/>
      <c r="F20" s="21"/>
      <c r="G20" s="2"/>
      <c r="H20" s="2">
        <f>--80</f>
        <v>80</v>
      </c>
      <c r="I20" s="2"/>
      <c r="J20" s="21"/>
      <c r="K20" s="2"/>
      <c r="L20" s="2">
        <f t="shared" si="0"/>
        <v>-26.1</v>
      </c>
      <c r="M20" s="2"/>
      <c r="N20" s="21">
        <f t="shared" si="1"/>
        <v>-0.32625000000000004</v>
      </c>
      <c r="O20" s="11"/>
      <c r="P20" s="2">
        <f>--70.4</f>
        <v>70.400000000000006</v>
      </c>
      <c r="Q20" s="2"/>
      <c r="R20" s="21"/>
      <c r="S20" s="2"/>
      <c r="T20" s="2">
        <f>--98</f>
        <v>98</v>
      </c>
      <c r="U20" s="2"/>
      <c r="V20" s="21"/>
      <c r="W20" s="2"/>
      <c r="X20" s="2">
        <f t="shared" si="2"/>
        <v>-27.599999999999994</v>
      </c>
      <c r="Y20" s="2"/>
      <c r="Z20" s="21">
        <f t="shared" si="3"/>
        <v>-0.28163265306122442</v>
      </c>
    </row>
    <row r="21" spans="1:26" s="24" customFormat="1" hidden="1" outlineLevel="1" x14ac:dyDescent="0.25">
      <c r="A21" s="50"/>
      <c r="B21" s="11" t="str">
        <f>CONCATENATE("          ", "4241", " - ", "SALES RETURN TAXABLE-LOGO GIFT")</f>
        <v xml:space="preserve">          4241 - SALES RETURN TAXABLE-LOGO GIFT</v>
      </c>
      <c r="C21" s="11"/>
      <c r="D21" s="2">
        <f>-452.95</f>
        <v>-452.95</v>
      </c>
      <c r="E21" s="2"/>
      <c r="F21" s="21"/>
      <c r="G21" s="2"/>
      <c r="H21" s="2">
        <f>-414.6</f>
        <v>-414.6</v>
      </c>
      <c r="I21" s="2"/>
      <c r="J21" s="21"/>
      <c r="K21" s="2"/>
      <c r="L21" s="2">
        <f t="shared" si="0"/>
        <v>-38.349999999999966</v>
      </c>
      <c r="M21" s="2"/>
      <c r="N21" s="21">
        <f t="shared" si="1"/>
        <v>9.2498794018330832E-2</v>
      </c>
      <c r="O21" s="11"/>
      <c r="P21" s="2">
        <f>-463.7</f>
        <v>-463.7</v>
      </c>
      <c r="Q21" s="2"/>
      <c r="R21" s="21"/>
      <c r="S21" s="2"/>
      <c r="T21" s="2">
        <f>-414.6</f>
        <v>-414.6</v>
      </c>
      <c r="U21" s="2"/>
      <c r="V21" s="21"/>
      <c r="W21" s="2"/>
      <c r="X21" s="2">
        <f t="shared" si="2"/>
        <v>-49.099999999999966</v>
      </c>
      <c r="Y21" s="2"/>
      <c r="Z21" s="21">
        <f t="shared" si="3"/>
        <v>0.11842739990352137</v>
      </c>
    </row>
    <row r="22" spans="1:26" s="24" customFormat="1" hidden="1" outlineLevel="1" x14ac:dyDescent="0.25">
      <c r="A22" s="50"/>
      <c r="B22" s="11" t="str">
        <f>CONCATENATE("          ", "4242", " - ", "SALES RETURN TAXABLE-EVERYDAY")</f>
        <v xml:space="preserve">          4242 - SALES RETURN TAXABLE-EVERYDAY</v>
      </c>
      <c r="C22" s="11"/>
      <c r="D22" s="2">
        <f t="shared" ref="D22:D23" si="4">0</f>
        <v>0</v>
      </c>
      <c r="E22" s="2"/>
      <c r="F22" s="21"/>
      <c r="G22" s="2"/>
      <c r="H22" s="2">
        <f>0</f>
        <v>0</v>
      </c>
      <c r="I22" s="2"/>
      <c r="J22" s="21"/>
      <c r="K22" s="2"/>
      <c r="L22" s="2">
        <f t="shared" si="0"/>
        <v>0</v>
      </c>
      <c r="M22" s="2"/>
      <c r="N22" s="21">
        <f t="shared" si="1"/>
        <v>0</v>
      </c>
      <c r="O22" s="11"/>
      <c r="P22" s="2">
        <f>-16.2</f>
        <v>-16.2</v>
      </c>
      <c r="Q22" s="2"/>
      <c r="R22" s="21"/>
      <c r="S22" s="2"/>
      <c r="T22" s="2">
        <f>0</f>
        <v>0</v>
      </c>
      <c r="U22" s="2"/>
      <c r="V22" s="21"/>
      <c r="W22" s="2"/>
      <c r="X22" s="2">
        <f t="shared" si="2"/>
        <v>-16.2</v>
      </c>
      <c r="Y22" s="2"/>
      <c r="Z22" s="21">
        <f t="shared" si="3"/>
        <v>0</v>
      </c>
    </row>
    <row r="23" spans="1:26" s="24" customFormat="1" hidden="1" outlineLevel="1" x14ac:dyDescent="0.25">
      <c r="A23" s="50"/>
      <c r="B23" s="11" t="str">
        <f>CONCATENATE("          ", "4341", " - ", "SALES RETURN NON TAXABLE-LOGO")</f>
        <v xml:space="preserve">          4341 - SALES RETURN NON TAXABLE-LOGO</v>
      </c>
      <c r="C23" s="11"/>
      <c r="D23" s="2">
        <f t="shared" si="4"/>
        <v>0</v>
      </c>
      <c r="E23" s="2"/>
      <c r="F23" s="21"/>
      <c r="G23" s="2"/>
      <c r="H23" s="2">
        <f>-8.15</f>
        <v>-8.15</v>
      </c>
      <c r="I23" s="2"/>
      <c r="J23" s="21"/>
      <c r="K23" s="2"/>
      <c r="L23" s="2">
        <f t="shared" si="0"/>
        <v>8.15</v>
      </c>
      <c r="M23" s="2"/>
      <c r="N23" s="21">
        <f t="shared" si="1"/>
        <v>-1</v>
      </c>
      <c r="O23" s="11"/>
      <c r="P23" s="2">
        <f>0</f>
        <v>0</v>
      </c>
      <c r="Q23" s="2"/>
      <c r="R23" s="21"/>
      <c r="S23" s="2"/>
      <c r="T23" s="2">
        <f>-8.15</f>
        <v>-8.15</v>
      </c>
      <c r="U23" s="2"/>
      <c r="V23" s="21"/>
      <c r="W23" s="2"/>
      <c r="X23" s="2">
        <f t="shared" si="2"/>
        <v>8.15</v>
      </c>
      <c r="Y23" s="2"/>
      <c r="Z23" s="21">
        <f t="shared" si="3"/>
        <v>-1</v>
      </c>
    </row>
    <row r="24" spans="1:26" s="24" customFormat="1" hidden="1" outlineLevel="1" x14ac:dyDescent="0.25">
      <c r="A24" s="50"/>
      <c r="B24" s="11" t="str">
        <f>CONCATENATE("          ", "4346", " - ", "SALES RETURN NON TAXABLE-COIN-")</f>
        <v xml:space="preserve">          4346 - SALES RETURN NON TAXABLE-COIN-</v>
      </c>
      <c r="C24" s="11"/>
      <c r="D24" s="2">
        <f>-8.15</f>
        <v>-8.15</v>
      </c>
      <c r="E24" s="2"/>
      <c r="F24" s="21"/>
      <c r="G24" s="2"/>
      <c r="H24" s="2">
        <f>0</f>
        <v>0</v>
      </c>
      <c r="I24" s="2"/>
      <c r="J24" s="21"/>
      <c r="K24" s="2"/>
      <c r="L24" s="2">
        <f t="shared" si="0"/>
        <v>-8.15</v>
      </c>
      <c r="M24" s="2"/>
      <c r="N24" s="21">
        <f t="shared" si="1"/>
        <v>0</v>
      </c>
      <c r="O24" s="11"/>
      <c r="P24" s="2">
        <f>-8.15</f>
        <v>-8.15</v>
      </c>
      <c r="Q24" s="2"/>
      <c r="R24" s="21"/>
      <c r="S24" s="2"/>
      <c r="T24" s="2">
        <f>0</f>
        <v>0</v>
      </c>
      <c r="U24" s="2"/>
      <c r="V24" s="21"/>
      <c r="W24" s="2"/>
      <c r="X24" s="2">
        <f t="shared" si="2"/>
        <v>-8.15</v>
      </c>
      <c r="Y24" s="2"/>
      <c r="Z24" s="21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6</v>
      </c>
      <c r="C28" s="26"/>
      <c r="D28" s="20">
        <f>D12-D26</f>
        <v>95870.160000000018</v>
      </c>
      <c r="E28" s="13"/>
      <c r="F28" s="19">
        <f>IF(D$12=0,0,D28/D$12)</f>
        <v>1</v>
      </c>
      <c r="G28" s="13"/>
      <c r="H28" s="20">
        <f>H12-H26</f>
        <v>97386.110000000015</v>
      </c>
      <c r="I28" s="13"/>
      <c r="J28" s="19">
        <f>IF(H$12=0,0,H28/H$12)</f>
        <v>1</v>
      </c>
      <c r="K28" s="15"/>
      <c r="L28" s="20">
        <f>+D28-H28</f>
        <v>-1515.9499999999971</v>
      </c>
      <c r="M28" s="15"/>
      <c r="N28" s="19">
        <f>IF(H28=0,0,L28/H28)</f>
        <v>-1.5566388266252722E-2</v>
      </c>
      <c r="O28" s="25"/>
      <c r="P28" s="20">
        <f>P12-P26</f>
        <v>102624.93000000001</v>
      </c>
      <c r="Q28" s="13"/>
      <c r="R28" s="19">
        <f>IF(P$12=0,0,P28/P$12)</f>
        <v>1</v>
      </c>
      <c r="S28" s="13"/>
      <c r="T28" s="20">
        <f>T12-T26</f>
        <v>108944.91</v>
      </c>
      <c r="U28" s="13"/>
      <c r="V28" s="19">
        <f>IF(T$12=0,0,T28/T$12)</f>
        <v>1</v>
      </c>
      <c r="W28" s="15"/>
      <c r="X28" s="20">
        <f>+P28-T28</f>
        <v>-6319.9799999999959</v>
      </c>
      <c r="Y28" s="15"/>
      <c r="Z28" s="19">
        <f>IF(T28=0,0,X28/T28)</f>
        <v>-5.8010787286895696E-2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9</v>
      </c>
      <c r="C30" s="10"/>
      <c r="D30" s="22">
        <f>SUM(OSRRefD22x_0)</f>
        <v>38398.17</v>
      </c>
      <c r="E30" s="22"/>
      <c r="F30" s="33">
        <f t="shared" ref="F30:F39" si="5">IF(D$12=0,0,D30/D$12)</f>
        <v>0.40052264437651913</v>
      </c>
      <c r="G30" s="22"/>
      <c r="H30" s="22">
        <f>SUM(OSRRefH22x_0)</f>
        <v>40173.99</v>
      </c>
      <c r="I30" s="22"/>
      <c r="J30" s="33">
        <f t="shared" ref="J30:J39" si="6">IF(H$12=0,0,H30/H$12)</f>
        <v>0.41252279200801828</v>
      </c>
      <c r="K30" s="4"/>
      <c r="L30" s="22">
        <f t="shared" ref="L30:L39" si="7">+D30-H30</f>
        <v>-1775.8199999999997</v>
      </c>
      <c r="M30" s="4"/>
      <c r="N30" s="33">
        <f t="shared" ref="N30:N39" si="8">IF(H30=0,0,L30/H30)</f>
        <v>-4.4203227013298901E-2</v>
      </c>
      <c r="O30" s="10"/>
      <c r="P30" s="22">
        <f>SUM(OSRRefP22x_0)</f>
        <v>72315.109999999986</v>
      </c>
      <c r="Q30" s="22"/>
      <c r="R30" s="33">
        <f t="shared" ref="R30:R39" si="9">IF(P$12=0,0,P30/P$12)</f>
        <v>0.70465441486781022</v>
      </c>
      <c r="S30" s="22"/>
      <c r="T30" s="22">
        <f>SUM(OSRRefT22x_0)</f>
        <v>79170.00999999998</v>
      </c>
      <c r="U30" s="22"/>
      <c r="V30" s="33">
        <f t="shared" ref="V30:V39" si="10">IF(T$12=0,0,T30/T$12)</f>
        <v>0.72669764929816338</v>
      </c>
      <c r="W30" s="4"/>
      <c r="X30" s="22">
        <f t="shared" ref="X30:X39" si="11">+P30-T30</f>
        <v>-6854.8999999999942</v>
      </c>
      <c r="Y30" s="4"/>
      <c r="Z30" s="33">
        <f t="shared" ref="Z30:Z39" si="12">IF(T30=0,0,X30/T30)</f>
        <v>-8.6584553923891083E-2</v>
      </c>
    </row>
    <row r="31" spans="1:26" s="27" customFormat="1" outlineLevel="1" collapsed="1" x14ac:dyDescent="0.25">
      <c r="A31" s="28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6811.57</v>
      </c>
      <c r="E31" s="1"/>
      <c r="F31" s="5">
        <f t="shared" si="5"/>
        <v>7.1049949222990752E-2</v>
      </c>
      <c r="G31" s="1"/>
      <c r="H31" s="1">
        <f>SUM(OSRRefH22_0x_0)</f>
        <v>6854.65</v>
      </c>
      <c r="I31" s="1"/>
      <c r="J31" s="5">
        <f t="shared" si="6"/>
        <v>7.038632100614757E-2</v>
      </c>
      <c r="K31" s="1"/>
      <c r="L31" s="1">
        <f t="shared" si="7"/>
        <v>-43.079999999999927</v>
      </c>
      <c r="M31" s="1"/>
      <c r="N31" s="5">
        <f t="shared" si="8"/>
        <v>-6.2847847811339647E-3</v>
      </c>
      <c r="O31" s="14"/>
      <c r="P31" s="1">
        <f>SUM(OSRRefP22_0x_0)</f>
        <v>14306.35</v>
      </c>
      <c r="Q31" s="1"/>
      <c r="R31" s="5">
        <f t="shared" si="9"/>
        <v>0.13940423637804186</v>
      </c>
      <c r="S31" s="1"/>
      <c r="T31" s="1">
        <f>SUM(OSRRefT22_0x_0)</f>
        <v>13462.4</v>
      </c>
      <c r="U31" s="1"/>
      <c r="V31" s="5">
        <f t="shared" si="10"/>
        <v>0.12357071110527329</v>
      </c>
      <c r="W31" s="1"/>
      <c r="X31" s="1">
        <f t="shared" si="11"/>
        <v>843.95000000000073</v>
      </c>
      <c r="Y31" s="1"/>
      <c r="Z31" s="5">
        <f t="shared" si="12"/>
        <v>6.2689416448775903E-2</v>
      </c>
    </row>
    <row r="32" spans="1:26" s="24" customFormat="1" hidden="1" outlineLevel="2" x14ac:dyDescent="0.25">
      <c r="A32" s="29"/>
      <c r="B32" s="11" t="str">
        <f>CONCATENATE("          ", "6111", " - ", "F.I.C.A.")</f>
        <v xml:space="preserve">          6111 - F.I.C.A.</v>
      </c>
      <c r="C32" s="11"/>
      <c r="D32" s="7">
        <v>1279.9100000000001</v>
      </c>
      <c r="E32" s="2"/>
      <c r="F32" s="6">
        <f t="shared" si="5"/>
        <v>1.3350452320096262E-2</v>
      </c>
      <c r="G32" s="2"/>
      <c r="H32" s="7">
        <v>1196.7</v>
      </c>
      <c r="I32" s="2"/>
      <c r="J32" s="6">
        <f t="shared" si="6"/>
        <v>1.2288200031811516E-2</v>
      </c>
      <c r="K32" s="2"/>
      <c r="L32" s="7">
        <f t="shared" si="7"/>
        <v>83.210000000000036</v>
      </c>
      <c r="M32" s="2"/>
      <c r="N32" s="6">
        <f t="shared" si="8"/>
        <v>6.9532882092420853E-2</v>
      </c>
      <c r="O32" s="11"/>
      <c r="P32" s="7">
        <v>2333.27</v>
      </c>
      <c r="Q32" s="2"/>
      <c r="R32" s="6">
        <f t="shared" si="9"/>
        <v>2.2735898577470406E-2</v>
      </c>
      <c r="S32" s="2"/>
      <c r="T32" s="7">
        <v>2221.7199999999998</v>
      </c>
      <c r="U32" s="2"/>
      <c r="V32" s="6">
        <f t="shared" si="10"/>
        <v>2.0393059207630716E-2</v>
      </c>
      <c r="W32" s="2"/>
      <c r="X32" s="7">
        <f t="shared" si="11"/>
        <v>111.55000000000018</v>
      </c>
      <c r="Y32" s="2"/>
      <c r="Z32" s="6">
        <f t="shared" si="12"/>
        <v>5.0208847199467166E-2</v>
      </c>
    </row>
    <row r="33" spans="1:26" s="24" customFormat="1" hidden="1" outlineLevel="2" x14ac:dyDescent="0.25">
      <c r="A33" s="29"/>
      <c r="B33" s="11" t="str">
        <f>CONCATENATE("          ", "6112", " - ", "COMPENSATION INSURANCE")</f>
        <v xml:space="preserve">          6112 - COMPENSATION INSURANCE</v>
      </c>
      <c r="C33" s="11"/>
      <c r="D33" s="7">
        <v>205.75</v>
      </c>
      <c r="E33" s="2"/>
      <c r="F33" s="6">
        <f t="shared" si="5"/>
        <v>2.1461318099396096E-3</v>
      </c>
      <c r="G33" s="2"/>
      <c r="H33" s="7">
        <v>181.64</v>
      </c>
      <c r="I33" s="2"/>
      <c r="J33" s="6">
        <f t="shared" si="6"/>
        <v>1.8651530490333781E-3</v>
      </c>
      <c r="K33" s="2"/>
      <c r="L33" s="7">
        <f t="shared" si="7"/>
        <v>24.110000000000014</v>
      </c>
      <c r="M33" s="2"/>
      <c r="N33" s="6">
        <f t="shared" si="8"/>
        <v>0.13273508037877127</v>
      </c>
      <c r="O33" s="11"/>
      <c r="P33" s="7">
        <v>365.98</v>
      </c>
      <c r="Q33" s="2"/>
      <c r="R33" s="6">
        <f t="shared" si="9"/>
        <v>3.5661900086070702E-3</v>
      </c>
      <c r="S33" s="2"/>
      <c r="T33" s="7">
        <v>413.7</v>
      </c>
      <c r="U33" s="2"/>
      <c r="V33" s="6">
        <f t="shared" si="10"/>
        <v>3.7973320644351348E-3</v>
      </c>
      <c r="W33" s="2"/>
      <c r="X33" s="7">
        <f t="shared" si="11"/>
        <v>-47.71999999999997</v>
      </c>
      <c r="Y33" s="2"/>
      <c r="Z33" s="6">
        <f t="shared" si="12"/>
        <v>-0.11534928692289091</v>
      </c>
    </row>
    <row r="34" spans="1:26" s="24" customFormat="1" hidden="1" outlineLevel="2" x14ac:dyDescent="0.25">
      <c r="A34" s="29"/>
      <c r="B34" s="11" t="str">
        <f>CONCATENATE("          ", "6113", " - ", "GROUP INSURANCE")</f>
        <v xml:space="preserve">          6113 - GROUP INSURANCE</v>
      </c>
      <c r="C34" s="11"/>
      <c r="D34" s="7">
        <v>2589.16</v>
      </c>
      <c r="E34" s="2"/>
      <c r="F34" s="6">
        <f t="shared" si="5"/>
        <v>2.7006943557828622E-2</v>
      </c>
      <c r="G34" s="2"/>
      <c r="H34" s="7">
        <v>2722.97</v>
      </c>
      <c r="I34" s="2"/>
      <c r="J34" s="6">
        <f t="shared" si="6"/>
        <v>2.796055823566625E-2</v>
      </c>
      <c r="K34" s="2"/>
      <c r="L34" s="7">
        <f t="shared" si="7"/>
        <v>-133.80999999999995</v>
      </c>
      <c r="M34" s="2"/>
      <c r="N34" s="6">
        <f t="shared" si="8"/>
        <v>-4.9141195092123655E-2</v>
      </c>
      <c r="O34" s="11"/>
      <c r="P34" s="7">
        <v>5178.32</v>
      </c>
      <c r="Q34" s="2"/>
      <c r="R34" s="6">
        <f t="shared" si="9"/>
        <v>5.0458694588147335E-2</v>
      </c>
      <c r="S34" s="2"/>
      <c r="T34" s="7">
        <v>3748.8</v>
      </c>
      <c r="U34" s="2"/>
      <c r="V34" s="6">
        <f t="shared" si="10"/>
        <v>3.4410051832618888E-2</v>
      </c>
      <c r="W34" s="2"/>
      <c r="X34" s="7">
        <f t="shared" si="11"/>
        <v>1429.5199999999995</v>
      </c>
      <c r="Y34" s="2"/>
      <c r="Z34" s="6">
        <f t="shared" si="12"/>
        <v>0.38132735808792134</v>
      </c>
    </row>
    <row r="35" spans="1:26" s="24" customFormat="1" hidden="1" outlineLevel="2" x14ac:dyDescent="0.25">
      <c r="A35" s="29"/>
      <c r="B35" s="11" t="str">
        <f>CONCATENATE("          ", "6114", " - ", "STATE UNEMPLOYMENT INSURANCE")</f>
        <v xml:space="preserve">          6114 - STATE UNEMPLOYMENT INSURANCE</v>
      </c>
      <c r="C35" s="11"/>
      <c r="D35" s="7">
        <v>42.51</v>
      </c>
      <c r="E35" s="2"/>
      <c r="F35" s="6">
        <f t="shared" si="5"/>
        <v>4.4341221502081557E-4</v>
      </c>
      <c r="G35" s="2"/>
      <c r="H35" s="7">
        <v>39.69</v>
      </c>
      <c r="I35" s="2"/>
      <c r="J35" s="6">
        <f t="shared" si="6"/>
        <v>4.0755298676577173E-4</v>
      </c>
      <c r="K35" s="2"/>
      <c r="L35" s="7">
        <f t="shared" si="7"/>
        <v>2.8200000000000003</v>
      </c>
      <c r="M35" s="2"/>
      <c r="N35" s="6">
        <f t="shared" si="8"/>
        <v>7.1050642479213916E-2</v>
      </c>
      <c r="O35" s="11"/>
      <c r="P35" s="7">
        <v>78.790000000000006</v>
      </c>
      <c r="Q35" s="2"/>
      <c r="R35" s="6">
        <f t="shared" si="9"/>
        <v>7.6774717410282281E-4</v>
      </c>
      <c r="S35" s="2"/>
      <c r="T35" s="7">
        <v>90.39</v>
      </c>
      <c r="U35" s="2"/>
      <c r="V35" s="6">
        <f t="shared" si="10"/>
        <v>8.2968538869782895E-4</v>
      </c>
      <c r="W35" s="2"/>
      <c r="X35" s="7">
        <f t="shared" si="11"/>
        <v>-11.599999999999994</v>
      </c>
      <c r="Y35" s="2"/>
      <c r="Z35" s="6">
        <f t="shared" si="12"/>
        <v>-0.12833278017479804</v>
      </c>
    </row>
    <row r="36" spans="1:26" s="24" customFormat="1" hidden="1" outlineLevel="2" x14ac:dyDescent="0.25">
      <c r="A36" s="29"/>
      <c r="B36" s="11" t="str">
        <f>CONCATENATE("          ", "6115", " - ", "P.E.R.S.")</f>
        <v xml:space="preserve">          6115 - P.E.R.S.</v>
      </c>
      <c r="C36" s="11"/>
      <c r="D36" s="7">
        <v>1089.6300000000001</v>
      </c>
      <c r="E36" s="2"/>
      <c r="F36" s="6">
        <f t="shared" si="5"/>
        <v>1.1365684588405818E-2</v>
      </c>
      <c r="G36" s="2"/>
      <c r="H36" s="7">
        <v>984.68</v>
      </c>
      <c r="I36" s="2"/>
      <c r="J36" s="6">
        <f t="shared" si="6"/>
        <v>1.0111092844759893E-2</v>
      </c>
      <c r="K36" s="2"/>
      <c r="L36" s="7">
        <f t="shared" si="7"/>
        <v>104.95000000000016</v>
      </c>
      <c r="M36" s="2"/>
      <c r="N36" s="6">
        <f t="shared" si="8"/>
        <v>0.1065828492505181</v>
      </c>
      <c r="O36" s="11"/>
      <c r="P36" s="7">
        <v>2179.2600000000002</v>
      </c>
      <c r="Q36" s="2"/>
      <c r="R36" s="6">
        <f t="shared" si="9"/>
        <v>2.1235191098303307E-2</v>
      </c>
      <c r="S36" s="2"/>
      <c r="T36" s="7">
        <v>2447.37</v>
      </c>
      <c r="U36" s="2"/>
      <c r="V36" s="6">
        <f t="shared" si="10"/>
        <v>2.2464289520272216E-2</v>
      </c>
      <c r="W36" s="2"/>
      <c r="X36" s="7">
        <f t="shared" si="11"/>
        <v>-268.10999999999967</v>
      </c>
      <c r="Y36" s="2"/>
      <c r="Z36" s="6">
        <f t="shared" si="12"/>
        <v>-0.10955025190306315</v>
      </c>
    </row>
    <row r="37" spans="1:26" s="24" customFormat="1" hidden="1" outlineLevel="2" x14ac:dyDescent="0.25">
      <c r="A37" s="29"/>
      <c r="B37" s="11" t="str">
        <f>CONCATENATE("          ", "6118", " - ", "VACATION")</f>
        <v xml:space="preserve">          6118 - VACATION</v>
      </c>
      <c r="C37" s="11"/>
      <c r="D37" s="7">
        <v>969.46</v>
      </c>
      <c r="E37" s="2"/>
      <c r="F37" s="6">
        <f t="shared" si="5"/>
        <v>1.0112218442109619E-2</v>
      </c>
      <c r="G37" s="2"/>
      <c r="H37" s="7">
        <v>951.42</v>
      </c>
      <c r="I37" s="2"/>
      <c r="J37" s="6">
        <f t="shared" si="6"/>
        <v>9.7695657008992336E-3</v>
      </c>
      <c r="K37" s="2"/>
      <c r="L37" s="7">
        <f t="shared" si="7"/>
        <v>18.040000000000077</v>
      </c>
      <c r="M37" s="2"/>
      <c r="N37" s="6">
        <f t="shared" si="8"/>
        <v>1.8961131781968087E-2</v>
      </c>
      <c r="O37" s="11"/>
      <c r="P37" s="7">
        <v>2446.42</v>
      </c>
      <c r="Q37" s="2"/>
      <c r="R37" s="6">
        <f t="shared" si="9"/>
        <v>2.3838457185792965E-2</v>
      </c>
      <c r="S37" s="2"/>
      <c r="T37" s="7">
        <v>1902.84</v>
      </c>
      <c r="U37" s="2"/>
      <c r="V37" s="6">
        <f t="shared" si="10"/>
        <v>1.7466075285206072E-2</v>
      </c>
      <c r="W37" s="2"/>
      <c r="X37" s="7">
        <f t="shared" si="11"/>
        <v>543.58000000000015</v>
      </c>
      <c r="Y37" s="2"/>
      <c r="Z37" s="6">
        <f t="shared" si="12"/>
        <v>0.28566773874839724</v>
      </c>
    </row>
    <row r="38" spans="1:26" s="24" customFormat="1" hidden="1" outlineLevel="2" x14ac:dyDescent="0.25">
      <c r="A38" s="29"/>
      <c r="B38" s="11" t="str">
        <f>CONCATENATE("          ", "6119", " - ", "SICK LEAVE")</f>
        <v xml:space="preserve">          6119 - SICK LEAVE</v>
      </c>
      <c r="C38" s="11"/>
      <c r="D38" s="7">
        <v>491.74</v>
      </c>
      <c r="E38" s="2"/>
      <c r="F38" s="6">
        <f t="shared" si="5"/>
        <v>5.1292289488199449E-3</v>
      </c>
      <c r="G38" s="2"/>
      <c r="H38" s="7">
        <v>482.72</v>
      </c>
      <c r="I38" s="2"/>
      <c r="J38" s="6">
        <f t="shared" si="6"/>
        <v>4.9567643681424382E-3</v>
      </c>
      <c r="K38" s="2"/>
      <c r="L38" s="7">
        <f t="shared" si="7"/>
        <v>9.0199999999999818</v>
      </c>
      <c r="M38" s="2"/>
      <c r="N38" s="6">
        <f t="shared" si="8"/>
        <v>1.8685780576731814E-2</v>
      </c>
      <c r="O38" s="11"/>
      <c r="P38" s="7">
        <v>1338.52</v>
      </c>
      <c r="Q38" s="2"/>
      <c r="R38" s="6">
        <f t="shared" si="9"/>
        <v>1.3042834718620513E-2</v>
      </c>
      <c r="S38" s="2"/>
      <c r="T38" s="7">
        <v>2069.4699999999998</v>
      </c>
      <c r="U38" s="2"/>
      <c r="V38" s="6">
        <f t="shared" si="10"/>
        <v>1.8995563904729462E-2</v>
      </c>
      <c r="W38" s="2"/>
      <c r="X38" s="7">
        <f t="shared" si="11"/>
        <v>-730.94999999999982</v>
      </c>
      <c r="Y38" s="2"/>
      <c r="Z38" s="6">
        <f t="shared" si="12"/>
        <v>-0.35320637651186049</v>
      </c>
    </row>
    <row r="39" spans="1:26" s="24" customFormat="1" hidden="1" outlineLevel="2" x14ac:dyDescent="0.25">
      <c r="A39" s="29"/>
      <c r="B39" s="11" t="str">
        <f>CONCATENATE("          ", "6156", " - ", "EMPLOYEE MEALS")</f>
        <v xml:space="preserve">          6156 - EMPLOYEE MEALS</v>
      </c>
      <c r="C39" s="11"/>
      <c r="D39" s="7">
        <v>143.41</v>
      </c>
      <c r="E39" s="2"/>
      <c r="F39" s="6">
        <f t="shared" si="5"/>
        <v>1.4958773407700578E-3</v>
      </c>
      <c r="G39" s="2"/>
      <c r="H39" s="7">
        <v>294.83</v>
      </c>
      <c r="I39" s="2"/>
      <c r="J39" s="6">
        <f t="shared" si="6"/>
        <v>3.0274337890690978E-3</v>
      </c>
      <c r="K39" s="2"/>
      <c r="L39" s="7">
        <f t="shared" si="7"/>
        <v>-151.41999999999999</v>
      </c>
      <c r="M39" s="2"/>
      <c r="N39" s="6">
        <f t="shared" si="8"/>
        <v>-0.51358409931146765</v>
      </c>
      <c r="O39" s="11"/>
      <c r="P39" s="7">
        <v>385.79</v>
      </c>
      <c r="Q39" s="2"/>
      <c r="R39" s="6">
        <f t="shared" si="9"/>
        <v>3.7592230269974363E-3</v>
      </c>
      <c r="S39" s="2"/>
      <c r="T39" s="7">
        <v>568.11</v>
      </c>
      <c r="U39" s="2"/>
      <c r="V39" s="6">
        <f t="shared" si="10"/>
        <v>5.2146539016829701E-3</v>
      </c>
      <c r="W39" s="2"/>
      <c r="X39" s="7">
        <f t="shared" si="11"/>
        <v>-182.32</v>
      </c>
      <c r="Y39" s="2"/>
      <c r="Z39" s="6">
        <f t="shared" si="12"/>
        <v>-0.32092376476386614</v>
      </c>
    </row>
    <row r="40" spans="1:26" s="27" customFormat="1" outlineLevel="1" collapsed="1" x14ac:dyDescent="0.25">
      <c r="A40" s="28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17210.150000000001</v>
      </c>
      <c r="E40" s="1"/>
      <c r="F40" s="5">
        <f t="shared" ref="F40:F44" si="13">IF(D$12=0,0,D40/D$12)</f>
        <v>0.17951519012798142</v>
      </c>
      <c r="G40" s="1"/>
      <c r="H40" s="1">
        <f>SUM(OSRRefH22_1x_0)</f>
        <v>16025.48</v>
      </c>
      <c r="I40" s="1"/>
      <c r="J40" s="5">
        <f t="shared" ref="J40:J44" si="14">IF(H$12=0,0,H40/H$12)</f>
        <v>0.16455611585676846</v>
      </c>
      <c r="K40" s="1"/>
      <c r="L40" s="1">
        <f t="shared" ref="L40:L44" si="15">+D40-H40</f>
        <v>1184.6700000000019</v>
      </c>
      <c r="M40" s="1"/>
      <c r="N40" s="5">
        <f t="shared" ref="N40:N44" si="16">IF(H40=0,0,L40/H40)</f>
        <v>7.3924150789867263E-2</v>
      </c>
      <c r="O40" s="14"/>
      <c r="P40" s="1">
        <f>SUM(OSRRefP22_1x_0)</f>
        <v>33817.019999999997</v>
      </c>
      <c r="Q40" s="1"/>
      <c r="R40" s="5">
        <f t="shared" ref="R40:R44" si="17">IF(P$12=0,0,P40/P$12)</f>
        <v>0.32952051709073021</v>
      </c>
      <c r="S40" s="1"/>
      <c r="T40" s="1">
        <f>SUM(OSRRefT22_1x_0)</f>
        <v>32423.019999999997</v>
      </c>
      <c r="U40" s="1"/>
      <c r="V40" s="5">
        <f t="shared" ref="V40:V44" si="18">IF(T$12=0,0,T40/T$12)</f>
        <v>0.29760931465269919</v>
      </c>
      <c r="W40" s="1"/>
      <c r="X40" s="1">
        <f t="shared" ref="X40:X44" si="19">+P40-T40</f>
        <v>1394</v>
      </c>
      <c r="Y40" s="1"/>
      <c r="Z40" s="5">
        <f t="shared" ref="Z40:Z44" si="20">IF(T40=0,0,X40/T40)</f>
        <v>4.2994144283906931E-2</v>
      </c>
    </row>
    <row r="41" spans="1:26" s="24" customFormat="1" hidden="1" outlineLevel="2" x14ac:dyDescent="0.25">
      <c r="A41" s="29"/>
      <c r="B41" s="11" t="str">
        <f>CONCATENATE("          ", "6002", " - ", "STAFF SALARIES")</f>
        <v xml:space="preserve">          6002 - STAFF SALARIES</v>
      </c>
      <c r="C41" s="11"/>
      <c r="D41" s="7">
        <v>10342.4</v>
      </c>
      <c r="E41" s="2"/>
      <c r="F41" s="6">
        <f t="shared" si="13"/>
        <v>0.10787924000544066</v>
      </c>
      <c r="G41" s="2"/>
      <c r="H41" s="7">
        <v>10284.709999999999</v>
      </c>
      <c r="I41" s="2"/>
      <c r="J41" s="6">
        <f t="shared" si="14"/>
        <v>0.10560756559636685</v>
      </c>
      <c r="K41" s="2"/>
      <c r="L41" s="7">
        <f t="shared" si="15"/>
        <v>57.690000000000509</v>
      </c>
      <c r="M41" s="2"/>
      <c r="N41" s="6">
        <f t="shared" si="16"/>
        <v>5.6092976855935187E-3</v>
      </c>
      <c r="O41" s="11"/>
      <c r="P41" s="7">
        <v>22816.769999999997</v>
      </c>
      <c r="Q41" s="2"/>
      <c r="R41" s="6">
        <f t="shared" si="17"/>
        <v>0.22233164982426779</v>
      </c>
      <c r="S41" s="2"/>
      <c r="T41" s="7">
        <v>22859.85</v>
      </c>
      <c r="U41" s="2"/>
      <c r="V41" s="6">
        <f t="shared" si="18"/>
        <v>0.20982944499196884</v>
      </c>
      <c r="W41" s="2"/>
      <c r="X41" s="7">
        <f t="shared" si="19"/>
        <v>-43.080000000001746</v>
      </c>
      <c r="Y41" s="2"/>
      <c r="Z41" s="6">
        <f t="shared" si="20"/>
        <v>-1.8845268013570407E-3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1505</v>
      </c>
      <c r="E42" s="2"/>
      <c r="F42" s="6">
        <f t="shared" si="13"/>
        <v>1.569831530478305E-2</v>
      </c>
      <c r="G42" s="2"/>
      <c r="H42" s="7">
        <v>1100.82</v>
      </c>
      <c r="I42" s="2"/>
      <c r="J42" s="6">
        <f t="shared" si="14"/>
        <v>1.1303665378974474E-2</v>
      </c>
      <c r="K42" s="2"/>
      <c r="L42" s="7">
        <f t="shared" si="15"/>
        <v>404.18000000000006</v>
      </c>
      <c r="M42" s="2"/>
      <c r="N42" s="6">
        <f t="shared" si="16"/>
        <v>0.36716266056212649</v>
      </c>
      <c r="O42" s="11"/>
      <c r="P42" s="7">
        <v>2492</v>
      </c>
      <c r="Q42" s="2"/>
      <c r="R42" s="6">
        <f t="shared" si="17"/>
        <v>2.428259877984813E-2</v>
      </c>
      <c r="S42" s="2"/>
      <c r="T42" s="7">
        <v>1888.78</v>
      </c>
      <c r="U42" s="2"/>
      <c r="V42" s="6">
        <f t="shared" si="18"/>
        <v>1.7337019232931579E-2</v>
      </c>
      <c r="W42" s="2"/>
      <c r="X42" s="7">
        <f t="shared" si="19"/>
        <v>603.22</v>
      </c>
      <c r="Y42" s="2"/>
      <c r="Z42" s="6">
        <f t="shared" si="20"/>
        <v>0.31937017545717344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13"/>
        <v>0</v>
      </c>
      <c r="G43" s="2"/>
      <c r="H43" s="7">
        <v>1235.7</v>
      </c>
      <c r="I43" s="2"/>
      <c r="J43" s="6">
        <f t="shared" si="14"/>
        <v>1.2688667819260877E-2</v>
      </c>
      <c r="K43" s="2"/>
      <c r="L43" s="7">
        <f t="shared" si="15"/>
        <v>-1235.7</v>
      </c>
      <c r="M43" s="2"/>
      <c r="N43" s="6">
        <f t="shared" si="16"/>
        <v>-1</v>
      </c>
      <c r="O43" s="11"/>
      <c r="P43" s="7"/>
      <c r="Q43" s="2"/>
      <c r="R43" s="6">
        <f t="shared" si="17"/>
        <v>0</v>
      </c>
      <c r="S43" s="2"/>
      <c r="T43" s="7">
        <v>2008.39</v>
      </c>
      <c r="U43" s="2"/>
      <c r="V43" s="6">
        <f t="shared" si="18"/>
        <v>1.8434913572373413E-2</v>
      </c>
      <c r="W43" s="2"/>
      <c r="X43" s="7">
        <f t="shared" si="19"/>
        <v>-2008.39</v>
      </c>
      <c r="Y43" s="2"/>
      <c r="Z43" s="6">
        <f t="shared" si="20"/>
        <v>-1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>
        <v>5362.75</v>
      </c>
      <c r="E44" s="2"/>
      <c r="F44" s="6">
        <f t="shared" si="13"/>
        <v>5.5937634817757674E-2</v>
      </c>
      <c r="G44" s="2"/>
      <c r="H44" s="7">
        <v>3404.25</v>
      </c>
      <c r="I44" s="2"/>
      <c r="J44" s="6">
        <f t="shared" si="14"/>
        <v>3.4956217062166249E-2</v>
      </c>
      <c r="K44" s="2"/>
      <c r="L44" s="7">
        <f t="shared" si="15"/>
        <v>1958.5</v>
      </c>
      <c r="M44" s="2"/>
      <c r="N44" s="6">
        <f t="shared" si="16"/>
        <v>0.57531027392230305</v>
      </c>
      <c r="O44" s="11"/>
      <c r="P44" s="7">
        <v>8508.25</v>
      </c>
      <c r="Q44" s="2"/>
      <c r="R44" s="6">
        <f t="shared" si="17"/>
        <v>8.290626848661431E-2</v>
      </c>
      <c r="S44" s="2"/>
      <c r="T44" s="7">
        <v>5666</v>
      </c>
      <c r="U44" s="2"/>
      <c r="V44" s="6">
        <f t="shared" si="18"/>
        <v>5.2007936855425367E-2</v>
      </c>
      <c r="W44" s="2"/>
      <c r="X44" s="7">
        <f t="shared" si="19"/>
        <v>2842.25</v>
      </c>
      <c r="Y44" s="2"/>
      <c r="Z44" s="6">
        <f t="shared" si="20"/>
        <v>0.50163254500529475</v>
      </c>
    </row>
    <row r="45" spans="1:26" s="27" customFormat="1" outlineLevel="1" collapsed="1" x14ac:dyDescent="0.25">
      <c r="A45" s="28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9" si="21">IF(D$12=0,0,D45/D$12)</f>
        <v>0</v>
      </c>
      <c r="G45" s="1"/>
      <c r="H45" s="1">
        <f>SUM(OSRRefH22_2x_0)</f>
        <v>20</v>
      </c>
      <c r="I45" s="1"/>
      <c r="J45" s="5">
        <f t="shared" ref="J45:J59" si="22">IF(H$12=0,0,H45/H$12)</f>
        <v>2.0536809612787694E-4</v>
      </c>
      <c r="K45" s="1"/>
      <c r="L45" s="1">
        <f t="shared" ref="L45:L59" si="23">+D45-H45</f>
        <v>-20</v>
      </c>
      <c r="M45" s="1"/>
      <c r="N45" s="5">
        <f t="shared" ref="N45:N59" si="24">IF(H45=0,0,L45/H45)</f>
        <v>-1</v>
      </c>
      <c r="O45" s="14"/>
      <c r="P45" s="1">
        <f>SUM(OSRRefP22_2x_0)</f>
        <v>0</v>
      </c>
      <c r="Q45" s="1"/>
      <c r="R45" s="5">
        <f t="shared" ref="R45:R59" si="25">IF(P$12=0,0,P45/P$12)</f>
        <v>0</v>
      </c>
      <c r="S45" s="1"/>
      <c r="T45" s="1">
        <f>SUM(OSRRefT22_2x_0)</f>
        <v>538</v>
      </c>
      <c r="U45" s="1"/>
      <c r="V45" s="5">
        <f t="shared" ref="V45:V59" si="26">IF(T$12=0,0,T45/T$12)</f>
        <v>4.9382756844720873E-3</v>
      </c>
      <c r="W45" s="1"/>
      <c r="X45" s="1">
        <f t="shared" ref="X45:X59" si="27">+P45-T45</f>
        <v>-538</v>
      </c>
      <c r="Y45" s="1"/>
      <c r="Z45" s="5">
        <f t="shared" ref="Z45:Z59" si="28">IF(T45=0,0,X45/T45)</f>
        <v>-1</v>
      </c>
    </row>
    <row r="46" spans="1:26" s="24" customFormat="1" hidden="1" outlineLevel="2" x14ac:dyDescent="0.25">
      <c r="A46" s="29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1"/>
        <v>0</v>
      </c>
      <c r="G46" s="2"/>
      <c r="H46" s="7">
        <v>20</v>
      </c>
      <c r="I46" s="2"/>
      <c r="J46" s="6">
        <f t="shared" si="22"/>
        <v>2.0536809612787694E-4</v>
      </c>
      <c r="K46" s="2"/>
      <c r="L46" s="7">
        <f t="shared" si="23"/>
        <v>-20</v>
      </c>
      <c r="M46" s="2"/>
      <c r="N46" s="6">
        <f t="shared" si="24"/>
        <v>-1</v>
      </c>
      <c r="O46" s="11"/>
      <c r="P46" s="7"/>
      <c r="Q46" s="2"/>
      <c r="R46" s="6">
        <f t="shared" si="25"/>
        <v>0</v>
      </c>
      <c r="S46" s="2"/>
      <c r="T46" s="7">
        <v>538</v>
      </c>
      <c r="U46" s="2"/>
      <c r="V46" s="6">
        <f t="shared" si="26"/>
        <v>4.9382756844720873E-3</v>
      </c>
      <c r="W46" s="2"/>
      <c r="X46" s="7">
        <f t="shared" si="27"/>
        <v>-538</v>
      </c>
      <c r="Y46" s="2"/>
      <c r="Z46" s="6">
        <f t="shared" si="28"/>
        <v>-1</v>
      </c>
    </row>
    <row r="47" spans="1:26" s="27" customFormat="1" outlineLevel="1" collapsed="1" x14ac:dyDescent="0.25">
      <c r="A47" s="28"/>
      <c r="B47" s="14" t="str">
        <f>CONCATENATE("     ","Discounts and Markdowns                           ")</f>
        <v xml:space="preserve">     Discounts and Markdowns                           </v>
      </c>
      <c r="C47" s="14"/>
      <c r="D47" s="1">
        <f>SUM(OSRRefD22_3x_0)</f>
        <v>96.95</v>
      </c>
      <c r="E47" s="1"/>
      <c r="F47" s="5">
        <f t="shared" si="21"/>
        <v>1.0112635673081175E-3</v>
      </c>
      <c r="G47" s="1"/>
      <c r="H47" s="1">
        <f>SUM(OSRRefH22_3x_0)</f>
        <v>252.06</v>
      </c>
      <c r="I47" s="1"/>
      <c r="J47" s="5">
        <f t="shared" si="22"/>
        <v>2.5882541154996332E-3</v>
      </c>
      <c r="K47" s="1"/>
      <c r="L47" s="1">
        <f t="shared" si="23"/>
        <v>-155.11000000000001</v>
      </c>
      <c r="M47" s="1"/>
      <c r="N47" s="5">
        <f t="shared" si="24"/>
        <v>-0.61536935650242008</v>
      </c>
      <c r="O47" s="14"/>
      <c r="P47" s="1">
        <f>SUM(OSRRefP22_3x_0)</f>
        <v>160.16999999999999</v>
      </c>
      <c r="Q47" s="1"/>
      <c r="R47" s="5">
        <f t="shared" si="25"/>
        <v>1.5607318806453751E-3</v>
      </c>
      <c r="S47" s="1"/>
      <c r="T47" s="1">
        <f>SUM(OSRRefT22_3x_0)</f>
        <v>302.57</v>
      </c>
      <c r="U47" s="1"/>
      <c r="V47" s="5">
        <f t="shared" si="26"/>
        <v>2.7772752302057985E-3</v>
      </c>
      <c r="W47" s="1"/>
      <c r="X47" s="1">
        <f t="shared" si="27"/>
        <v>-142.4</v>
      </c>
      <c r="Y47" s="1"/>
      <c r="Z47" s="5">
        <f t="shared" si="28"/>
        <v>-0.4706348944046006</v>
      </c>
    </row>
    <row r="48" spans="1:26" s="24" customFormat="1" hidden="1" outlineLevel="2" x14ac:dyDescent="0.25">
      <c r="A48" s="29"/>
      <c r="B48" s="11" t="str">
        <f>CONCATENATE("          ", "6382", " - ", "DISCOUNTS/MARK DOWNS")</f>
        <v xml:space="preserve">          6382 - DISCOUNTS/MARK DOWNS</v>
      </c>
      <c r="C48" s="11"/>
      <c r="D48" s="7">
        <v>96.95</v>
      </c>
      <c r="E48" s="2"/>
      <c r="F48" s="6">
        <f t="shared" si="21"/>
        <v>1.0112635673081175E-3</v>
      </c>
      <c r="G48" s="2"/>
      <c r="H48" s="7">
        <v>252.06</v>
      </c>
      <c r="I48" s="2"/>
      <c r="J48" s="6">
        <f t="shared" si="22"/>
        <v>2.5882541154996332E-3</v>
      </c>
      <c r="K48" s="2"/>
      <c r="L48" s="7">
        <f t="shared" si="23"/>
        <v>-155.11000000000001</v>
      </c>
      <c r="M48" s="2"/>
      <c r="N48" s="6">
        <f t="shared" si="24"/>
        <v>-0.61536935650242008</v>
      </c>
      <c r="O48" s="11"/>
      <c r="P48" s="7">
        <v>160.16999999999999</v>
      </c>
      <c r="Q48" s="2"/>
      <c r="R48" s="6">
        <f t="shared" si="25"/>
        <v>1.5607318806453751E-3</v>
      </c>
      <c r="S48" s="2"/>
      <c r="T48" s="7">
        <v>302.57</v>
      </c>
      <c r="U48" s="2"/>
      <c r="V48" s="6">
        <f t="shared" si="26"/>
        <v>2.7772752302057985E-3</v>
      </c>
      <c r="W48" s="2"/>
      <c r="X48" s="7">
        <f t="shared" si="27"/>
        <v>-142.4</v>
      </c>
      <c r="Y48" s="2"/>
      <c r="Z48" s="6">
        <f t="shared" si="28"/>
        <v>-0.4706348944046006</v>
      </c>
    </row>
    <row r="49" spans="1:26" s="27" customFormat="1" outlineLevel="1" collapsed="1" x14ac:dyDescent="0.25">
      <c r="A49" s="28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SUM(OSRRefD22_4x_0)</f>
        <v>1205.6400000000001</v>
      </c>
      <c r="E49" s="1"/>
      <c r="F49" s="5">
        <f t="shared" si="21"/>
        <v>1.2575758713660224E-2</v>
      </c>
      <c r="G49" s="1"/>
      <c r="H49" s="1">
        <f>SUM(OSRRefH22_4x_0)</f>
        <v>3142.91</v>
      </c>
      <c r="I49" s="1"/>
      <c r="J49" s="5">
        <f t="shared" si="22"/>
        <v>3.2272672150063283E-2</v>
      </c>
      <c r="K49" s="1"/>
      <c r="L49" s="1">
        <f t="shared" si="23"/>
        <v>-1937.2699999999998</v>
      </c>
      <c r="M49" s="1"/>
      <c r="N49" s="5">
        <f t="shared" si="24"/>
        <v>-0.61639372428736416</v>
      </c>
      <c r="O49" s="14"/>
      <c r="P49" s="1">
        <f>SUM(OSRRefP22_4x_0)</f>
        <v>2411.2800000000002</v>
      </c>
      <c r="Q49" s="1"/>
      <c r="R49" s="5">
        <f t="shared" si="25"/>
        <v>2.3496045259178252E-2</v>
      </c>
      <c r="S49" s="1"/>
      <c r="T49" s="1">
        <f>SUM(OSRRefT22_4x_0)</f>
        <v>6287.1</v>
      </c>
      <c r="U49" s="1"/>
      <c r="V49" s="5">
        <f t="shared" si="26"/>
        <v>5.7708983375175583E-2</v>
      </c>
      <c r="W49" s="1"/>
      <c r="X49" s="1">
        <f t="shared" si="27"/>
        <v>-3875.82</v>
      </c>
      <c r="Y49" s="1"/>
      <c r="Z49" s="5">
        <f t="shared" si="28"/>
        <v>-0.61647182325714556</v>
      </c>
    </row>
    <row r="50" spans="1:26" s="24" customFormat="1" hidden="1" outlineLevel="2" x14ac:dyDescent="0.25">
      <c r="A50" s="29"/>
      <c r="B50" s="11" t="str">
        <f>CONCATENATE("          ", "6351", " - ", "EQUIPMENT RENTAL")</f>
        <v xml:space="preserve">          6351 - EQUIPMENT RENTAL</v>
      </c>
      <c r="C50" s="11"/>
      <c r="D50" s="7">
        <v>1205.6400000000001</v>
      </c>
      <c r="E50" s="2"/>
      <c r="F50" s="6">
        <f t="shared" si="21"/>
        <v>1.2575758713660224E-2</v>
      </c>
      <c r="G50" s="2"/>
      <c r="H50" s="7">
        <v>3142.91</v>
      </c>
      <c r="I50" s="2"/>
      <c r="J50" s="6">
        <f t="shared" si="22"/>
        <v>3.2272672150063283E-2</v>
      </c>
      <c r="K50" s="2"/>
      <c r="L50" s="7">
        <f t="shared" si="23"/>
        <v>-1937.2699999999998</v>
      </c>
      <c r="M50" s="2"/>
      <c r="N50" s="6">
        <f t="shared" si="24"/>
        <v>-0.61639372428736416</v>
      </c>
      <c r="O50" s="11"/>
      <c r="P50" s="7">
        <v>2411.2800000000002</v>
      </c>
      <c r="Q50" s="2"/>
      <c r="R50" s="6">
        <f t="shared" si="25"/>
        <v>2.3496045259178252E-2</v>
      </c>
      <c r="S50" s="2"/>
      <c r="T50" s="7">
        <v>6287.1</v>
      </c>
      <c r="U50" s="2"/>
      <c r="V50" s="6">
        <f t="shared" si="26"/>
        <v>5.7708983375175583E-2</v>
      </c>
      <c r="W50" s="2"/>
      <c r="X50" s="7">
        <f t="shared" si="27"/>
        <v>-3875.82</v>
      </c>
      <c r="Y50" s="2"/>
      <c r="Z50" s="6">
        <f t="shared" si="28"/>
        <v>-0.61647182325714556</v>
      </c>
    </row>
    <row r="51" spans="1:26" s="27" customFormat="1" outlineLevel="1" collapsed="1" x14ac:dyDescent="0.25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SUM(OSRRefD22_5x_0)</f>
        <v>5867.62</v>
      </c>
      <c r="E51" s="1"/>
      <c r="F51" s="5">
        <f t="shared" si="21"/>
        <v>6.1203819832990773E-2</v>
      </c>
      <c r="G51" s="1"/>
      <c r="H51" s="1">
        <f>SUM(OSRRefH22_5x_0)</f>
        <v>9315.2900000000009</v>
      </c>
      <c r="I51" s="1"/>
      <c r="J51" s="5">
        <f t="shared" si="22"/>
        <v>9.5653168608952538E-2</v>
      </c>
      <c r="K51" s="1"/>
      <c r="L51" s="1">
        <f t="shared" si="23"/>
        <v>-3447.670000000001</v>
      </c>
      <c r="M51" s="1"/>
      <c r="N51" s="5">
        <f t="shared" si="24"/>
        <v>-0.37010871373838072</v>
      </c>
      <c r="O51" s="14"/>
      <c r="P51" s="1">
        <f>SUM(OSRRefP22_5x_0)</f>
        <v>11810.02</v>
      </c>
      <c r="Q51" s="1"/>
      <c r="R51" s="5">
        <f t="shared" si="25"/>
        <v>0.1150794451211806</v>
      </c>
      <c r="S51" s="1"/>
      <c r="T51" s="1">
        <f>SUM(OSRRefT22_5x_0)</f>
        <v>17907.030000000002</v>
      </c>
      <c r="U51" s="1"/>
      <c r="V51" s="5">
        <f t="shared" si="26"/>
        <v>0.16436775247232754</v>
      </c>
      <c r="W51" s="1"/>
      <c r="X51" s="1">
        <f t="shared" si="27"/>
        <v>-6097.010000000002</v>
      </c>
      <c r="Y51" s="1"/>
      <c r="Z51" s="5">
        <f t="shared" si="28"/>
        <v>-0.34048136402295642</v>
      </c>
    </row>
    <row r="52" spans="1:26" s="24" customFormat="1" hidden="1" outlineLevel="2" x14ac:dyDescent="0.25">
      <c r="A52" s="29"/>
      <c r="B52" s="11" t="str">
        <f>CONCATENATE("          ", "6373", " - ", "MAINTENANCE CONTRACTS")</f>
        <v xml:space="preserve">          6373 - MAINTENANCE CONTRACTS</v>
      </c>
      <c r="C52" s="11"/>
      <c r="D52" s="7">
        <v>5867.62</v>
      </c>
      <c r="E52" s="2"/>
      <c r="F52" s="6">
        <f t="shared" si="21"/>
        <v>6.1203819832990773E-2</v>
      </c>
      <c r="G52" s="2"/>
      <c r="H52" s="7">
        <v>9315.2900000000009</v>
      </c>
      <c r="I52" s="2"/>
      <c r="J52" s="6">
        <f t="shared" si="22"/>
        <v>9.5653168608952538E-2</v>
      </c>
      <c r="K52" s="2"/>
      <c r="L52" s="7">
        <f t="shared" si="23"/>
        <v>-3447.670000000001</v>
      </c>
      <c r="M52" s="2"/>
      <c r="N52" s="6">
        <f t="shared" si="24"/>
        <v>-0.37010871373838072</v>
      </c>
      <c r="O52" s="11"/>
      <c r="P52" s="7">
        <v>11810.02</v>
      </c>
      <c r="Q52" s="2"/>
      <c r="R52" s="6">
        <f t="shared" si="25"/>
        <v>0.1150794451211806</v>
      </c>
      <c r="S52" s="2"/>
      <c r="T52" s="7">
        <v>17907.030000000002</v>
      </c>
      <c r="U52" s="2"/>
      <c r="V52" s="6">
        <f t="shared" si="26"/>
        <v>0.16436775247232754</v>
      </c>
      <c r="W52" s="2"/>
      <c r="X52" s="7">
        <f t="shared" si="27"/>
        <v>-6097.010000000002</v>
      </c>
      <c r="Y52" s="2"/>
      <c r="Z52" s="6">
        <f t="shared" si="28"/>
        <v>-0.34048136402295642</v>
      </c>
    </row>
    <row r="53" spans="1:26" s="27" customFormat="1" outlineLevel="1" collapsed="1" x14ac:dyDescent="0.25">
      <c r="A53" s="28"/>
      <c r="B53" s="14" t="str">
        <f>CONCATENATE("     ","Royalty &amp; Commissions                             ")</f>
        <v xml:space="preserve">     Royalty &amp; Commissions                             </v>
      </c>
      <c r="C53" s="14"/>
      <c r="D53" s="1">
        <f>SUM(OSRRefD22_6x_0)</f>
        <v>3649.17</v>
      </c>
      <c r="E53" s="1"/>
      <c r="F53" s="5">
        <f t="shared" si="21"/>
        <v>3.8063668611797448E-2</v>
      </c>
      <c r="G53" s="1"/>
      <c r="H53" s="1">
        <f>SUM(OSRRefH22_6x_0)</f>
        <v>3705.24</v>
      </c>
      <c r="I53" s="1"/>
      <c r="J53" s="5">
        <f t="shared" si="22"/>
        <v>3.8046904224842734E-2</v>
      </c>
      <c r="K53" s="1"/>
      <c r="L53" s="1">
        <f t="shared" si="23"/>
        <v>-56.069999999999709</v>
      </c>
      <c r="M53" s="1"/>
      <c r="N53" s="5">
        <f t="shared" si="24"/>
        <v>-1.5132622987984507E-2</v>
      </c>
      <c r="O53" s="14"/>
      <c r="P53" s="1">
        <f>SUM(OSRRefP22_6x_0)</f>
        <v>4254.18</v>
      </c>
      <c r="Q53" s="1"/>
      <c r="R53" s="5">
        <f t="shared" si="25"/>
        <v>4.1453670175463211E-2</v>
      </c>
      <c r="S53" s="1"/>
      <c r="T53" s="1">
        <f>SUM(OSRRefT22_6x_0)</f>
        <v>4397.08</v>
      </c>
      <c r="U53" s="1"/>
      <c r="V53" s="5">
        <f t="shared" si="26"/>
        <v>4.0360582242896889E-2</v>
      </c>
      <c r="W53" s="1"/>
      <c r="X53" s="1">
        <f t="shared" si="27"/>
        <v>-142.89999999999964</v>
      </c>
      <c r="Y53" s="1"/>
      <c r="Z53" s="5">
        <f t="shared" si="28"/>
        <v>-3.2498840139365132E-2</v>
      </c>
    </row>
    <row r="54" spans="1:26" s="24" customFormat="1" hidden="1" outlineLevel="2" x14ac:dyDescent="0.25">
      <c r="A54" s="29"/>
      <c r="B54" s="11" t="str">
        <f>CONCATENATE("          ", "6259", " - ", "ROYALTY &amp; COMMISSIONS")</f>
        <v xml:space="preserve">          6259 - ROYALTY &amp; COMMISSIONS</v>
      </c>
      <c r="C54" s="11"/>
      <c r="D54" s="7">
        <v>3649.17</v>
      </c>
      <c r="E54" s="2"/>
      <c r="F54" s="6">
        <f t="shared" si="21"/>
        <v>3.8063668611797448E-2</v>
      </c>
      <c r="G54" s="2"/>
      <c r="H54" s="7">
        <v>3705.24</v>
      </c>
      <c r="I54" s="2"/>
      <c r="J54" s="6">
        <f t="shared" si="22"/>
        <v>3.8046904224842734E-2</v>
      </c>
      <c r="K54" s="2"/>
      <c r="L54" s="7">
        <f t="shared" si="23"/>
        <v>-56.069999999999709</v>
      </c>
      <c r="M54" s="2"/>
      <c r="N54" s="6">
        <f t="shared" si="24"/>
        <v>-1.5132622987984507E-2</v>
      </c>
      <c r="O54" s="11"/>
      <c r="P54" s="7">
        <v>4254.18</v>
      </c>
      <c r="Q54" s="2"/>
      <c r="R54" s="6">
        <f t="shared" si="25"/>
        <v>4.1453670175463211E-2</v>
      </c>
      <c r="S54" s="2"/>
      <c r="T54" s="7">
        <v>4397.08</v>
      </c>
      <c r="U54" s="2"/>
      <c r="V54" s="6">
        <f t="shared" si="26"/>
        <v>4.0360582242896889E-2</v>
      </c>
      <c r="W54" s="2"/>
      <c r="X54" s="7">
        <f t="shared" si="27"/>
        <v>-142.89999999999964</v>
      </c>
      <c r="Y54" s="2"/>
      <c r="Z54" s="6">
        <f t="shared" si="28"/>
        <v>-3.2498840139365132E-2</v>
      </c>
    </row>
    <row r="55" spans="1:26" s="27" customFormat="1" outlineLevel="1" collapsed="1" x14ac:dyDescent="0.25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SUM(OSRRefD22_7x_0)</f>
        <v>3399.9700000000003</v>
      </c>
      <c r="E55" s="1"/>
      <c r="F55" s="5">
        <f t="shared" si="21"/>
        <v>3.5464319659005469E-2</v>
      </c>
      <c r="G55" s="1"/>
      <c r="H55" s="1">
        <f>SUM(OSRRefH22_7x_0)</f>
        <v>710.01</v>
      </c>
      <c r="I55" s="1"/>
      <c r="J55" s="5">
        <f t="shared" si="22"/>
        <v>7.2906700965876953E-3</v>
      </c>
      <c r="K55" s="1"/>
      <c r="L55" s="1">
        <f t="shared" si="23"/>
        <v>2689.96</v>
      </c>
      <c r="M55" s="1"/>
      <c r="N55" s="5">
        <f t="shared" si="24"/>
        <v>3.7886226954549937</v>
      </c>
      <c r="O55" s="14"/>
      <c r="P55" s="1">
        <f>SUM(OSRRefP22_7x_0)</f>
        <v>5310.34</v>
      </c>
      <c r="Q55" s="1"/>
      <c r="R55" s="5">
        <f t="shared" si="25"/>
        <v>5.1745126647102214E-2</v>
      </c>
      <c r="S55" s="1"/>
      <c r="T55" s="1">
        <f>SUM(OSRRefT22_7x_0)</f>
        <v>3639.3599999999997</v>
      </c>
      <c r="U55" s="1"/>
      <c r="V55" s="5">
        <f t="shared" si="26"/>
        <v>3.3405507425725532E-2</v>
      </c>
      <c r="W55" s="1"/>
      <c r="X55" s="1">
        <f t="shared" si="27"/>
        <v>1670.9800000000005</v>
      </c>
      <c r="Y55" s="1"/>
      <c r="Z55" s="5">
        <f t="shared" si="28"/>
        <v>0.45914116767783364</v>
      </c>
    </row>
    <row r="56" spans="1:26" s="24" customFormat="1" hidden="1" outlineLevel="2" x14ac:dyDescent="0.25">
      <c r="A56" s="29"/>
      <c r="B56" s="11" t="str">
        <f>CONCATENATE("          ", "6234", " - ", "EXPENDABLE SUPPLIES &amp; EQUIPMEN")</f>
        <v xml:space="preserve">          6234 - EXPENDABLE SUPPLIES &amp; EQUIPMEN</v>
      </c>
      <c r="C56" s="11"/>
      <c r="D56" s="7">
        <v>1000</v>
      </c>
      <c r="E56" s="2"/>
      <c r="F56" s="6">
        <f t="shared" si="21"/>
        <v>1.0430774288892391E-2</v>
      </c>
      <c r="G56" s="2"/>
      <c r="H56" s="7">
        <v>856.68</v>
      </c>
      <c r="I56" s="2"/>
      <c r="J56" s="6">
        <f t="shared" si="22"/>
        <v>8.7967370295414793E-3</v>
      </c>
      <c r="K56" s="2"/>
      <c r="L56" s="7">
        <f t="shared" si="23"/>
        <v>143.32000000000005</v>
      </c>
      <c r="M56" s="2"/>
      <c r="N56" s="6">
        <f t="shared" si="24"/>
        <v>0.16729700705047398</v>
      </c>
      <c r="O56" s="11"/>
      <c r="P56" s="7">
        <v>1017.27</v>
      </c>
      <c r="Q56" s="2"/>
      <c r="R56" s="6">
        <f t="shared" si="25"/>
        <v>9.9125037162022898E-3</v>
      </c>
      <c r="S56" s="2"/>
      <c r="T56" s="7">
        <v>856.68</v>
      </c>
      <c r="U56" s="2"/>
      <c r="V56" s="6">
        <f t="shared" si="26"/>
        <v>7.8634238166794563E-3</v>
      </c>
      <c r="W56" s="2"/>
      <c r="X56" s="7">
        <f t="shared" si="27"/>
        <v>160.59000000000003</v>
      </c>
      <c r="Y56" s="2"/>
      <c r="Z56" s="6">
        <f t="shared" si="28"/>
        <v>0.18745622636223566</v>
      </c>
    </row>
    <row r="57" spans="1:26" s="24" customFormat="1" hidden="1" outlineLevel="2" x14ac:dyDescent="0.25">
      <c r="A57" s="29"/>
      <c r="B57" s="11" t="str">
        <f>CONCATENATE("          ", "6243", " - ", "PAPER SUPPLIES")</f>
        <v xml:space="preserve">          6243 - PAPER SUPPLIES</v>
      </c>
      <c r="C57" s="11"/>
      <c r="D57" s="7">
        <v>1496.95</v>
      </c>
      <c r="E57" s="2"/>
      <c r="F57" s="6">
        <f t="shared" si="21"/>
        <v>1.5614347571757467E-2</v>
      </c>
      <c r="G57" s="2"/>
      <c r="H57" s="7">
        <v>-154.74</v>
      </c>
      <c r="I57" s="2"/>
      <c r="J57" s="6">
        <f t="shared" si="22"/>
        <v>-1.588932959741384E-3</v>
      </c>
      <c r="K57" s="2"/>
      <c r="L57" s="7">
        <f t="shared" si="23"/>
        <v>1651.69</v>
      </c>
      <c r="M57" s="2"/>
      <c r="N57" s="6">
        <f t="shared" si="24"/>
        <v>-10.67396923872302</v>
      </c>
      <c r="O57" s="11"/>
      <c r="P57" s="7">
        <v>2658.29</v>
      </c>
      <c r="Q57" s="2"/>
      <c r="R57" s="6">
        <f t="shared" si="25"/>
        <v>2.5902965293131013E-2</v>
      </c>
      <c r="S57" s="2"/>
      <c r="T57" s="7">
        <v>2282.29</v>
      </c>
      <c r="U57" s="2"/>
      <c r="V57" s="6">
        <f t="shared" si="26"/>
        <v>2.0949028274932713E-2</v>
      </c>
      <c r="W57" s="2"/>
      <c r="X57" s="7">
        <f t="shared" si="27"/>
        <v>376</v>
      </c>
      <c r="Y57" s="2"/>
      <c r="Z57" s="6">
        <f t="shared" si="28"/>
        <v>0.16474681131670385</v>
      </c>
    </row>
    <row r="58" spans="1:26" s="24" customFormat="1" hidden="1" outlineLevel="2" x14ac:dyDescent="0.25">
      <c r="A58" s="29"/>
      <c r="B58" s="11" t="str">
        <f>CONCATENATE("          ", "6245", " - ", "PRINTING")</f>
        <v xml:space="preserve">          6245 - PRINTING</v>
      </c>
      <c r="C58" s="11"/>
      <c r="D58" s="7">
        <v>-12.7</v>
      </c>
      <c r="E58" s="2"/>
      <c r="F58" s="6">
        <f t="shared" si="21"/>
        <v>-1.3247083346893337E-4</v>
      </c>
      <c r="G58" s="2"/>
      <c r="H58" s="7">
        <v>8.07</v>
      </c>
      <c r="I58" s="2"/>
      <c r="J58" s="6">
        <f t="shared" si="22"/>
        <v>8.2866026787598346E-5</v>
      </c>
      <c r="K58" s="2"/>
      <c r="L58" s="7">
        <f t="shared" si="23"/>
        <v>-20.77</v>
      </c>
      <c r="M58" s="2"/>
      <c r="N58" s="6">
        <f t="shared" si="24"/>
        <v>-2.5737298636926886</v>
      </c>
      <c r="O58" s="11"/>
      <c r="P58" s="7">
        <v>-12.7</v>
      </c>
      <c r="Q58" s="2"/>
      <c r="R58" s="6">
        <f t="shared" si="25"/>
        <v>-1.2375160694384882E-4</v>
      </c>
      <c r="S58" s="2"/>
      <c r="T58" s="7">
        <v>10.69</v>
      </c>
      <c r="U58" s="2"/>
      <c r="V58" s="6">
        <f t="shared" si="26"/>
        <v>9.8122987113395194E-5</v>
      </c>
      <c r="W58" s="2"/>
      <c r="X58" s="7">
        <f t="shared" si="27"/>
        <v>-23.39</v>
      </c>
      <c r="Y58" s="2"/>
      <c r="Z58" s="6">
        <f t="shared" si="28"/>
        <v>-2.1880261927034614</v>
      </c>
    </row>
    <row r="59" spans="1:26" s="24" customFormat="1" hidden="1" outlineLevel="2" x14ac:dyDescent="0.25">
      <c r="A59" s="29"/>
      <c r="B59" s="11" t="str">
        <f>CONCATENATE("          ", "6247", " - ", "STORE SUPPLIES")</f>
        <v xml:space="preserve">          6247 - STORE SUPPLIES</v>
      </c>
      <c r="C59" s="11"/>
      <c r="D59" s="7">
        <v>915.72</v>
      </c>
      <c r="E59" s="2"/>
      <c r="F59" s="6">
        <f t="shared" si="21"/>
        <v>9.5516686318245416E-3</v>
      </c>
      <c r="G59" s="2"/>
      <c r="H59" s="7"/>
      <c r="I59" s="2"/>
      <c r="J59" s="6">
        <f t="shared" si="22"/>
        <v>0</v>
      </c>
      <c r="K59" s="2"/>
      <c r="L59" s="7">
        <f t="shared" si="23"/>
        <v>915.72</v>
      </c>
      <c r="M59" s="2"/>
      <c r="N59" s="6">
        <f t="shared" si="24"/>
        <v>0</v>
      </c>
      <c r="O59" s="11"/>
      <c r="P59" s="7">
        <v>1647.48</v>
      </c>
      <c r="Q59" s="2"/>
      <c r="R59" s="6">
        <f t="shared" si="25"/>
        <v>1.6053409244712762E-2</v>
      </c>
      <c r="S59" s="2"/>
      <c r="T59" s="7">
        <v>489.7</v>
      </c>
      <c r="U59" s="2"/>
      <c r="V59" s="6">
        <f t="shared" si="26"/>
        <v>4.4949323469999653E-3</v>
      </c>
      <c r="W59" s="2"/>
      <c r="X59" s="7">
        <f t="shared" si="27"/>
        <v>1157.78</v>
      </c>
      <c r="Y59" s="2"/>
      <c r="Z59" s="6">
        <f t="shared" si="28"/>
        <v>2.364263835001021</v>
      </c>
    </row>
    <row r="60" spans="1:26" s="27" customFormat="1" outlineLevel="1" collapsed="1" x14ac:dyDescent="0.25">
      <c r="A60" s="28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SUM(OSRRefD22_8x_0)</f>
        <v>157.1</v>
      </c>
      <c r="E60" s="1"/>
      <c r="F60" s="5">
        <f t="shared" ref="F60:F61" si="29">IF(D$12=0,0,D60/D$12)</f>
        <v>1.6386746407849946E-3</v>
      </c>
      <c r="G60" s="1"/>
      <c r="H60" s="1">
        <f>SUM(OSRRefH22_8x_0)</f>
        <v>148.35</v>
      </c>
      <c r="I60" s="1"/>
      <c r="J60" s="5">
        <f t="shared" ref="J60:J61" si="30">IF(H$12=0,0,H60/H$12)</f>
        <v>1.5233178530285271E-3</v>
      </c>
      <c r="K60" s="1"/>
      <c r="L60" s="1">
        <f t="shared" ref="L60:L61" si="31">+D60-H60</f>
        <v>8.75</v>
      </c>
      <c r="M60" s="1"/>
      <c r="N60" s="5">
        <f t="shared" ref="N60:N61" si="32">IF(H60=0,0,L60/H60)</f>
        <v>5.8982136838557471E-2</v>
      </c>
      <c r="O60" s="14"/>
      <c r="P60" s="1">
        <f>SUM(OSRRefP22_8x_0)</f>
        <v>245.75</v>
      </c>
      <c r="Q60" s="1"/>
      <c r="R60" s="5">
        <f t="shared" ref="R60:R61" si="33">IF(P$12=0,0,P60/P$12)</f>
        <v>2.3946423154685707E-3</v>
      </c>
      <c r="S60" s="1"/>
      <c r="T60" s="1">
        <f>SUM(OSRRefT22_8x_0)</f>
        <v>213.45</v>
      </c>
      <c r="U60" s="1"/>
      <c r="V60" s="5">
        <f t="shared" ref="V60:V61" si="34">IF(T$12=0,0,T60/T$12)</f>
        <v>1.9592471093876711E-3</v>
      </c>
      <c r="W60" s="1"/>
      <c r="X60" s="1">
        <f t="shared" ref="X60:X61" si="35">+P60-T60</f>
        <v>32.300000000000011</v>
      </c>
      <c r="Y60" s="1"/>
      <c r="Z60" s="5">
        <f t="shared" ref="Z60:Z61" si="36">IF(T60=0,0,X60/T60)</f>
        <v>0.1513234949636918</v>
      </c>
    </row>
    <row r="61" spans="1:26" s="24" customFormat="1" hidden="1" outlineLevel="2" x14ac:dyDescent="0.25">
      <c r="A61" s="29"/>
      <c r="B61" s="11" t="str">
        <f>CONCATENATE("          ", "6309", " - ", "TELEPHONE")</f>
        <v xml:space="preserve">          6309 - TELEPHONE</v>
      </c>
      <c r="C61" s="11"/>
      <c r="D61" s="7">
        <v>157.1</v>
      </c>
      <c r="E61" s="2"/>
      <c r="F61" s="6">
        <f t="shared" si="29"/>
        <v>1.6386746407849946E-3</v>
      </c>
      <c r="G61" s="2"/>
      <c r="H61" s="7">
        <v>148.35</v>
      </c>
      <c r="I61" s="2"/>
      <c r="J61" s="6">
        <f t="shared" si="30"/>
        <v>1.5233178530285271E-3</v>
      </c>
      <c r="K61" s="2"/>
      <c r="L61" s="7">
        <f t="shared" si="31"/>
        <v>8.75</v>
      </c>
      <c r="M61" s="2"/>
      <c r="N61" s="6">
        <f t="shared" si="32"/>
        <v>5.8982136838557471E-2</v>
      </c>
      <c r="O61" s="11"/>
      <c r="P61" s="7">
        <v>245.75</v>
      </c>
      <c r="Q61" s="2"/>
      <c r="R61" s="6">
        <f t="shared" si="33"/>
        <v>2.3946423154685707E-3</v>
      </c>
      <c r="S61" s="2"/>
      <c r="T61" s="7">
        <v>213.45</v>
      </c>
      <c r="U61" s="2"/>
      <c r="V61" s="6">
        <f t="shared" si="34"/>
        <v>1.9592471093876711E-3</v>
      </c>
      <c r="W61" s="2"/>
      <c r="X61" s="7">
        <f t="shared" si="35"/>
        <v>32.300000000000011</v>
      </c>
      <c r="Y61" s="2"/>
      <c r="Z61" s="6">
        <f t="shared" si="36"/>
        <v>0.1513234949636918</v>
      </c>
    </row>
    <row r="62" spans="1:26" s="62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25">
      <c r="A63" s="10"/>
      <c r="B63" s="25" t="s">
        <v>0</v>
      </c>
      <c r="C63" s="10"/>
      <c r="D63" s="4">
        <f>SUM(OSRRefD25x_0)</f>
        <v>13269</v>
      </c>
      <c r="E63" s="4"/>
      <c r="F63" s="12">
        <f t="shared" ref="F63:F64" si="37">IF(D$12=0,0,D63/D$12)</f>
        <v>0.13840594403931314</v>
      </c>
      <c r="G63" s="4"/>
      <c r="H63" s="4">
        <f>SUM(OSRRefH25x_0)</f>
        <v>12083</v>
      </c>
      <c r="I63" s="4"/>
      <c r="J63" s="12">
        <f t="shared" ref="J63:J64" si="38">IF(H$12=0,0,H63/H$12)</f>
        <v>0.12407313527565685</v>
      </c>
      <c r="K63" s="4"/>
      <c r="L63" s="4">
        <f t="shared" ref="L63:L64" si="39">+D63-H63</f>
        <v>1186</v>
      </c>
      <c r="M63" s="4"/>
      <c r="N63" s="12">
        <f t="shared" ref="N63:N64" si="40">IF(H63=0,0,L63/H63)</f>
        <v>9.8154431846395759E-2</v>
      </c>
      <c r="O63" s="10"/>
      <c r="P63" s="4">
        <f>SUM(OSRRefP25x_0)</f>
        <v>26538</v>
      </c>
      <c r="Q63" s="4"/>
      <c r="R63" s="12">
        <f t="shared" ref="R63:R64" si="41">IF(P$12=0,0,P63/P$12)</f>
        <v>0.25859213740754805</v>
      </c>
      <c r="S63" s="4"/>
      <c r="T63" s="4">
        <f>SUM(OSRRefT25x_0)</f>
        <v>24166</v>
      </c>
      <c r="U63" s="4"/>
      <c r="V63" s="12">
        <f t="shared" ref="V63:V64" si="42">IF(T$12=0,0,T63/T$12)</f>
        <v>0.22181853195344325</v>
      </c>
      <c r="W63" s="4"/>
      <c r="X63" s="4">
        <f t="shared" ref="X63:X64" si="43">+P63-T63</f>
        <v>2372</v>
      </c>
      <c r="Y63" s="4"/>
      <c r="Z63" s="12">
        <f t="shared" ref="Z63:Z64" si="44">IF(T63=0,0,X63/T63)</f>
        <v>9.8154431846395759E-2</v>
      </c>
    </row>
    <row r="64" spans="1:26" s="24" customFormat="1" hidden="1" outlineLevel="1" x14ac:dyDescent="0.25">
      <c r="A64" s="50"/>
      <c r="B64" s="11" t="str">
        <f>CONCATENATE("          ", "9150", " - ", "MISC. INCOME")</f>
        <v xml:space="preserve">          9150 - MISC. INCOME</v>
      </c>
      <c r="C64" s="11"/>
      <c r="D64" s="2">
        <f>--13269</f>
        <v>13269</v>
      </c>
      <c r="E64" s="2"/>
      <c r="F64" s="21">
        <f t="shared" si="37"/>
        <v>0.13840594403931314</v>
      </c>
      <c r="G64" s="2"/>
      <c r="H64" s="2">
        <f>--12083</f>
        <v>12083</v>
      </c>
      <c r="I64" s="2"/>
      <c r="J64" s="21">
        <f t="shared" si="38"/>
        <v>0.12407313527565685</v>
      </c>
      <c r="K64" s="2"/>
      <c r="L64" s="2">
        <f t="shared" si="39"/>
        <v>1186</v>
      </c>
      <c r="M64" s="2"/>
      <c r="N64" s="21">
        <f t="shared" si="40"/>
        <v>9.8154431846395759E-2</v>
      </c>
      <c r="O64" s="11"/>
      <c r="P64" s="2">
        <f>--26538</f>
        <v>26538</v>
      </c>
      <c r="Q64" s="2"/>
      <c r="R64" s="21">
        <f t="shared" si="41"/>
        <v>0.25859213740754805</v>
      </c>
      <c r="S64" s="2"/>
      <c r="T64" s="2">
        <f>--24166</f>
        <v>24166</v>
      </c>
      <c r="U64" s="2"/>
      <c r="V64" s="21">
        <f t="shared" si="42"/>
        <v>0.22181853195344325</v>
      </c>
      <c r="W64" s="2"/>
      <c r="X64" s="2">
        <f t="shared" si="43"/>
        <v>2372</v>
      </c>
      <c r="Y64" s="2"/>
      <c r="Z64" s="21">
        <f t="shared" si="44"/>
        <v>9.8154431846395759E-2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6" t="s">
        <v>3</v>
      </c>
      <c r="C66" s="26"/>
      <c r="D66" s="20">
        <f>+D28-D30+D63</f>
        <v>70740.99000000002</v>
      </c>
      <c r="E66" s="13"/>
      <c r="F66" s="19">
        <f>IF(D$12=0,0,D66/D$12)</f>
        <v>0.73788329966279398</v>
      </c>
      <c r="G66" s="13"/>
      <c r="H66" s="20">
        <f>+H28-H30+H63</f>
        <v>69295.120000000024</v>
      </c>
      <c r="I66" s="13"/>
      <c r="J66" s="19">
        <f>IF(H$12=0,0,H66/H$12)</f>
        <v>0.71155034326763866</v>
      </c>
      <c r="K66" s="15"/>
      <c r="L66" s="20">
        <f>+D66-H66</f>
        <v>1445.8699999999953</v>
      </c>
      <c r="M66" s="15"/>
      <c r="N66" s="19">
        <f>IF(H66=0,0,L66/H66)</f>
        <v>2.0865394273074277E-2</v>
      </c>
      <c r="O66" s="25"/>
      <c r="P66" s="20">
        <f>+P28-P30+P63</f>
        <v>56847.820000000022</v>
      </c>
      <c r="Q66" s="13"/>
      <c r="R66" s="19">
        <f>IF(P$12=0,0,P66/P$12)</f>
        <v>0.55393772253973783</v>
      </c>
      <c r="S66" s="13"/>
      <c r="T66" s="20">
        <f>+T28-T30+T63</f>
        <v>53940.900000000023</v>
      </c>
      <c r="U66" s="13"/>
      <c r="V66" s="19">
        <f>IF(T$12=0,0,T66/T$12)</f>
        <v>0.49512088265527981</v>
      </c>
      <c r="W66" s="15"/>
      <c r="X66" s="20">
        <f>+P66-T66</f>
        <v>2906.9199999999983</v>
      </c>
      <c r="Y66" s="15"/>
      <c r="Z66" s="19">
        <f>IF(T66=0,0,X66/T66)</f>
        <v>5.3890832373949954E-2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1"/>
      <c r="B68" s="10" t="s">
        <v>13</v>
      </c>
      <c r="C68" s="10"/>
      <c r="D68" s="4">
        <v>11390.94</v>
      </c>
      <c r="E68" s="4"/>
      <c r="F68" s="12">
        <f>IF(D$12=0,0,D68/D$12)</f>
        <v>0.11881632407831591</v>
      </c>
      <c r="G68" s="4"/>
      <c r="H68" s="4">
        <v>8749.73</v>
      </c>
      <c r="I68" s="4"/>
      <c r="J68" s="12">
        <f>IF(H$12=0,0,H68/H$12)</f>
        <v>8.984576958664843E-2</v>
      </c>
      <c r="K68" s="4"/>
      <c r="L68" s="4">
        <f>+D68-H68</f>
        <v>2641.2100000000009</v>
      </c>
      <c r="M68" s="4"/>
      <c r="N68" s="12">
        <f>IF(H68=0,0,L68/H68)</f>
        <v>0.30186188602391173</v>
      </c>
      <c r="O68" s="10"/>
      <c r="P68" s="4">
        <v>12795.46</v>
      </c>
      <c r="Q68" s="4"/>
      <c r="R68" s="12">
        <f>IF(P$12=0,0,P68/P$12)</f>
        <v>0.12468179028234171</v>
      </c>
      <c r="S68" s="4"/>
      <c r="T68" s="4">
        <v>11122.76</v>
      </c>
      <c r="U68" s="4"/>
      <c r="V68" s="12">
        <f>IF(T$12=0,0,T68/T$12)</f>
        <v>0.10209526998553672</v>
      </c>
      <c r="W68" s="4"/>
      <c r="X68" s="4">
        <f>+P68-T68</f>
        <v>1672.6999999999989</v>
      </c>
      <c r="Y68" s="4"/>
      <c r="Z68" s="12">
        <f>IF(T68=0,0,X68/T68)</f>
        <v>0.15038533601372311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6" t="s">
        <v>4</v>
      </c>
      <c r="C70" s="26"/>
      <c r="D70" s="31">
        <f>+D66-D68</f>
        <v>59350.050000000017</v>
      </c>
      <c r="E70" s="13"/>
      <c r="F70" s="36">
        <f>IF(D$12=0,0,D70/D$12)</f>
        <v>0.6190669755844781</v>
      </c>
      <c r="G70" s="13"/>
      <c r="H70" s="31">
        <f>+H66-H68</f>
        <v>60545.390000000029</v>
      </c>
      <c r="I70" s="13"/>
      <c r="J70" s="36">
        <f>IF(H$12=0,0,H70/H$12)</f>
        <v>0.62170457368099019</v>
      </c>
      <c r="K70" s="15"/>
      <c r="L70" s="31">
        <f>D70-H70</f>
        <v>-1195.3400000000111</v>
      </c>
      <c r="M70" s="15"/>
      <c r="N70" s="36">
        <f>IF(H70=0,0,L70/H70)</f>
        <v>-1.9742873900060937E-2</v>
      </c>
      <c r="O70" s="25"/>
      <c r="P70" s="31">
        <f>+P66-P68</f>
        <v>44052.360000000022</v>
      </c>
      <c r="Q70" s="13"/>
      <c r="R70" s="36">
        <f>IF(P$12=0,0,P70/P$12)</f>
        <v>0.42925593225739611</v>
      </c>
      <c r="S70" s="13"/>
      <c r="T70" s="31">
        <f>+T66-T68</f>
        <v>42818.140000000021</v>
      </c>
      <c r="U70" s="13"/>
      <c r="V70" s="36">
        <f>IF(T$12=0,0,T70/T$12)</f>
        <v>0.39302561266974306</v>
      </c>
      <c r="W70" s="15"/>
      <c r="X70" s="31">
        <f>P70-T70</f>
        <v>1234.2200000000012</v>
      </c>
      <c r="Y70" s="15"/>
      <c r="Z70" s="36">
        <f>IF(T70=0,0,X70/T70)</f>
        <v>2.8824699064461945E-2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6" t="s">
        <v>5</v>
      </c>
      <c r="C73" s="26"/>
      <c r="D73" s="32">
        <f>SUM(D70:D72)</f>
        <v>59350.050000000017</v>
      </c>
      <c r="E73" s="13"/>
      <c r="F73" s="30">
        <f>IF(D$12=0,0,D73/D$12)</f>
        <v>0.6190669755844781</v>
      </c>
      <c r="G73" s="13"/>
      <c r="H73" s="32">
        <f>SUM(H70:H72)</f>
        <v>60545.390000000029</v>
      </c>
      <c r="I73" s="13"/>
      <c r="J73" s="30">
        <f>IF(H$12=0,0,H73/H$12)</f>
        <v>0.62170457368099019</v>
      </c>
      <c r="K73" s="15"/>
      <c r="L73" s="32">
        <f>+D73-H73</f>
        <v>-1195.3400000000111</v>
      </c>
      <c r="M73" s="15"/>
      <c r="N73" s="30">
        <f>IF(H73=0,0,L73/H73)</f>
        <v>-1.9742873900060937E-2</v>
      </c>
      <c r="O73" s="25"/>
      <c r="P73" s="32">
        <f>SUM(P70:P72)</f>
        <v>44052.360000000022</v>
      </c>
      <c r="Q73" s="13"/>
      <c r="R73" s="30">
        <f>IF(P$12=0,0,P73/P$12)</f>
        <v>0.42925593225739611</v>
      </c>
      <c r="S73" s="13"/>
      <c r="T73" s="32">
        <f>SUM(T70:T72)</f>
        <v>42818.140000000021</v>
      </c>
      <c r="U73" s="13"/>
      <c r="V73" s="30">
        <f>IF(T$12=0,0,T73/T$12)</f>
        <v>0.39302561266974306</v>
      </c>
      <c r="W73" s="15"/>
      <c r="X73" s="32">
        <f>+P73-T73</f>
        <v>1234.2200000000012</v>
      </c>
      <c r="Y73" s="15"/>
      <c r="Z73" s="30">
        <f>IF(T73=0,0,X73/T73)</f>
        <v>2.8824699064461945E-2</v>
      </c>
    </row>
    <row r="74" spans="1:26" ht="15.75" thickTop="1" x14ac:dyDescent="0.25">
      <c r="A74" s="9"/>
      <c r="C74" s="9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57">
        <v>43732.709771412039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60" t="s">
        <v>313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6"/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","320", " - ", "Customer Service (old)")</f>
        <v>Department 320 - Customer Service (old)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1496.3999999999999</v>
      </c>
      <c r="E12" s="4"/>
      <c r="F12" s="12"/>
      <c r="G12" s="4"/>
      <c r="H12" s="4">
        <f>SUM(OSRRefH13x_0)</f>
        <v>900.65</v>
      </c>
      <c r="I12" s="4"/>
      <c r="J12" s="12"/>
      <c r="K12" s="4"/>
      <c r="L12" s="4">
        <f t="shared" ref="L12:L16" si="0">+D12-H12</f>
        <v>595.74999999999989</v>
      </c>
      <c r="M12" s="4"/>
      <c r="N12" s="12">
        <f t="shared" ref="N12:N16" si="1">IF(H12=0,0,L12/H12)</f>
        <v>0.66146671848109684</v>
      </c>
      <c r="O12" s="10"/>
      <c r="P12" s="4">
        <f>SUM(OSRRefP13x_0)</f>
        <v>3650.72</v>
      </c>
      <c r="Q12" s="4"/>
      <c r="R12" s="12"/>
      <c r="S12" s="4"/>
      <c r="T12" s="4">
        <f>SUM(OSRRefT13x_0)</f>
        <v>3942.0699999999997</v>
      </c>
      <c r="U12" s="4"/>
      <c r="V12" s="12"/>
      <c r="W12" s="4"/>
      <c r="X12" s="4">
        <f t="shared" ref="X12:X16" si="2">+P12-T12</f>
        <v>-291.34999999999991</v>
      </c>
      <c r="Y12" s="4"/>
      <c r="Z12" s="12">
        <f t="shared" ref="Z12:Z16" si="3">IF(T12=0,0,X12/T12)</f>
        <v>-7.3907870737962525E-2</v>
      </c>
    </row>
    <row r="13" spans="1:26" s="24" customFormat="1" hidden="1" outlineLevel="1" x14ac:dyDescent="0.25">
      <c r="A13" s="50"/>
      <c r="B13" s="11" t="str">
        <f>CONCATENATE("          ", "4092", " - ", "TAXABLE SALES-GRAD MERCH")</f>
        <v xml:space="preserve">          4092 - TAXABLE SALES-GRAD MERCH</v>
      </c>
      <c r="C13" s="11"/>
      <c r="D13" s="2">
        <f>--1734.05</f>
        <v>1734.05</v>
      </c>
      <c r="E13" s="2"/>
      <c r="F13" s="21"/>
      <c r="G13" s="2"/>
      <c r="H13" s="2">
        <f>--677.9</f>
        <v>677.9</v>
      </c>
      <c r="I13" s="2"/>
      <c r="J13" s="21"/>
      <c r="K13" s="2"/>
      <c r="L13" s="2">
        <f t="shared" si="0"/>
        <v>1056.1500000000001</v>
      </c>
      <c r="M13" s="2"/>
      <c r="N13" s="21">
        <f t="shared" si="1"/>
        <v>1.5579731523823575</v>
      </c>
      <c r="O13" s="11"/>
      <c r="P13" s="2">
        <f>--3862.68</f>
        <v>3862.68</v>
      </c>
      <c r="Q13" s="2"/>
      <c r="R13" s="21"/>
      <c r="S13" s="2"/>
      <c r="T13" s="2">
        <f>--4016.4</f>
        <v>4016.4</v>
      </c>
      <c r="U13" s="2"/>
      <c r="V13" s="21"/>
      <c r="W13" s="2"/>
      <c r="X13" s="2">
        <f t="shared" si="2"/>
        <v>-153.72000000000025</v>
      </c>
      <c r="Y13" s="2"/>
      <c r="Z13" s="21">
        <f t="shared" si="3"/>
        <v>-3.8273080370481091E-2</v>
      </c>
    </row>
    <row r="14" spans="1:26" s="24" customFormat="1" hidden="1" outlineLevel="1" x14ac:dyDescent="0.25">
      <c r="A14" s="50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--121.55</f>
        <v>121.55</v>
      </c>
      <c r="E14" s="2"/>
      <c r="F14" s="21"/>
      <c r="G14" s="2"/>
      <c r="H14" s="2">
        <f>--321.75</f>
        <v>321.75</v>
      </c>
      <c r="I14" s="2"/>
      <c r="J14" s="21"/>
      <c r="K14" s="2"/>
      <c r="L14" s="2">
        <f t="shared" si="0"/>
        <v>-200.2</v>
      </c>
      <c r="M14" s="2"/>
      <c r="N14" s="21">
        <f t="shared" si="1"/>
        <v>-0.62222222222222223</v>
      </c>
      <c r="O14" s="11"/>
      <c r="P14" s="2">
        <f>--157.19</f>
        <v>157.19</v>
      </c>
      <c r="Q14" s="2"/>
      <c r="R14" s="21"/>
      <c r="S14" s="2"/>
      <c r="T14" s="2">
        <f>--502.92</f>
        <v>502.92</v>
      </c>
      <c r="U14" s="2"/>
      <c r="V14" s="21"/>
      <c r="W14" s="2"/>
      <c r="X14" s="2">
        <f t="shared" si="2"/>
        <v>-345.73</v>
      </c>
      <c r="Y14" s="2"/>
      <c r="Z14" s="21">
        <f t="shared" si="3"/>
        <v>-0.68744531933508313</v>
      </c>
    </row>
    <row r="15" spans="1:26" s="24" customFormat="1" hidden="1" outlineLevel="1" x14ac:dyDescent="0.25">
      <c r="A15" s="50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>-359.2</f>
        <v>-359.2</v>
      </c>
      <c r="E15" s="2"/>
      <c r="F15" s="21"/>
      <c r="G15" s="2"/>
      <c r="H15" s="2">
        <f>0</f>
        <v>0</v>
      </c>
      <c r="I15" s="2"/>
      <c r="J15" s="21"/>
      <c r="K15" s="2"/>
      <c r="L15" s="2">
        <f t="shared" si="0"/>
        <v>-359.2</v>
      </c>
      <c r="M15" s="2"/>
      <c r="N15" s="21">
        <f t="shared" si="1"/>
        <v>0</v>
      </c>
      <c r="O15" s="11"/>
      <c r="P15" s="2">
        <f>-369.15</f>
        <v>-369.15</v>
      </c>
      <c r="Q15" s="2"/>
      <c r="R15" s="21"/>
      <c r="S15" s="2"/>
      <c r="T15" s="2">
        <f>-478.25</f>
        <v>-478.25</v>
      </c>
      <c r="U15" s="2"/>
      <c r="V15" s="21"/>
      <c r="W15" s="2"/>
      <c r="X15" s="2">
        <f t="shared" si="2"/>
        <v>109.10000000000002</v>
      </c>
      <c r="Y15" s="2"/>
      <c r="Z15" s="21">
        <f t="shared" si="3"/>
        <v>-0.22812336644014641</v>
      </c>
    </row>
    <row r="16" spans="1:26" s="24" customFormat="1" hidden="1" outlineLevel="1" x14ac:dyDescent="0.25">
      <c r="A16" s="50"/>
      <c r="B16" s="11" t="str">
        <f>CONCATENATE("          ", "4295", " - ", "SALES RETURN TAXABLE-CUSTOMER")</f>
        <v xml:space="preserve">          4295 - SALES RETURN TAXABLE-CUSTOMER</v>
      </c>
      <c r="C16" s="11"/>
      <c r="D16" s="2">
        <f>0</f>
        <v>0</v>
      </c>
      <c r="E16" s="2"/>
      <c r="F16" s="21"/>
      <c r="G16" s="2"/>
      <c r="H16" s="2">
        <f>-99</f>
        <v>-99</v>
      </c>
      <c r="I16" s="2"/>
      <c r="J16" s="21"/>
      <c r="K16" s="2"/>
      <c r="L16" s="2">
        <f t="shared" si="0"/>
        <v>99</v>
      </c>
      <c r="M16" s="2"/>
      <c r="N16" s="21">
        <f t="shared" si="1"/>
        <v>-1</v>
      </c>
      <c r="O16" s="11"/>
      <c r="P16" s="2">
        <f>0</f>
        <v>0</v>
      </c>
      <c r="Q16" s="2"/>
      <c r="R16" s="21"/>
      <c r="S16" s="2"/>
      <c r="T16" s="2">
        <f>-99</f>
        <v>-99</v>
      </c>
      <c r="U16" s="2"/>
      <c r="V16" s="21"/>
      <c r="W16" s="2"/>
      <c r="X16" s="2">
        <f t="shared" si="2"/>
        <v>99</v>
      </c>
      <c r="Y16" s="2"/>
      <c r="Z16" s="21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820.97</v>
      </c>
      <c r="E18" s="4"/>
      <c r="F18" s="12">
        <f t="shared" ref="F18:F23" si="4">IF(D$12=0,0,D18/D$12)</f>
        <v>0.54863004544239513</v>
      </c>
      <c r="G18" s="4"/>
      <c r="H18" s="4">
        <f>SUM(OSRRefH16x_0)</f>
        <v>281.34999999999991</v>
      </c>
      <c r="I18" s="4"/>
      <c r="J18" s="12">
        <f t="shared" ref="J18:J23" si="5">IF(H$12=0,0,H18/H$12)</f>
        <v>0.31238549936157212</v>
      </c>
      <c r="K18" s="4"/>
      <c r="L18" s="4">
        <f t="shared" ref="L18:L23" si="6">+D18-H18</f>
        <v>539.62000000000012</v>
      </c>
      <c r="M18" s="4"/>
      <c r="N18" s="12">
        <f t="shared" ref="N18:N23" si="7">IF(H18=0,0,L18/H18)</f>
        <v>1.9179669450861927</v>
      </c>
      <c r="O18" s="10"/>
      <c r="P18" s="4">
        <f>SUM(OSRRefP16x_0)</f>
        <v>1865.4199999999998</v>
      </c>
      <c r="Q18" s="4"/>
      <c r="R18" s="12">
        <f t="shared" ref="R18:R23" si="8">IF(P$12=0,0,P18/P$12)</f>
        <v>0.5109731778936758</v>
      </c>
      <c r="S18" s="4"/>
      <c r="T18" s="4">
        <f>SUM(OSRRefT16x_0)</f>
        <v>1448.65</v>
      </c>
      <c r="U18" s="4"/>
      <c r="V18" s="12">
        <f t="shared" ref="V18:V23" si="9">IF(T$12=0,0,T18/T$12)</f>
        <v>0.36748459565659669</v>
      </c>
      <c r="W18" s="4"/>
      <c r="X18" s="4">
        <f t="shared" ref="X18:X23" si="10">+P18-T18</f>
        <v>416.76999999999975</v>
      </c>
      <c r="Y18" s="4"/>
      <c r="Z18" s="12">
        <f t="shared" ref="Z18:Z23" si="11">IF(T18=0,0,X18/T18)</f>
        <v>0.28769544058261121</v>
      </c>
    </row>
    <row r="19" spans="1:26" s="24" customFormat="1" hidden="1" outlineLevel="1" x14ac:dyDescent="0.25">
      <c r="A19" s="50"/>
      <c r="B19" s="11" t="str">
        <f>CONCATENATE("          ", "5092", " - ", "PURCHASES @ COST-GRAD MERCH")</f>
        <v xml:space="preserve">          5092 - PURCHASES @ COST-GRAD MERCH</v>
      </c>
      <c r="C19" s="11"/>
      <c r="D19" s="2">
        <v>-600.6</v>
      </c>
      <c r="E19" s="2"/>
      <c r="F19" s="21">
        <f t="shared" si="4"/>
        <v>-0.40136327185244591</v>
      </c>
      <c r="G19" s="2"/>
      <c r="H19" s="2">
        <v>-1509.65</v>
      </c>
      <c r="I19" s="2"/>
      <c r="J19" s="21">
        <f t="shared" si="5"/>
        <v>-1.6761783156609118</v>
      </c>
      <c r="K19" s="2"/>
      <c r="L19" s="2">
        <f t="shared" si="6"/>
        <v>909.05000000000007</v>
      </c>
      <c r="M19" s="2"/>
      <c r="N19" s="21">
        <f t="shared" si="7"/>
        <v>-0.60215944093001694</v>
      </c>
      <c r="O19" s="11"/>
      <c r="P19" s="2">
        <v>628</v>
      </c>
      <c r="Q19" s="2"/>
      <c r="R19" s="21">
        <f t="shared" si="8"/>
        <v>0.1720208616382522</v>
      </c>
      <c r="S19" s="2"/>
      <c r="T19" s="2">
        <v>-2745.04</v>
      </c>
      <c r="U19" s="2"/>
      <c r="V19" s="21">
        <f t="shared" si="9"/>
        <v>-0.69634481376535684</v>
      </c>
      <c r="W19" s="2"/>
      <c r="X19" s="2">
        <f t="shared" si="10"/>
        <v>3373.04</v>
      </c>
      <c r="Y19" s="2"/>
      <c r="Z19" s="21">
        <f t="shared" si="11"/>
        <v>-1.2287762655553289</v>
      </c>
    </row>
    <row r="20" spans="1:26" s="24" customFormat="1" hidden="1" outlineLevel="1" x14ac:dyDescent="0.25">
      <c r="A20" s="50"/>
      <c r="B20" s="11" t="str">
        <f>CONCATENATE("          ", "5095", " - ", "PURCHASES @ COST-CUSTOMER SERV")</f>
        <v xml:space="preserve">          5095 - PURCHASES @ COST-CUSTOMER SERV</v>
      </c>
      <c r="C20" s="11"/>
      <c r="D20" s="2"/>
      <c r="E20" s="2"/>
      <c r="F20" s="21">
        <f t="shared" si="4"/>
        <v>0</v>
      </c>
      <c r="G20" s="2"/>
      <c r="H20" s="2"/>
      <c r="I20" s="2"/>
      <c r="J20" s="21">
        <f t="shared" si="5"/>
        <v>0</v>
      </c>
      <c r="K20" s="2"/>
      <c r="L20" s="2">
        <f t="shared" si="6"/>
        <v>0</v>
      </c>
      <c r="M20" s="2"/>
      <c r="N20" s="21">
        <f t="shared" si="7"/>
        <v>0</v>
      </c>
      <c r="O20" s="11"/>
      <c r="P20" s="2">
        <v>11.85</v>
      </c>
      <c r="Q20" s="2"/>
      <c r="R20" s="21">
        <f t="shared" si="8"/>
        <v>3.2459350484288032E-3</v>
      </c>
      <c r="S20" s="2"/>
      <c r="T20" s="2"/>
      <c r="U20" s="2"/>
      <c r="V20" s="21">
        <f t="shared" si="9"/>
        <v>0</v>
      </c>
      <c r="W20" s="2"/>
      <c r="X20" s="2">
        <f t="shared" si="10"/>
        <v>11.85</v>
      </c>
      <c r="Y20" s="2"/>
      <c r="Z20" s="21">
        <f t="shared" si="11"/>
        <v>0</v>
      </c>
    </row>
    <row r="21" spans="1:26" s="24" customFormat="1" hidden="1" outlineLevel="1" x14ac:dyDescent="0.25">
      <c r="A21" s="50"/>
      <c r="B21" s="11" t="str">
        <f>CONCATENATE("          ", "5200", " - ", "PURCHASES OFFSET")</f>
        <v xml:space="preserve">          5200 - PURCHASES OFFSET</v>
      </c>
      <c r="C21" s="11"/>
      <c r="D21" s="2">
        <v>541</v>
      </c>
      <c r="E21" s="2"/>
      <c r="F21" s="21">
        <f t="shared" si="4"/>
        <v>0.36153434910451754</v>
      </c>
      <c r="G21" s="2"/>
      <c r="H21" s="2">
        <v>1510</v>
      </c>
      <c r="I21" s="2"/>
      <c r="J21" s="21">
        <f t="shared" si="5"/>
        <v>1.676566923888303</v>
      </c>
      <c r="K21" s="2"/>
      <c r="L21" s="2">
        <f t="shared" si="6"/>
        <v>-969</v>
      </c>
      <c r="M21" s="2"/>
      <c r="N21" s="21">
        <f t="shared" si="7"/>
        <v>-0.6417218543046358</v>
      </c>
      <c r="O21" s="11"/>
      <c r="P21" s="2">
        <v>-700</v>
      </c>
      <c r="Q21" s="2"/>
      <c r="R21" s="21">
        <f t="shared" si="8"/>
        <v>-0.1917429986413639</v>
      </c>
      <c r="S21" s="2"/>
      <c r="T21" s="2">
        <v>2637</v>
      </c>
      <c r="U21" s="2"/>
      <c r="V21" s="21">
        <f t="shared" si="9"/>
        <v>0.66893789303589235</v>
      </c>
      <c r="W21" s="2"/>
      <c r="X21" s="2">
        <f t="shared" si="10"/>
        <v>-3337</v>
      </c>
      <c r="Y21" s="2"/>
      <c r="Z21" s="21">
        <f t="shared" si="11"/>
        <v>-1.2654531664770572</v>
      </c>
    </row>
    <row r="22" spans="1:26" s="24" customFormat="1" hidden="1" outlineLevel="1" x14ac:dyDescent="0.25">
      <c r="A22" s="50"/>
      <c r="B22" s="11" t="str">
        <f>CONCATENATE("          ", "5300", " - ", "COG$ OFFSET")</f>
        <v xml:space="preserve">          5300 - COG$ OFFSET</v>
      </c>
      <c r="C22" s="11"/>
      <c r="D22" s="2">
        <v>821</v>
      </c>
      <c r="E22" s="2"/>
      <c r="F22" s="21">
        <f t="shared" si="4"/>
        <v>0.54865009355787231</v>
      </c>
      <c r="G22" s="2"/>
      <c r="H22" s="2">
        <v>281</v>
      </c>
      <c r="I22" s="2"/>
      <c r="J22" s="21">
        <f t="shared" si="5"/>
        <v>0.31199689113418089</v>
      </c>
      <c r="K22" s="2"/>
      <c r="L22" s="2">
        <f t="shared" si="6"/>
        <v>540</v>
      </c>
      <c r="M22" s="2"/>
      <c r="N22" s="21">
        <f t="shared" si="7"/>
        <v>1.9217081850533808</v>
      </c>
      <c r="O22" s="11"/>
      <c r="P22" s="2">
        <v>1866</v>
      </c>
      <c r="Q22" s="2"/>
      <c r="R22" s="21">
        <f t="shared" si="8"/>
        <v>0.5111320506639786</v>
      </c>
      <c r="S22" s="2"/>
      <c r="T22" s="2">
        <v>1448</v>
      </c>
      <c r="U22" s="2"/>
      <c r="V22" s="21">
        <f t="shared" si="9"/>
        <v>0.36731970766627686</v>
      </c>
      <c r="W22" s="2"/>
      <c r="X22" s="2">
        <f t="shared" si="10"/>
        <v>418</v>
      </c>
      <c r="Y22" s="2"/>
      <c r="Z22" s="21">
        <f t="shared" si="11"/>
        <v>0.28867403314917128</v>
      </c>
    </row>
    <row r="23" spans="1:26" s="24" customFormat="1" hidden="1" outlineLevel="1" x14ac:dyDescent="0.25">
      <c r="A23" s="50"/>
      <c r="B23" s="11" t="str">
        <f>CONCATENATE("          ", "5592", " - ", "FREIGHT-IN-GRAD MERCH")</f>
        <v xml:space="preserve">          5592 - FREIGHT-IN-GRAD MERCH</v>
      </c>
      <c r="C23" s="11"/>
      <c r="D23" s="2">
        <v>59.57</v>
      </c>
      <c r="E23" s="2"/>
      <c r="F23" s="21">
        <f t="shared" si="4"/>
        <v>3.9808874632451217E-2</v>
      </c>
      <c r="G23" s="2"/>
      <c r="H23" s="2"/>
      <c r="I23" s="2"/>
      <c r="J23" s="21">
        <f t="shared" si="5"/>
        <v>0</v>
      </c>
      <c r="K23" s="2"/>
      <c r="L23" s="2">
        <f t="shared" si="6"/>
        <v>59.57</v>
      </c>
      <c r="M23" s="2"/>
      <c r="N23" s="21">
        <f t="shared" si="7"/>
        <v>0</v>
      </c>
      <c r="O23" s="11"/>
      <c r="P23" s="2">
        <v>59.57</v>
      </c>
      <c r="Q23" s="2"/>
      <c r="R23" s="21">
        <f t="shared" si="8"/>
        <v>1.6317329184380069E-2</v>
      </c>
      <c r="S23" s="2"/>
      <c r="T23" s="2">
        <v>108.69</v>
      </c>
      <c r="U23" s="2"/>
      <c r="V23" s="21">
        <f t="shared" si="9"/>
        <v>2.7571808719784277E-2</v>
      </c>
      <c r="W23" s="2"/>
      <c r="X23" s="2">
        <f t="shared" si="10"/>
        <v>-49.12</v>
      </c>
      <c r="Y23" s="2"/>
      <c r="Z23" s="21">
        <f t="shared" si="11"/>
        <v>-0.45192750023001194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6" t="s">
        <v>6</v>
      </c>
      <c r="C25" s="26"/>
      <c r="D25" s="20">
        <f>D12-D18</f>
        <v>675.42999999999984</v>
      </c>
      <c r="E25" s="13"/>
      <c r="F25" s="19">
        <f>IF(D$12=0,0,D25/D$12)</f>
        <v>0.45136995455760487</v>
      </c>
      <c r="G25" s="13"/>
      <c r="H25" s="20">
        <f>H12-H18</f>
        <v>619.30000000000007</v>
      </c>
      <c r="I25" s="13"/>
      <c r="J25" s="19">
        <f>IF(H$12=0,0,H25/H$12)</f>
        <v>0.68761450063842788</v>
      </c>
      <c r="K25" s="15"/>
      <c r="L25" s="20">
        <f>+D25-H25</f>
        <v>56.129999999999768</v>
      </c>
      <c r="M25" s="15"/>
      <c r="N25" s="19">
        <f>IF(H25=0,0,L25/H25)</f>
        <v>9.0634587437428971E-2</v>
      </c>
      <c r="O25" s="25"/>
      <c r="P25" s="20">
        <f>P12-P18</f>
        <v>1785.3</v>
      </c>
      <c r="Q25" s="13"/>
      <c r="R25" s="19">
        <f>IF(P$12=0,0,P25/P$12)</f>
        <v>0.48902682210632425</v>
      </c>
      <c r="S25" s="13"/>
      <c r="T25" s="20">
        <f>T12-T18</f>
        <v>2493.4199999999996</v>
      </c>
      <c r="U25" s="13"/>
      <c r="V25" s="19">
        <f>IF(T$12=0,0,T25/T$12)</f>
        <v>0.63251540434340325</v>
      </c>
      <c r="W25" s="15"/>
      <c r="X25" s="20">
        <f>+P25-T25</f>
        <v>-708.11999999999966</v>
      </c>
      <c r="Y25" s="15"/>
      <c r="Z25" s="19">
        <f>IF(T25=0,0,X25/T25)</f>
        <v>-0.2839954760930769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5" t="s">
        <v>9</v>
      </c>
      <c r="C27" s="10"/>
      <c r="D27" s="22">
        <f>SUM(OSRRefD22x_0)</f>
        <v>-11329.329999999998</v>
      </c>
      <c r="E27" s="22"/>
      <c r="F27" s="33">
        <f t="shared" ref="F27:F35" si="12">IF(D$12=0,0,D27/D$12)</f>
        <v>-7.571057203956161</v>
      </c>
      <c r="G27" s="22"/>
      <c r="H27" s="22">
        <f>SUM(OSRRefH22x_0)</f>
        <v>-9166.7300000000014</v>
      </c>
      <c r="I27" s="22"/>
      <c r="J27" s="33">
        <f t="shared" ref="J27:J35" si="13">IF(H$12=0,0,H27/H$12)</f>
        <v>-10.177904846499752</v>
      </c>
      <c r="K27" s="4"/>
      <c r="L27" s="22">
        <f t="shared" ref="L27:L35" si="14">+D27-H27</f>
        <v>-2162.5999999999967</v>
      </c>
      <c r="M27" s="4"/>
      <c r="N27" s="33">
        <f t="shared" ref="N27:N35" si="15">IF(H27=0,0,L27/H27)</f>
        <v>0.23591837001853402</v>
      </c>
      <c r="O27" s="10"/>
      <c r="P27" s="22">
        <f>SUM(OSRRefP22x_0)</f>
        <v>-10502.91</v>
      </c>
      <c r="Q27" s="22"/>
      <c r="R27" s="33">
        <f t="shared" ref="R27:R35" si="16">IF(P$12=0,0,P27/P$12)</f>
        <v>-2.8769420826576675</v>
      </c>
      <c r="S27" s="22"/>
      <c r="T27" s="22">
        <f>SUM(OSRRefT22x_0)</f>
        <v>-7484.1899999999987</v>
      </c>
      <c r="U27" s="22"/>
      <c r="V27" s="33">
        <f t="shared" ref="V27:V35" si="17">IF(T$12=0,0,T27/T$12)</f>
        <v>-1.8985431511870665</v>
      </c>
      <c r="W27" s="4"/>
      <c r="X27" s="22">
        <f t="shared" ref="X27:X35" si="18">+P27-T27</f>
        <v>-3018.7200000000012</v>
      </c>
      <c r="Y27" s="4"/>
      <c r="Z27" s="33">
        <f t="shared" ref="Z27:Z35" si="19">IF(T27=0,0,X27/T27)</f>
        <v>0.40334625390322826</v>
      </c>
    </row>
    <row r="28" spans="1:26" s="27" customFormat="1" outlineLevel="1" collapsed="1" x14ac:dyDescent="0.25">
      <c r="A28" s="28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422.25</v>
      </c>
      <c r="E28" s="1"/>
      <c r="F28" s="5">
        <f t="shared" si="12"/>
        <v>0.28217722534081802</v>
      </c>
      <c r="G28" s="1"/>
      <c r="H28" s="1">
        <f>SUM(OSRRefH22_0x_0)</f>
        <v>0</v>
      </c>
      <c r="I28" s="1"/>
      <c r="J28" s="5">
        <f t="shared" si="13"/>
        <v>0</v>
      </c>
      <c r="K28" s="1"/>
      <c r="L28" s="1">
        <f t="shared" si="14"/>
        <v>422.25</v>
      </c>
      <c r="M28" s="1"/>
      <c r="N28" s="5">
        <f t="shared" si="15"/>
        <v>0</v>
      </c>
      <c r="O28" s="14"/>
      <c r="P28" s="1">
        <f>SUM(OSRRefP22_0x_0)</f>
        <v>835.72</v>
      </c>
      <c r="Q28" s="1"/>
      <c r="R28" s="5">
        <f t="shared" si="16"/>
        <v>0.22891922689222949</v>
      </c>
      <c r="S28" s="1"/>
      <c r="T28" s="1">
        <f>SUM(OSRRefT22_0x_0)</f>
        <v>7.64</v>
      </c>
      <c r="U28" s="1"/>
      <c r="V28" s="5">
        <f t="shared" si="17"/>
        <v>1.9380680708358806E-3</v>
      </c>
      <c r="W28" s="1"/>
      <c r="X28" s="1">
        <f t="shared" si="18"/>
        <v>828.08</v>
      </c>
      <c r="Y28" s="1"/>
      <c r="Z28" s="5">
        <f t="shared" si="19"/>
        <v>108.38743455497384</v>
      </c>
    </row>
    <row r="29" spans="1:26" s="24" customFormat="1" hidden="1" outlineLevel="2" x14ac:dyDescent="0.25">
      <c r="A29" s="29"/>
      <c r="B29" s="11" t="str">
        <f>CONCATENATE("          ", "6111", " - ", "F.I.C.A.")</f>
        <v xml:space="preserve">          6111 - F.I.C.A.</v>
      </c>
      <c r="C29" s="11"/>
      <c r="D29" s="7">
        <v>82.22</v>
      </c>
      <c r="E29" s="2"/>
      <c r="F29" s="6">
        <f t="shared" si="12"/>
        <v>5.4945201817695806E-2</v>
      </c>
      <c r="G29" s="2"/>
      <c r="H29" s="7"/>
      <c r="I29" s="2"/>
      <c r="J29" s="6">
        <f t="shared" si="13"/>
        <v>0</v>
      </c>
      <c r="K29" s="2"/>
      <c r="L29" s="7">
        <f t="shared" si="14"/>
        <v>82.22</v>
      </c>
      <c r="M29" s="2"/>
      <c r="N29" s="6">
        <f t="shared" si="15"/>
        <v>0</v>
      </c>
      <c r="O29" s="11"/>
      <c r="P29" s="7">
        <v>155.66</v>
      </c>
      <c r="Q29" s="2"/>
      <c r="R29" s="6">
        <f t="shared" si="16"/>
        <v>4.2638164526449578E-2</v>
      </c>
      <c r="S29" s="2"/>
      <c r="T29" s="7">
        <v>7.64</v>
      </c>
      <c r="U29" s="2"/>
      <c r="V29" s="6">
        <f t="shared" si="17"/>
        <v>1.9380680708358806E-3</v>
      </c>
      <c r="W29" s="2"/>
      <c r="X29" s="7">
        <f t="shared" si="18"/>
        <v>148.02000000000001</v>
      </c>
      <c r="Y29" s="2"/>
      <c r="Z29" s="6">
        <f t="shared" si="19"/>
        <v>19.374345549738223</v>
      </c>
    </row>
    <row r="30" spans="1:26" s="24" customFormat="1" hidden="1" outlineLevel="2" x14ac:dyDescent="0.25">
      <c r="A30" s="29"/>
      <c r="B30" s="11" t="str">
        <f>CONCATENATE("          ", "6112", " - ", "COMPENSATION INSURANCE")</f>
        <v xml:space="preserve">          6112 - COMPENSATION INSURANCE</v>
      </c>
      <c r="C30" s="11"/>
      <c r="D30" s="7">
        <v>18.239999999999998</v>
      </c>
      <c r="E30" s="2"/>
      <c r="F30" s="6">
        <f t="shared" si="12"/>
        <v>1.218925421010425E-2</v>
      </c>
      <c r="G30" s="2"/>
      <c r="H30" s="7"/>
      <c r="I30" s="2"/>
      <c r="J30" s="6">
        <f t="shared" si="13"/>
        <v>0</v>
      </c>
      <c r="K30" s="2"/>
      <c r="L30" s="7">
        <f t="shared" si="14"/>
        <v>18.239999999999998</v>
      </c>
      <c r="M30" s="2"/>
      <c r="N30" s="6">
        <f t="shared" si="15"/>
        <v>0</v>
      </c>
      <c r="O30" s="11"/>
      <c r="P30" s="7">
        <v>36.479999999999997</v>
      </c>
      <c r="Q30" s="2"/>
      <c r="R30" s="6">
        <f t="shared" si="16"/>
        <v>9.9925494149099344E-3</v>
      </c>
      <c r="S30" s="2"/>
      <c r="T30" s="7"/>
      <c r="U30" s="2"/>
      <c r="V30" s="6">
        <f t="shared" si="17"/>
        <v>0</v>
      </c>
      <c r="W30" s="2"/>
      <c r="X30" s="7">
        <f t="shared" si="18"/>
        <v>36.479999999999997</v>
      </c>
      <c r="Y30" s="2"/>
      <c r="Z30" s="6">
        <f t="shared" si="19"/>
        <v>0</v>
      </c>
    </row>
    <row r="31" spans="1:26" s="24" customFormat="1" hidden="1" outlineLevel="2" x14ac:dyDescent="0.25">
      <c r="A31" s="29"/>
      <c r="B31" s="11" t="str">
        <f>CONCATENATE("          ", "6113", " - ", "GROUP INSURANCE")</f>
        <v xml:space="preserve">          6113 - GROUP INSURANCE</v>
      </c>
      <c r="C31" s="11"/>
      <c r="D31" s="7">
        <v>152.63</v>
      </c>
      <c r="E31" s="2"/>
      <c r="F31" s="6">
        <f t="shared" si="12"/>
        <v>0.10199812884255548</v>
      </c>
      <c r="G31" s="2"/>
      <c r="H31" s="7"/>
      <c r="I31" s="2"/>
      <c r="J31" s="6">
        <f t="shared" si="13"/>
        <v>0</v>
      </c>
      <c r="K31" s="2"/>
      <c r="L31" s="7">
        <f t="shared" si="14"/>
        <v>152.63</v>
      </c>
      <c r="M31" s="2"/>
      <c r="N31" s="6">
        <f t="shared" si="15"/>
        <v>0</v>
      </c>
      <c r="O31" s="11"/>
      <c r="P31" s="7">
        <v>305.26</v>
      </c>
      <c r="Q31" s="2"/>
      <c r="R31" s="6">
        <f t="shared" si="16"/>
        <v>8.3616382521803923E-2</v>
      </c>
      <c r="S31" s="2"/>
      <c r="T31" s="7"/>
      <c r="U31" s="2"/>
      <c r="V31" s="6">
        <f t="shared" si="17"/>
        <v>0</v>
      </c>
      <c r="W31" s="2"/>
      <c r="X31" s="7">
        <f t="shared" si="18"/>
        <v>305.26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"6114", " - ", "STATE UNEMPLOYMENT INSURANCE")</f>
        <v xml:space="preserve">          6114 - STATE UNEMPLOYMENT INSURANCE</v>
      </c>
      <c r="C32" s="11"/>
      <c r="D32" s="7">
        <v>2.5</v>
      </c>
      <c r="E32" s="2"/>
      <c r="F32" s="6">
        <f t="shared" si="12"/>
        <v>1.6706762897620959E-3</v>
      </c>
      <c r="G32" s="2"/>
      <c r="H32" s="7"/>
      <c r="I32" s="2"/>
      <c r="J32" s="6">
        <f t="shared" si="13"/>
        <v>0</v>
      </c>
      <c r="K32" s="2"/>
      <c r="L32" s="7">
        <f t="shared" si="14"/>
        <v>2.5</v>
      </c>
      <c r="M32" s="2"/>
      <c r="N32" s="6">
        <f t="shared" si="15"/>
        <v>0</v>
      </c>
      <c r="O32" s="11"/>
      <c r="P32" s="7">
        <v>5</v>
      </c>
      <c r="Q32" s="2"/>
      <c r="R32" s="6">
        <f t="shared" si="16"/>
        <v>1.3695928474383135E-3</v>
      </c>
      <c r="S32" s="2"/>
      <c r="T32" s="7"/>
      <c r="U32" s="2"/>
      <c r="V32" s="6">
        <f t="shared" si="17"/>
        <v>0</v>
      </c>
      <c r="W32" s="2"/>
      <c r="X32" s="7">
        <f t="shared" si="18"/>
        <v>5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"6115", " - ", "P.E.R.S.")</f>
        <v xml:space="preserve">          6115 - P.E.R.S.</v>
      </c>
      <c r="C33" s="11"/>
      <c r="D33" s="7">
        <v>67.06</v>
      </c>
      <c r="E33" s="2"/>
      <c r="F33" s="6">
        <f t="shared" si="12"/>
        <v>4.4814220796578458E-2</v>
      </c>
      <c r="G33" s="2"/>
      <c r="H33" s="7"/>
      <c r="I33" s="2"/>
      <c r="J33" s="6">
        <f t="shared" si="13"/>
        <v>0</v>
      </c>
      <c r="K33" s="2"/>
      <c r="L33" s="7">
        <f t="shared" si="14"/>
        <v>67.06</v>
      </c>
      <c r="M33" s="2"/>
      <c r="N33" s="6">
        <f t="shared" si="15"/>
        <v>0</v>
      </c>
      <c r="O33" s="11"/>
      <c r="P33" s="7">
        <v>134.12</v>
      </c>
      <c r="Q33" s="2"/>
      <c r="R33" s="6">
        <f t="shared" si="16"/>
        <v>3.6737958539685325E-2</v>
      </c>
      <c r="S33" s="2"/>
      <c r="T33" s="7"/>
      <c r="U33" s="2"/>
      <c r="V33" s="6">
        <f t="shared" si="17"/>
        <v>0</v>
      </c>
      <c r="W33" s="2"/>
      <c r="X33" s="7">
        <f t="shared" si="18"/>
        <v>134.12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55.32</v>
      </c>
      <c r="E34" s="2"/>
      <c r="F34" s="6">
        <f t="shared" si="12"/>
        <v>3.696872493985566E-2</v>
      </c>
      <c r="G34" s="2"/>
      <c r="H34" s="7"/>
      <c r="I34" s="2"/>
      <c r="J34" s="6">
        <f t="shared" si="13"/>
        <v>0</v>
      </c>
      <c r="K34" s="2"/>
      <c r="L34" s="7">
        <f t="shared" si="14"/>
        <v>55.32</v>
      </c>
      <c r="M34" s="2"/>
      <c r="N34" s="6">
        <f t="shared" si="15"/>
        <v>0</v>
      </c>
      <c r="O34" s="11"/>
      <c r="P34" s="7">
        <v>110.64</v>
      </c>
      <c r="Q34" s="2"/>
      <c r="R34" s="6">
        <f t="shared" si="16"/>
        <v>3.0306350528115002E-2</v>
      </c>
      <c r="S34" s="2"/>
      <c r="T34" s="7"/>
      <c r="U34" s="2"/>
      <c r="V34" s="6">
        <f t="shared" si="17"/>
        <v>0</v>
      </c>
      <c r="W34" s="2"/>
      <c r="X34" s="7">
        <f t="shared" si="18"/>
        <v>110.64</v>
      </c>
      <c r="Y34" s="2"/>
      <c r="Z34" s="6">
        <f t="shared" si="19"/>
        <v>0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44.28</v>
      </c>
      <c r="E35" s="2"/>
      <c r="F35" s="6">
        <f t="shared" si="12"/>
        <v>2.9591018444266242E-2</v>
      </c>
      <c r="G35" s="2"/>
      <c r="H35" s="7"/>
      <c r="I35" s="2"/>
      <c r="J35" s="6">
        <f t="shared" si="13"/>
        <v>0</v>
      </c>
      <c r="K35" s="2"/>
      <c r="L35" s="7">
        <f t="shared" si="14"/>
        <v>44.28</v>
      </c>
      <c r="M35" s="2"/>
      <c r="N35" s="6">
        <f t="shared" si="15"/>
        <v>0</v>
      </c>
      <c r="O35" s="11"/>
      <c r="P35" s="7">
        <v>88.56</v>
      </c>
      <c r="Q35" s="2"/>
      <c r="R35" s="6">
        <f t="shared" si="16"/>
        <v>2.4258228513827411E-2</v>
      </c>
      <c r="S35" s="2"/>
      <c r="T35" s="7"/>
      <c r="U35" s="2"/>
      <c r="V35" s="6">
        <f t="shared" si="17"/>
        <v>0</v>
      </c>
      <c r="W35" s="2"/>
      <c r="X35" s="7">
        <f t="shared" si="18"/>
        <v>88.56</v>
      </c>
      <c r="Y35" s="2"/>
      <c r="Z35" s="6">
        <f t="shared" si="19"/>
        <v>0</v>
      </c>
    </row>
    <row r="36" spans="1:26" s="27" customFormat="1" outlineLevel="1" collapsed="1" x14ac:dyDescent="0.25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911.74</v>
      </c>
      <c r="E36" s="1"/>
      <c r="F36" s="5">
        <f t="shared" ref="F36:F39" si="20">IF(D$12=0,0,D36/D$12)</f>
        <v>0.60928896017107737</v>
      </c>
      <c r="G36" s="1"/>
      <c r="H36" s="1">
        <f>SUM(OSRRefH22_1x_0)</f>
        <v>0</v>
      </c>
      <c r="I36" s="1"/>
      <c r="J36" s="5">
        <f t="shared" ref="J36:J39" si="21">IF(H$12=0,0,H36/H$12)</f>
        <v>0</v>
      </c>
      <c r="K36" s="1"/>
      <c r="L36" s="1">
        <f t="shared" ref="L36:L39" si="22">+D36-H36</f>
        <v>911.74</v>
      </c>
      <c r="M36" s="1"/>
      <c r="N36" s="5">
        <f t="shared" ref="N36:N39" si="23">IF(H36=0,0,L36/H36)</f>
        <v>0</v>
      </c>
      <c r="O36" s="14"/>
      <c r="P36" s="1">
        <f>SUM(OSRRefP22_1x_0)</f>
        <v>2226.7399999999998</v>
      </c>
      <c r="Q36" s="1"/>
      <c r="R36" s="5">
        <f t="shared" ref="R36:R39" si="24">IF(P$12=0,0,P36/P$12)</f>
        <v>0.60994543542095803</v>
      </c>
      <c r="S36" s="1"/>
      <c r="T36" s="1">
        <f>SUM(OSRRefT22_1x_0)</f>
        <v>99.88</v>
      </c>
      <c r="U36" s="1"/>
      <c r="V36" s="5">
        <f t="shared" ref="V36:V39" si="25">IF(T$12=0,0,T36/T$12)</f>
        <v>2.5336942266372744E-2</v>
      </c>
      <c r="W36" s="1"/>
      <c r="X36" s="1">
        <f t="shared" ref="X36:X39" si="26">+P36-T36</f>
        <v>2126.8599999999997</v>
      </c>
      <c r="Y36" s="1"/>
      <c r="Z36" s="5">
        <f t="shared" ref="Z36:Z39" si="27">IF(T36=0,0,X36/T36)</f>
        <v>21.294152983580293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912</v>
      </c>
      <c r="E37" s="2"/>
      <c r="F37" s="6">
        <f t="shared" si="20"/>
        <v>0.60946271050521261</v>
      </c>
      <c r="G37" s="2"/>
      <c r="H37" s="7"/>
      <c r="I37" s="2"/>
      <c r="J37" s="6">
        <f t="shared" si="21"/>
        <v>0</v>
      </c>
      <c r="K37" s="2"/>
      <c r="L37" s="7">
        <f t="shared" si="22"/>
        <v>912</v>
      </c>
      <c r="M37" s="2"/>
      <c r="N37" s="6">
        <f t="shared" si="23"/>
        <v>0</v>
      </c>
      <c r="O37" s="11"/>
      <c r="P37" s="7">
        <v>2112</v>
      </c>
      <c r="Q37" s="2"/>
      <c r="R37" s="6">
        <f t="shared" si="24"/>
        <v>0.57851601875794367</v>
      </c>
      <c r="S37" s="2"/>
      <c r="T37" s="7"/>
      <c r="U37" s="2"/>
      <c r="V37" s="6">
        <f t="shared" si="25"/>
        <v>0</v>
      </c>
      <c r="W37" s="2"/>
      <c r="X37" s="7">
        <f t="shared" si="26"/>
        <v>2112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>
        <v>57.37</v>
      </c>
      <c r="E38" s="2"/>
      <c r="F38" s="6">
        <f t="shared" si="20"/>
        <v>3.8338679497460573E-2</v>
      </c>
      <c r="G38" s="2"/>
      <c r="H38" s="7"/>
      <c r="I38" s="2"/>
      <c r="J38" s="6">
        <f t="shared" si="21"/>
        <v>0</v>
      </c>
      <c r="K38" s="2"/>
      <c r="L38" s="7">
        <f t="shared" si="22"/>
        <v>57.37</v>
      </c>
      <c r="M38" s="2"/>
      <c r="N38" s="6">
        <f t="shared" si="23"/>
        <v>0</v>
      </c>
      <c r="O38" s="11"/>
      <c r="P38" s="7">
        <v>57.37</v>
      </c>
      <c r="Q38" s="2"/>
      <c r="R38" s="6">
        <f t="shared" si="24"/>
        <v>1.5714708331507211E-2</v>
      </c>
      <c r="S38" s="2"/>
      <c r="T38" s="7"/>
      <c r="U38" s="2"/>
      <c r="V38" s="6">
        <f t="shared" si="25"/>
        <v>0</v>
      </c>
      <c r="W38" s="2"/>
      <c r="X38" s="7">
        <f t="shared" si="26"/>
        <v>57.37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>
        <v>-57.63</v>
      </c>
      <c r="E39" s="2"/>
      <c r="F39" s="6">
        <f t="shared" si="20"/>
        <v>-3.8512429831595835E-2</v>
      </c>
      <c r="G39" s="2"/>
      <c r="H39" s="7"/>
      <c r="I39" s="2"/>
      <c r="J39" s="6">
        <f t="shared" si="21"/>
        <v>0</v>
      </c>
      <c r="K39" s="2"/>
      <c r="L39" s="7">
        <f t="shared" si="22"/>
        <v>-57.63</v>
      </c>
      <c r="M39" s="2"/>
      <c r="N39" s="6">
        <f t="shared" si="23"/>
        <v>0</v>
      </c>
      <c r="O39" s="11"/>
      <c r="P39" s="7">
        <v>57.37</v>
      </c>
      <c r="Q39" s="2"/>
      <c r="R39" s="6">
        <f t="shared" si="24"/>
        <v>1.5714708331507211E-2</v>
      </c>
      <c r="S39" s="2"/>
      <c r="T39" s="7">
        <v>99.88</v>
      </c>
      <c r="U39" s="2"/>
      <c r="V39" s="6">
        <f t="shared" si="25"/>
        <v>2.5336942266372744E-2</v>
      </c>
      <c r="W39" s="2"/>
      <c r="X39" s="7">
        <f t="shared" si="26"/>
        <v>-42.51</v>
      </c>
      <c r="Y39" s="2"/>
      <c r="Z39" s="6">
        <f t="shared" si="27"/>
        <v>-0.42561073287945533</v>
      </c>
    </row>
    <row r="40" spans="1:26" s="27" customFormat="1" outlineLevel="1" collapsed="1" x14ac:dyDescent="0.25">
      <c r="A40" s="28"/>
      <c r="B40" s="14" t="str">
        <f>CONCATENATE("     ","Discounts and Markdowns                           ")</f>
        <v xml:space="preserve">     Discounts and Markdowns                           </v>
      </c>
      <c r="C40" s="14"/>
      <c r="D40" s="1">
        <f>SUM(OSRRefD22_2x_0)</f>
        <v>0</v>
      </c>
      <c r="E40" s="1"/>
      <c r="F40" s="5">
        <f t="shared" ref="F40:F44" si="28">IF(D$12=0,0,D40/D$12)</f>
        <v>0</v>
      </c>
      <c r="G40" s="1"/>
      <c r="H40" s="1">
        <f>SUM(OSRRefH22_2x_0)</f>
        <v>10</v>
      </c>
      <c r="I40" s="1"/>
      <c r="J40" s="5">
        <f t="shared" ref="J40:J44" si="29">IF(H$12=0,0,H40/H$12)</f>
        <v>1.1103092211180814E-2</v>
      </c>
      <c r="K40" s="1"/>
      <c r="L40" s="1">
        <f t="shared" ref="L40:L44" si="30">+D40-H40</f>
        <v>-10</v>
      </c>
      <c r="M40" s="1"/>
      <c r="N40" s="5">
        <f t="shared" ref="N40:N44" si="31">IF(H40=0,0,L40/H40)</f>
        <v>-1</v>
      </c>
      <c r="O40" s="14"/>
      <c r="P40" s="1">
        <f>SUM(OSRRefP22_2x_0)</f>
        <v>5.25</v>
      </c>
      <c r="Q40" s="1"/>
      <c r="R40" s="5">
        <f t="shared" ref="R40:R44" si="32">IF(P$12=0,0,P40/P$12)</f>
        <v>1.4380724898102294E-3</v>
      </c>
      <c r="S40" s="1"/>
      <c r="T40" s="1">
        <f>SUM(OSRRefT22_2x_0)</f>
        <v>39.49</v>
      </c>
      <c r="U40" s="1"/>
      <c r="V40" s="5">
        <f t="shared" ref="V40:V44" si="33">IF(T$12=0,0,T40/T$12)</f>
        <v>1.0017579596506405E-2</v>
      </c>
      <c r="W40" s="1"/>
      <c r="X40" s="1">
        <f t="shared" ref="X40:X44" si="34">+P40-T40</f>
        <v>-34.24</v>
      </c>
      <c r="Y40" s="1"/>
      <c r="Z40" s="5">
        <f t="shared" ref="Z40:Z44" si="35">IF(T40=0,0,X40/T40)</f>
        <v>-0.86705495062041027</v>
      </c>
    </row>
    <row r="41" spans="1:26" s="24" customFormat="1" hidden="1" outlineLevel="2" x14ac:dyDescent="0.25">
      <c r="A41" s="29"/>
      <c r="B41" s="11" t="str">
        <f>CONCATENATE("          ", "6382", " - ", "DISCOUNTS/MARK DOWNS")</f>
        <v xml:space="preserve">          6382 - DISCOUNTS/MARK DOWNS</v>
      </c>
      <c r="C41" s="11"/>
      <c r="D41" s="7"/>
      <c r="E41" s="2"/>
      <c r="F41" s="6">
        <f t="shared" si="28"/>
        <v>0</v>
      </c>
      <c r="G41" s="2"/>
      <c r="H41" s="7">
        <v>10</v>
      </c>
      <c r="I41" s="2"/>
      <c r="J41" s="6">
        <f t="shared" si="29"/>
        <v>1.1103092211180814E-2</v>
      </c>
      <c r="K41" s="2"/>
      <c r="L41" s="7">
        <f t="shared" si="30"/>
        <v>-10</v>
      </c>
      <c r="M41" s="2"/>
      <c r="N41" s="6">
        <f t="shared" si="31"/>
        <v>-1</v>
      </c>
      <c r="O41" s="11"/>
      <c r="P41" s="7">
        <v>5.25</v>
      </c>
      <c r="Q41" s="2"/>
      <c r="R41" s="6">
        <f t="shared" si="32"/>
        <v>1.4380724898102294E-3</v>
      </c>
      <c r="S41" s="2"/>
      <c r="T41" s="7">
        <v>39.49</v>
      </c>
      <c r="U41" s="2"/>
      <c r="V41" s="6">
        <f t="shared" si="33"/>
        <v>1.0017579596506405E-2</v>
      </c>
      <c r="W41" s="2"/>
      <c r="X41" s="7">
        <f t="shared" si="34"/>
        <v>-34.24</v>
      </c>
      <c r="Y41" s="2"/>
      <c r="Z41" s="6">
        <f t="shared" si="35"/>
        <v>-0.86705495062041027</v>
      </c>
    </row>
    <row r="42" spans="1:26" s="27" customFormat="1" outlineLevel="1" collapsed="1" x14ac:dyDescent="0.25">
      <c r="A42" s="28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SUM(OSRRefD22_3x_0)</f>
        <v>-13203.749999999996</v>
      </c>
      <c r="E42" s="1"/>
      <c r="F42" s="5">
        <f t="shared" si="28"/>
        <v>-8.8236768243785075</v>
      </c>
      <c r="G42" s="1"/>
      <c r="H42" s="1">
        <f>SUM(OSRRefH22_3x_0)</f>
        <v>-9435.0300000000007</v>
      </c>
      <c r="I42" s="1"/>
      <c r="J42" s="5">
        <f t="shared" si="29"/>
        <v>-10.475800810525733</v>
      </c>
      <c r="K42" s="1"/>
      <c r="L42" s="1">
        <f t="shared" si="30"/>
        <v>-3768.7199999999957</v>
      </c>
      <c r="M42" s="1"/>
      <c r="N42" s="5">
        <f t="shared" si="31"/>
        <v>0.39943911148136207</v>
      </c>
      <c r="O42" s="14"/>
      <c r="P42" s="1">
        <f>SUM(OSRRefP22_3x_0)</f>
        <v>-15800.169999999998</v>
      </c>
      <c r="Q42" s="1"/>
      <c r="R42" s="5">
        <f t="shared" si="32"/>
        <v>-4.3279599640618835</v>
      </c>
      <c r="S42" s="1"/>
      <c r="T42" s="1">
        <f>SUM(OSRRefT22_3x_0)</f>
        <v>-9836.98</v>
      </c>
      <c r="U42" s="1"/>
      <c r="V42" s="5">
        <f t="shared" si="33"/>
        <v>-2.4953844046402018</v>
      </c>
      <c r="W42" s="1"/>
      <c r="X42" s="1">
        <f t="shared" si="34"/>
        <v>-5963.1899999999987</v>
      </c>
      <c r="Y42" s="1"/>
      <c r="Z42" s="5">
        <f t="shared" si="35"/>
        <v>0.60620129348641549</v>
      </c>
    </row>
    <row r="43" spans="1:26" s="24" customFormat="1" hidden="1" outlineLevel="2" x14ac:dyDescent="0.25">
      <c r="A43" s="29"/>
      <c r="B43" s="11" t="str">
        <f>CONCATENATE("          ", "6305", " - ", "FREIGHT OUT")</f>
        <v xml:space="preserve">          6305 - FREIGHT OUT</v>
      </c>
      <c r="C43" s="11"/>
      <c r="D43" s="7">
        <v>2560.3000000000002</v>
      </c>
      <c r="E43" s="2"/>
      <c r="F43" s="6">
        <f t="shared" si="28"/>
        <v>1.7109730018711578</v>
      </c>
      <c r="G43" s="2"/>
      <c r="H43" s="7">
        <v>2197.48</v>
      </c>
      <c r="I43" s="2"/>
      <c r="J43" s="6">
        <f t="shared" si="29"/>
        <v>2.4398823072225615</v>
      </c>
      <c r="K43" s="2"/>
      <c r="L43" s="7">
        <f t="shared" si="30"/>
        <v>362.82000000000016</v>
      </c>
      <c r="M43" s="2"/>
      <c r="N43" s="6">
        <f t="shared" si="31"/>
        <v>0.16510730473087362</v>
      </c>
      <c r="O43" s="11"/>
      <c r="P43" s="7">
        <v>3613.43</v>
      </c>
      <c r="Q43" s="2"/>
      <c r="R43" s="6">
        <f t="shared" si="32"/>
        <v>0.98978557654380506</v>
      </c>
      <c r="S43" s="2"/>
      <c r="T43" s="7">
        <v>4327.99</v>
      </c>
      <c r="U43" s="2"/>
      <c r="V43" s="6">
        <f t="shared" si="33"/>
        <v>1.0978978049603381</v>
      </c>
      <c r="W43" s="2"/>
      <c r="X43" s="7">
        <f t="shared" si="34"/>
        <v>-714.56</v>
      </c>
      <c r="Y43" s="2"/>
      <c r="Z43" s="6">
        <f t="shared" si="35"/>
        <v>-0.16510204506017806</v>
      </c>
    </row>
    <row r="44" spans="1:26" s="24" customFormat="1" hidden="1" outlineLevel="2" x14ac:dyDescent="0.25">
      <c r="A44" s="29"/>
      <c r="B44" s="11" t="str">
        <f>CONCATENATE("          ", "6307", " - ", "POSTAGE")</f>
        <v xml:space="preserve">          6307 - POSTAGE</v>
      </c>
      <c r="C44" s="11"/>
      <c r="D44" s="7">
        <v>-15764.049999999997</v>
      </c>
      <c r="E44" s="2"/>
      <c r="F44" s="6">
        <f t="shared" si="28"/>
        <v>-10.534649826249666</v>
      </c>
      <c r="G44" s="2"/>
      <c r="H44" s="7">
        <v>-11632.51</v>
      </c>
      <c r="I44" s="2"/>
      <c r="J44" s="6">
        <f t="shared" si="29"/>
        <v>-12.915683117748294</v>
      </c>
      <c r="K44" s="2"/>
      <c r="L44" s="7">
        <f t="shared" si="30"/>
        <v>-4131.5399999999972</v>
      </c>
      <c r="M44" s="2"/>
      <c r="N44" s="6">
        <f t="shared" si="31"/>
        <v>0.35517184167475441</v>
      </c>
      <c r="O44" s="11"/>
      <c r="P44" s="7">
        <v>-19413.599999999999</v>
      </c>
      <c r="Q44" s="2"/>
      <c r="R44" s="6">
        <f t="shared" si="32"/>
        <v>-5.3177455406056886</v>
      </c>
      <c r="S44" s="2"/>
      <c r="T44" s="7">
        <v>-14164.97</v>
      </c>
      <c r="U44" s="2"/>
      <c r="V44" s="6">
        <f t="shared" si="33"/>
        <v>-3.5932822096005399</v>
      </c>
      <c r="W44" s="2"/>
      <c r="X44" s="7">
        <f t="shared" si="34"/>
        <v>-5248.6299999999992</v>
      </c>
      <c r="Y44" s="2"/>
      <c r="Z44" s="6">
        <f t="shared" si="35"/>
        <v>0.37053590653562973</v>
      </c>
    </row>
    <row r="45" spans="1:26" s="27" customFormat="1" outlineLevel="1" collapsed="1" x14ac:dyDescent="0.25">
      <c r="A45" s="28"/>
      <c r="B45" s="14" t="str">
        <f>CONCATENATE("     ","Inventory Adjustment                              ")</f>
        <v xml:space="preserve">     Inventory Adjustment                              </v>
      </c>
      <c r="C45" s="14"/>
      <c r="D45" s="1">
        <f>SUM(OSRRefD22_4x_0)</f>
        <v>100</v>
      </c>
      <c r="E45" s="1"/>
      <c r="F45" s="5">
        <f t="shared" ref="F45:F49" si="36">IF(D$12=0,0,D45/D$12)</f>
        <v>6.6827051590483841E-2</v>
      </c>
      <c r="G45" s="1"/>
      <c r="H45" s="1">
        <f>SUM(OSRRefH22_4x_0)</f>
        <v>100</v>
      </c>
      <c r="I45" s="1"/>
      <c r="J45" s="5">
        <f t="shared" ref="J45:J49" si="37">IF(H$12=0,0,H45/H$12)</f>
        <v>0.11103092211180814</v>
      </c>
      <c r="K45" s="1"/>
      <c r="L45" s="1">
        <f t="shared" ref="L45:L49" si="38">+D45-H45</f>
        <v>0</v>
      </c>
      <c r="M45" s="1"/>
      <c r="N45" s="5">
        <f t="shared" ref="N45:N49" si="39">IF(H45=0,0,L45/H45)</f>
        <v>0</v>
      </c>
      <c r="O45" s="14"/>
      <c r="P45" s="1">
        <f>SUM(OSRRefP22_4x_0)</f>
        <v>100</v>
      </c>
      <c r="Q45" s="1"/>
      <c r="R45" s="5">
        <f t="shared" ref="R45:R49" si="40">IF(P$12=0,0,P45/P$12)</f>
        <v>2.7391856948766273E-2</v>
      </c>
      <c r="S45" s="1"/>
      <c r="T45" s="1">
        <f>SUM(OSRRefT22_4x_0)</f>
        <v>200</v>
      </c>
      <c r="U45" s="1"/>
      <c r="V45" s="5">
        <f t="shared" ref="V45:V49" si="41">IF(T$12=0,0,T45/T$12)</f>
        <v>5.0734766252248188E-2</v>
      </c>
      <c r="W45" s="1"/>
      <c r="X45" s="1">
        <f t="shared" ref="X45:X49" si="42">+P45-T45</f>
        <v>-100</v>
      </c>
      <c r="Y45" s="1"/>
      <c r="Z45" s="5">
        <f t="shared" ref="Z45:Z49" si="43">IF(T45=0,0,X45/T45)</f>
        <v>-0.5</v>
      </c>
    </row>
    <row r="46" spans="1:26" s="24" customFormat="1" hidden="1" outlineLevel="2" x14ac:dyDescent="0.25">
      <c r="A46" s="29"/>
      <c r="B46" s="11" t="str">
        <f>CONCATENATE("          ", "6408", " - ", "INVENTORY ADJUSTMENT")</f>
        <v xml:space="preserve">          6408 - INVENTORY ADJUSTMENT</v>
      </c>
      <c r="C46" s="11"/>
      <c r="D46" s="7">
        <v>100</v>
      </c>
      <c r="E46" s="2"/>
      <c r="F46" s="6">
        <f t="shared" si="36"/>
        <v>6.6827051590483841E-2</v>
      </c>
      <c r="G46" s="2"/>
      <c r="H46" s="7">
        <v>100</v>
      </c>
      <c r="I46" s="2"/>
      <c r="J46" s="6">
        <f t="shared" si="37"/>
        <v>0.11103092211180814</v>
      </c>
      <c r="K46" s="2"/>
      <c r="L46" s="7">
        <f t="shared" si="38"/>
        <v>0</v>
      </c>
      <c r="M46" s="2"/>
      <c r="N46" s="6">
        <f t="shared" si="39"/>
        <v>0</v>
      </c>
      <c r="O46" s="11"/>
      <c r="P46" s="7">
        <v>100</v>
      </c>
      <c r="Q46" s="2"/>
      <c r="R46" s="6">
        <f t="shared" si="40"/>
        <v>2.7391856948766273E-2</v>
      </c>
      <c r="S46" s="2"/>
      <c r="T46" s="7">
        <v>200</v>
      </c>
      <c r="U46" s="2"/>
      <c r="V46" s="6">
        <f t="shared" si="41"/>
        <v>5.0734766252248188E-2</v>
      </c>
      <c r="W46" s="2"/>
      <c r="X46" s="7">
        <f t="shared" si="42"/>
        <v>-100</v>
      </c>
      <c r="Y46" s="2"/>
      <c r="Z46" s="6">
        <f t="shared" si="43"/>
        <v>-0.5</v>
      </c>
    </row>
    <row r="47" spans="1:26" s="27" customFormat="1" outlineLevel="1" collapsed="1" x14ac:dyDescent="0.25">
      <c r="A47" s="28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SUM(OSRRefD22_5x_0)</f>
        <v>397.93</v>
      </c>
      <c r="E47" s="1"/>
      <c r="F47" s="5">
        <f t="shared" si="36"/>
        <v>0.26592488639401235</v>
      </c>
      <c r="G47" s="1"/>
      <c r="H47" s="1">
        <f>SUM(OSRRefH22_5x_0)</f>
        <v>0</v>
      </c>
      <c r="I47" s="1"/>
      <c r="J47" s="5">
        <f t="shared" si="37"/>
        <v>0</v>
      </c>
      <c r="K47" s="1"/>
      <c r="L47" s="1">
        <f t="shared" si="38"/>
        <v>397.93</v>
      </c>
      <c r="M47" s="1"/>
      <c r="N47" s="5">
        <f t="shared" si="39"/>
        <v>0</v>
      </c>
      <c r="O47" s="14"/>
      <c r="P47" s="1">
        <f>SUM(OSRRefP22_5x_0)</f>
        <v>1983.25</v>
      </c>
      <c r="Q47" s="1"/>
      <c r="R47" s="5">
        <f t="shared" si="40"/>
        <v>0.5432490029364071</v>
      </c>
      <c r="S47" s="1"/>
      <c r="T47" s="1">
        <f>SUM(OSRRefT22_5x_0)</f>
        <v>1513.78</v>
      </c>
      <c r="U47" s="1"/>
      <c r="V47" s="5">
        <f t="shared" si="41"/>
        <v>0.38400637228664131</v>
      </c>
      <c r="W47" s="1"/>
      <c r="X47" s="1">
        <f t="shared" si="42"/>
        <v>469.47</v>
      </c>
      <c r="Y47" s="1"/>
      <c r="Z47" s="5">
        <f t="shared" si="43"/>
        <v>0.3101309305183052</v>
      </c>
    </row>
    <row r="48" spans="1:26" s="24" customFormat="1" hidden="1" outlineLevel="2" x14ac:dyDescent="0.25">
      <c r="A48" s="29"/>
      <c r="B48" s="11" t="str">
        <f>CONCATENATE("          ", "6241", " - ", "OFFICE EXPENSE")</f>
        <v xml:space="preserve">          6241 - OFFICE EXPENSE</v>
      </c>
      <c r="C48" s="11"/>
      <c r="D48" s="7">
        <v>27.61</v>
      </c>
      <c r="E48" s="2"/>
      <c r="F48" s="6">
        <f t="shared" si="36"/>
        <v>1.8450948944132586E-2</v>
      </c>
      <c r="G48" s="2"/>
      <c r="H48" s="7"/>
      <c r="I48" s="2"/>
      <c r="J48" s="6">
        <f t="shared" si="37"/>
        <v>0</v>
      </c>
      <c r="K48" s="2"/>
      <c r="L48" s="7">
        <f t="shared" si="38"/>
        <v>27.61</v>
      </c>
      <c r="M48" s="2"/>
      <c r="N48" s="6">
        <f t="shared" si="39"/>
        <v>0</v>
      </c>
      <c r="O48" s="11"/>
      <c r="P48" s="7">
        <v>27.61</v>
      </c>
      <c r="Q48" s="2"/>
      <c r="R48" s="6">
        <f t="shared" si="40"/>
        <v>7.5628917035543679E-3</v>
      </c>
      <c r="S48" s="2"/>
      <c r="T48" s="7">
        <v>1.59</v>
      </c>
      <c r="U48" s="2"/>
      <c r="V48" s="6">
        <f t="shared" si="41"/>
        <v>4.0334139170537309E-4</v>
      </c>
      <c r="W48" s="2"/>
      <c r="X48" s="7">
        <f t="shared" si="42"/>
        <v>26.02</v>
      </c>
      <c r="Y48" s="2"/>
      <c r="Z48" s="6">
        <f t="shared" si="43"/>
        <v>16.364779874213834</v>
      </c>
    </row>
    <row r="49" spans="1:26" s="24" customFormat="1" hidden="1" outlineLevel="2" x14ac:dyDescent="0.25">
      <c r="A49" s="29"/>
      <c r="B49" s="11" t="str">
        <f>CONCATENATE("          ", "6247", " - ", "STORE SUPPLIES")</f>
        <v xml:space="preserve">          6247 - STORE SUPPLIES</v>
      </c>
      <c r="C49" s="11"/>
      <c r="D49" s="7">
        <v>370.32</v>
      </c>
      <c r="E49" s="2"/>
      <c r="F49" s="6">
        <f t="shared" si="36"/>
        <v>0.24747393744987972</v>
      </c>
      <c r="G49" s="2"/>
      <c r="H49" s="7"/>
      <c r="I49" s="2"/>
      <c r="J49" s="6">
        <f t="shared" si="37"/>
        <v>0</v>
      </c>
      <c r="K49" s="2"/>
      <c r="L49" s="7">
        <f t="shared" si="38"/>
        <v>370.32</v>
      </c>
      <c r="M49" s="2"/>
      <c r="N49" s="6">
        <f t="shared" si="39"/>
        <v>0</v>
      </c>
      <c r="O49" s="11"/>
      <c r="P49" s="7">
        <v>1955.64</v>
      </c>
      <c r="Q49" s="2"/>
      <c r="R49" s="6">
        <f t="shared" si="40"/>
        <v>0.5356861112328527</v>
      </c>
      <c r="S49" s="2"/>
      <c r="T49" s="7">
        <v>1512.19</v>
      </c>
      <c r="U49" s="2"/>
      <c r="V49" s="6">
        <f t="shared" si="41"/>
        <v>0.38360303089493597</v>
      </c>
      <c r="W49" s="2"/>
      <c r="X49" s="7">
        <f t="shared" si="42"/>
        <v>443.45000000000005</v>
      </c>
      <c r="Y49" s="2"/>
      <c r="Z49" s="6">
        <f t="shared" si="43"/>
        <v>0.29325018681514892</v>
      </c>
    </row>
    <row r="50" spans="1:26" s="27" customFormat="1" outlineLevel="1" collapsed="1" x14ac:dyDescent="0.25">
      <c r="A50" s="28"/>
      <c r="B50" s="14" t="str">
        <f>CONCATENATE("     ","Telephone/Data Lines                              ")</f>
        <v xml:space="preserve">     Telephone/Data Lines                              </v>
      </c>
      <c r="C50" s="14"/>
      <c r="D50" s="1">
        <f>SUM(OSRRefD22_6x_0)</f>
        <v>42.5</v>
      </c>
      <c r="E50" s="1"/>
      <c r="F50" s="5">
        <f t="shared" ref="F50:F51" si="44">IF(D$12=0,0,D50/D$12)</f>
        <v>2.840149692595563E-2</v>
      </c>
      <c r="G50" s="1"/>
      <c r="H50" s="1">
        <f>SUM(OSRRefH22_6x_0)</f>
        <v>158.30000000000001</v>
      </c>
      <c r="I50" s="1"/>
      <c r="J50" s="5">
        <f t="shared" ref="J50:J51" si="45">IF(H$12=0,0,H50/H$12)</f>
        <v>0.1757619497029923</v>
      </c>
      <c r="K50" s="1"/>
      <c r="L50" s="1">
        <f t="shared" ref="L50:L51" si="46">+D50-H50</f>
        <v>-115.80000000000001</v>
      </c>
      <c r="M50" s="1"/>
      <c r="N50" s="5">
        <f t="shared" ref="N50:N51" si="47">IF(H50=0,0,L50/H50)</f>
        <v>-0.73152242577384718</v>
      </c>
      <c r="O50" s="14"/>
      <c r="P50" s="1">
        <f>SUM(OSRRefP22_6x_0)</f>
        <v>146.30000000000001</v>
      </c>
      <c r="Q50" s="1"/>
      <c r="R50" s="5">
        <f t="shared" ref="R50:R51" si="48">IF(P$12=0,0,P50/P$12)</f>
        <v>4.0074286716045057E-2</v>
      </c>
      <c r="S50" s="1"/>
      <c r="T50" s="1">
        <f>SUM(OSRRefT22_6x_0)</f>
        <v>492</v>
      </c>
      <c r="U50" s="1"/>
      <c r="V50" s="5">
        <f t="shared" ref="V50:V51" si="49">IF(T$12=0,0,T50/T$12)</f>
        <v>0.12480752498053055</v>
      </c>
      <c r="W50" s="1"/>
      <c r="X50" s="1">
        <f t="shared" ref="X50:X51" si="50">+P50-T50</f>
        <v>-345.7</v>
      </c>
      <c r="Y50" s="1"/>
      <c r="Z50" s="5">
        <f t="shared" ref="Z50:Z51" si="51">IF(T50=0,0,X50/T50)</f>
        <v>-0.70264227642276422</v>
      </c>
    </row>
    <row r="51" spans="1:26" s="24" customFormat="1" hidden="1" outlineLevel="2" x14ac:dyDescent="0.25">
      <c r="A51" s="29"/>
      <c r="B51" s="11" t="str">
        <f>CONCATENATE("          ", "6309", " - ", "TELEPHONE")</f>
        <v xml:space="preserve">          6309 - TELEPHONE</v>
      </c>
      <c r="C51" s="11"/>
      <c r="D51" s="7">
        <v>42.5</v>
      </c>
      <c r="E51" s="2"/>
      <c r="F51" s="6">
        <f t="shared" si="44"/>
        <v>2.840149692595563E-2</v>
      </c>
      <c r="G51" s="2"/>
      <c r="H51" s="7">
        <v>158.30000000000001</v>
      </c>
      <c r="I51" s="2"/>
      <c r="J51" s="6">
        <f t="shared" si="45"/>
        <v>0.1757619497029923</v>
      </c>
      <c r="K51" s="2"/>
      <c r="L51" s="7">
        <f t="shared" si="46"/>
        <v>-115.80000000000001</v>
      </c>
      <c r="M51" s="2"/>
      <c r="N51" s="6">
        <f t="shared" si="47"/>
        <v>-0.73152242577384718</v>
      </c>
      <c r="O51" s="11"/>
      <c r="P51" s="7">
        <v>146.30000000000001</v>
      </c>
      <c r="Q51" s="2"/>
      <c r="R51" s="6">
        <f t="shared" si="48"/>
        <v>4.0074286716045057E-2</v>
      </c>
      <c r="S51" s="2"/>
      <c r="T51" s="7">
        <v>492</v>
      </c>
      <c r="U51" s="2"/>
      <c r="V51" s="6">
        <f t="shared" si="49"/>
        <v>0.12480752498053055</v>
      </c>
      <c r="W51" s="2"/>
      <c r="X51" s="7">
        <f t="shared" si="50"/>
        <v>-345.7</v>
      </c>
      <c r="Y51" s="2"/>
      <c r="Z51" s="6">
        <f t="shared" si="51"/>
        <v>-0.70264227642276422</v>
      </c>
    </row>
    <row r="52" spans="1:26" s="62" customFormat="1" x14ac:dyDescent="0.25">
      <c r="A52" s="37"/>
      <c r="B52" s="37"/>
      <c r="C52" s="37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collapsed="1" x14ac:dyDescent="0.25">
      <c r="A53" s="10"/>
      <c r="B53" s="25" t="s">
        <v>0</v>
      </c>
      <c r="C53" s="10"/>
      <c r="D53" s="4">
        <f>SUM(OSRRefD25x_0)</f>
        <v>22962.15</v>
      </c>
      <c r="E53" s="4"/>
      <c r="F53" s="12">
        <f t="shared" ref="F53:F57" si="52">IF(D$12=0,0,D53/D$12)</f>
        <v>15.344927826784284</v>
      </c>
      <c r="G53" s="4"/>
      <c r="H53" s="4">
        <f>SUM(OSRRefH25x_0)</f>
        <v>180</v>
      </c>
      <c r="I53" s="4"/>
      <c r="J53" s="12">
        <f t="shared" ref="J53:J57" si="53">IF(H$12=0,0,H53/H$12)</f>
        <v>0.19985565980125466</v>
      </c>
      <c r="K53" s="4"/>
      <c r="L53" s="4">
        <f t="shared" ref="L53:L57" si="54">+D53-H53</f>
        <v>22782.15</v>
      </c>
      <c r="M53" s="4"/>
      <c r="N53" s="12">
        <f t="shared" ref="N53:N57" si="55">IF(H53=0,0,L53/H53)</f>
        <v>126.56750000000001</v>
      </c>
      <c r="O53" s="10"/>
      <c r="P53" s="4">
        <f>SUM(OSRRefP25x_0)</f>
        <v>23291.85</v>
      </c>
      <c r="Q53" s="4"/>
      <c r="R53" s="12">
        <f t="shared" ref="R53:R57" si="56">IF(P$12=0,0,P53/P$12)</f>
        <v>6.3800702327212164</v>
      </c>
      <c r="S53" s="4"/>
      <c r="T53" s="4">
        <f>SUM(OSRRefT25x_0)</f>
        <v>525</v>
      </c>
      <c r="U53" s="4"/>
      <c r="V53" s="12">
        <f t="shared" ref="V53:V57" si="57">IF(T$12=0,0,T53/T$12)</f>
        <v>0.13317876141215149</v>
      </c>
      <c r="W53" s="4"/>
      <c r="X53" s="4">
        <f t="shared" ref="X53:X57" si="58">+P53-T53</f>
        <v>22766.85</v>
      </c>
      <c r="Y53" s="4"/>
      <c r="Z53" s="12">
        <f t="shared" ref="Z53:Z57" si="59">IF(T53=0,0,X53/T53)</f>
        <v>43.365428571428566</v>
      </c>
    </row>
    <row r="54" spans="1:26" s="24" customFormat="1" hidden="1" outlineLevel="1" x14ac:dyDescent="0.25">
      <c r="A54" s="50"/>
      <c r="B54" s="11" t="str">
        <f>CONCATENATE("          ", "4098", " - ", "TAXABLE SALES-GRAD RENTALS")</f>
        <v xml:space="preserve">          4098 - TAXABLE SALES-GRAD RENTALS</v>
      </c>
      <c r="C54" s="11"/>
      <c r="D54" s="2">
        <f>--1552.15</f>
        <v>1552.15</v>
      </c>
      <c r="E54" s="2"/>
      <c r="F54" s="21">
        <f t="shared" si="52"/>
        <v>1.0372560812616949</v>
      </c>
      <c r="G54" s="2"/>
      <c r="H54" s="2">
        <f>0</f>
        <v>0</v>
      </c>
      <c r="I54" s="2"/>
      <c r="J54" s="21">
        <f t="shared" si="53"/>
        <v>0</v>
      </c>
      <c r="K54" s="2"/>
      <c r="L54" s="2">
        <f t="shared" si="54"/>
        <v>1552.15</v>
      </c>
      <c r="M54" s="2"/>
      <c r="N54" s="21">
        <f t="shared" si="55"/>
        <v>0</v>
      </c>
      <c r="O54" s="11"/>
      <c r="P54" s="2">
        <f>--1626.85</f>
        <v>1626.85</v>
      </c>
      <c r="Q54" s="2"/>
      <c r="R54" s="21">
        <f t="shared" si="56"/>
        <v>0.44562442477100406</v>
      </c>
      <c r="S54" s="2"/>
      <c r="T54" s="2">
        <f>0</f>
        <v>0</v>
      </c>
      <c r="U54" s="2"/>
      <c r="V54" s="21">
        <f t="shared" si="57"/>
        <v>0</v>
      </c>
      <c r="W54" s="2"/>
      <c r="X54" s="2">
        <f t="shared" si="58"/>
        <v>1626.85</v>
      </c>
      <c r="Y54" s="2"/>
      <c r="Z54" s="21">
        <f t="shared" si="59"/>
        <v>0</v>
      </c>
    </row>
    <row r="55" spans="1:26" s="24" customFormat="1" hidden="1" outlineLevel="1" x14ac:dyDescent="0.25">
      <c r="A55" s="50"/>
      <c r="B55" s="11" t="str">
        <f>CONCATENATE("          ", "4197", " - ", "NON-TAXABLE SALES-RETURNED CHE")</f>
        <v xml:space="preserve">          4197 - NON-TAXABLE SALES-RETURNED CHE</v>
      </c>
      <c r="C55" s="11"/>
      <c r="D55" s="2">
        <f>--30</f>
        <v>30</v>
      </c>
      <c r="E55" s="2"/>
      <c r="F55" s="21">
        <f t="shared" si="52"/>
        <v>2.0048115477145152E-2</v>
      </c>
      <c r="G55" s="2"/>
      <c r="H55" s="2">
        <f>--120</f>
        <v>120</v>
      </c>
      <c r="I55" s="2"/>
      <c r="J55" s="21">
        <f t="shared" si="53"/>
        <v>0.13323710653416976</v>
      </c>
      <c r="K55" s="2"/>
      <c r="L55" s="2">
        <f t="shared" si="54"/>
        <v>-90</v>
      </c>
      <c r="M55" s="2"/>
      <c r="N55" s="21">
        <f t="shared" si="55"/>
        <v>-0.75</v>
      </c>
      <c r="O55" s="11"/>
      <c r="P55" s="2">
        <f>--30</f>
        <v>30</v>
      </c>
      <c r="Q55" s="2"/>
      <c r="R55" s="21">
        <f t="shared" si="56"/>
        <v>8.2175570846298816E-3</v>
      </c>
      <c r="S55" s="2"/>
      <c r="T55" s="2">
        <f>--120</f>
        <v>120</v>
      </c>
      <c r="U55" s="2"/>
      <c r="V55" s="21">
        <f t="shared" si="57"/>
        <v>3.0440859751348914E-2</v>
      </c>
      <c r="W55" s="2"/>
      <c r="X55" s="2">
        <f t="shared" si="58"/>
        <v>-90</v>
      </c>
      <c r="Y55" s="2"/>
      <c r="Z55" s="21">
        <f t="shared" si="59"/>
        <v>-0.75</v>
      </c>
    </row>
    <row r="56" spans="1:26" s="24" customFormat="1" hidden="1" outlineLevel="1" x14ac:dyDescent="0.25">
      <c r="A56" s="50"/>
      <c r="B56" s="11" t="str">
        <f>CONCATENATE("          ", "4198", " - ", "NON-TAXABLE SALES-GRAD RENTALS")</f>
        <v xml:space="preserve">          4198 - NON-TAXABLE SALES-GRAD RENTALS</v>
      </c>
      <c r="C56" s="11"/>
      <c r="D56" s="2">
        <f>--210</f>
        <v>210</v>
      </c>
      <c r="E56" s="2"/>
      <c r="F56" s="21">
        <f t="shared" si="52"/>
        <v>0.14033680834001605</v>
      </c>
      <c r="G56" s="2"/>
      <c r="H56" s="2">
        <f>--60</f>
        <v>60</v>
      </c>
      <c r="I56" s="2"/>
      <c r="J56" s="21">
        <f t="shared" si="53"/>
        <v>6.6618553267084879E-2</v>
      </c>
      <c r="K56" s="2"/>
      <c r="L56" s="2">
        <f t="shared" si="54"/>
        <v>150</v>
      </c>
      <c r="M56" s="2"/>
      <c r="N56" s="21">
        <f t="shared" si="55"/>
        <v>2.5</v>
      </c>
      <c r="O56" s="11"/>
      <c r="P56" s="2">
        <f>--465</f>
        <v>465</v>
      </c>
      <c r="Q56" s="2"/>
      <c r="R56" s="21">
        <f t="shared" si="56"/>
        <v>0.12737213481176315</v>
      </c>
      <c r="S56" s="2"/>
      <c r="T56" s="2">
        <f>--405</f>
        <v>405</v>
      </c>
      <c r="U56" s="2"/>
      <c r="V56" s="21">
        <f t="shared" si="57"/>
        <v>0.10273790166080259</v>
      </c>
      <c r="W56" s="2"/>
      <c r="X56" s="2">
        <f t="shared" si="58"/>
        <v>60</v>
      </c>
      <c r="Y56" s="2"/>
      <c r="Z56" s="21">
        <f t="shared" si="59"/>
        <v>0.14814814814814814</v>
      </c>
    </row>
    <row r="57" spans="1:26" s="24" customFormat="1" hidden="1" outlineLevel="1" x14ac:dyDescent="0.25">
      <c r="A57" s="50"/>
      <c r="B57" s="11" t="str">
        <f>CONCATENATE("          ", "9160", " - ", "MISC. INCOME")</f>
        <v xml:space="preserve">          9160 - MISC. INCOME</v>
      </c>
      <c r="C57" s="11"/>
      <c r="D57" s="2">
        <f>--21170</f>
        <v>21170</v>
      </c>
      <c r="E57" s="2"/>
      <c r="F57" s="21">
        <f t="shared" si="52"/>
        <v>14.147286821705428</v>
      </c>
      <c r="G57" s="2"/>
      <c r="H57" s="2">
        <f>0</f>
        <v>0</v>
      </c>
      <c r="I57" s="2"/>
      <c r="J57" s="21">
        <f t="shared" si="53"/>
        <v>0</v>
      </c>
      <c r="K57" s="2"/>
      <c r="L57" s="2">
        <f t="shared" si="54"/>
        <v>21170</v>
      </c>
      <c r="M57" s="2"/>
      <c r="N57" s="21">
        <f t="shared" si="55"/>
        <v>0</v>
      </c>
      <c r="O57" s="11"/>
      <c r="P57" s="2">
        <f>--21170</f>
        <v>21170</v>
      </c>
      <c r="Q57" s="2"/>
      <c r="R57" s="21">
        <f t="shared" si="56"/>
        <v>5.7988561160538197</v>
      </c>
      <c r="S57" s="2"/>
      <c r="T57" s="2">
        <f>0</f>
        <v>0</v>
      </c>
      <c r="U57" s="2"/>
      <c r="V57" s="21">
        <f t="shared" si="57"/>
        <v>0</v>
      </c>
      <c r="W57" s="2"/>
      <c r="X57" s="2">
        <f t="shared" si="58"/>
        <v>21170</v>
      </c>
      <c r="Y57" s="2"/>
      <c r="Z57" s="21">
        <f t="shared" si="59"/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6" t="s">
        <v>3</v>
      </c>
      <c r="C59" s="26"/>
      <c r="D59" s="20">
        <f>+D25-D27+D53</f>
        <v>34966.910000000003</v>
      </c>
      <c r="E59" s="13"/>
      <c r="F59" s="19">
        <f>IF(D$12=0,0,D59/D$12)</f>
        <v>23.367354985298054</v>
      </c>
      <c r="G59" s="13"/>
      <c r="H59" s="20">
        <f>+H25-H27+H53</f>
        <v>9966.0300000000007</v>
      </c>
      <c r="I59" s="13"/>
      <c r="J59" s="19">
        <f>IF(H$12=0,0,H59/H$12)</f>
        <v>11.065375006939433</v>
      </c>
      <c r="K59" s="15"/>
      <c r="L59" s="20">
        <f>+D59-H59</f>
        <v>25000.880000000005</v>
      </c>
      <c r="M59" s="15"/>
      <c r="N59" s="19">
        <f>IF(H59=0,0,L59/H59)</f>
        <v>2.5086097473116178</v>
      </c>
      <c r="O59" s="25"/>
      <c r="P59" s="20">
        <f>+P25-P27+P53</f>
        <v>35580.06</v>
      </c>
      <c r="Q59" s="13"/>
      <c r="R59" s="19">
        <f>IF(P$12=0,0,P59/P$12)</f>
        <v>9.7460391374852087</v>
      </c>
      <c r="S59" s="13"/>
      <c r="T59" s="20">
        <f>+T25-T27+T53</f>
        <v>10502.609999999999</v>
      </c>
      <c r="U59" s="13"/>
      <c r="V59" s="19">
        <f>IF(T$12=0,0,T59/T$12)</f>
        <v>2.6642373169426214</v>
      </c>
      <c r="W59" s="15"/>
      <c r="X59" s="20">
        <f>+P59-T59</f>
        <v>25077.449999999997</v>
      </c>
      <c r="Y59" s="15"/>
      <c r="Z59" s="19">
        <f>IF(T59=0,0,X59/T59)</f>
        <v>2.3877350487164617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1"/>
      <c r="B61" s="10" t="s">
        <v>13</v>
      </c>
      <c r="C61" s="10"/>
      <c r="D61" s="4">
        <v>7.23</v>
      </c>
      <c r="E61" s="4"/>
      <c r="F61" s="12">
        <f>IF(D$12=0,0,D61/D$12)</f>
        <v>4.8315958299919816E-3</v>
      </c>
      <c r="G61" s="4"/>
      <c r="H61" s="4">
        <v>-221.94</v>
      </c>
      <c r="I61" s="4"/>
      <c r="J61" s="12">
        <f>IF(H$12=0,0,H61/H$12)</f>
        <v>-0.24642202853494699</v>
      </c>
      <c r="K61" s="4"/>
      <c r="L61" s="4">
        <f>+D61-H61</f>
        <v>229.17</v>
      </c>
      <c r="M61" s="4"/>
      <c r="N61" s="12">
        <f>IF(H61=0,0,L61/H61)</f>
        <v>-1.0325763719924304</v>
      </c>
      <c r="O61" s="10"/>
      <c r="P61" s="4">
        <v>455.18</v>
      </c>
      <c r="Q61" s="4"/>
      <c r="R61" s="12">
        <f>IF(P$12=0,0,P61/P$12)</f>
        <v>0.12468225445939432</v>
      </c>
      <c r="S61" s="4"/>
      <c r="T61" s="4">
        <v>402.47</v>
      </c>
      <c r="U61" s="4"/>
      <c r="V61" s="12">
        <f>IF(T$12=0,0,T61/T$12)</f>
        <v>0.10209610686771164</v>
      </c>
      <c r="W61" s="4"/>
      <c r="X61" s="4">
        <f>+P61-T61</f>
        <v>52.70999999999998</v>
      </c>
      <c r="Y61" s="4"/>
      <c r="Z61" s="12">
        <f>IF(T61=0,0,X61/T61)</f>
        <v>0.13096628320123233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6" t="s">
        <v>4</v>
      </c>
      <c r="C63" s="26"/>
      <c r="D63" s="31">
        <f>+D59-D61</f>
        <v>34959.68</v>
      </c>
      <c r="E63" s="13"/>
      <c r="F63" s="36">
        <f>IF(D$12=0,0,D63/D$12)</f>
        <v>23.362523389468059</v>
      </c>
      <c r="G63" s="13"/>
      <c r="H63" s="31">
        <f>+H59-H61</f>
        <v>10187.970000000001</v>
      </c>
      <c r="I63" s="13"/>
      <c r="J63" s="36">
        <f>IF(H$12=0,0,H63/H$12)</f>
        <v>11.311797035474381</v>
      </c>
      <c r="K63" s="15"/>
      <c r="L63" s="31">
        <f>D63-H63</f>
        <v>24771.71</v>
      </c>
      <c r="M63" s="15"/>
      <c r="N63" s="36">
        <f>IF(H63=0,0,L63/H63)</f>
        <v>2.4314667200629758</v>
      </c>
      <c r="O63" s="25"/>
      <c r="P63" s="31">
        <f>+P59-P61</f>
        <v>35124.879999999997</v>
      </c>
      <c r="Q63" s="13"/>
      <c r="R63" s="36">
        <f>IF(P$12=0,0,P63/P$12)</f>
        <v>9.6213568830258147</v>
      </c>
      <c r="S63" s="13"/>
      <c r="T63" s="31">
        <f>+T59-T61</f>
        <v>10100.14</v>
      </c>
      <c r="U63" s="13"/>
      <c r="V63" s="36">
        <f>IF(T$12=0,0,T63/T$12)</f>
        <v>2.5621412100749099</v>
      </c>
      <c r="W63" s="15"/>
      <c r="X63" s="31">
        <f>P63-T63</f>
        <v>25024.739999999998</v>
      </c>
      <c r="Y63" s="15"/>
      <c r="Z63" s="36">
        <f>IF(T63=0,0,X63/T63)</f>
        <v>2.47766268586376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6" t="s">
        <v>5</v>
      </c>
      <c r="C66" s="26"/>
      <c r="D66" s="32">
        <f>SUM(D63:D65)</f>
        <v>34959.68</v>
      </c>
      <c r="E66" s="13"/>
      <c r="F66" s="30">
        <f>IF(D$12=0,0,D66/D$12)</f>
        <v>23.362523389468059</v>
      </c>
      <c r="G66" s="13"/>
      <c r="H66" s="32">
        <f>SUM(H63:H65)</f>
        <v>10187.970000000001</v>
      </c>
      <c r="I66" s="13"/>
      <c r="J66" s="30">
        <f>IF(H$12=0,0,H66/H$12)</f>
        <v>11.311797035474381</v>
      </c>
      <c r="K66" s="15"/>
      <c r="L66" s="32">
        <f>+D66-H66</f>
        <v>24771.71</v>
      </c>
      <c r="M66" s="15"/>
      <c r="N66" s="30">
        <f>IF(H66=0,0,L66/H66)</f>
        <v>2.4314667200629758</v>
      </c>
      <c r="O66" s="25"/>
      <c r="P66" s="32">
        <f>SUM(P63:P65)</f>
        <v>35124.879999999997</v>
      </c>
      <c r="Q66" s="13"/>
      <c r="R66" s="30">
        <f>IF(P$12=0,0,P66/P$12)</f>
        <v>9.6213568830258147</v>
      </c>
      <c r="S66" s="13"/>
      <c r="T66" s="32">
        <f>SUM(T63:T65)</f>
        <v>10100.14</v>
      </c>
      <c r="U66" s="13"/>
      <c r="V66" s="30">
        <f>IF(T$12=0,0,T66/T$12)</f>
        <v>2.5621412100749099</v>
      </c>
      <c r="W66" s="15"/>
      <c r="X66" s="32">
        <f>+P66-T66</f>
        <v>25024.739999999998</v>
      </c>
      <c r="Y66" s="15"/>
      <c r="Z66" s="30">
        <f>IF(T66=0,0,X66/T66)</f>
        <v>2.47766268586376</v>
      </c>
    </row>
    <row r="67" spans="1:26" ht="15.75" thickTop="1" x14ac:dyDescent="0.25">
      <c r="A67" s="9"/>
      <c r="C67" s="9"/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6" x14ac:dyDescent="0.25">
      <c r="A68" s="9"/>
      <c r="B68" s="57">
        <v>43732.70981547454</v>
      </c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60" t="s">
        <v>313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6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501515.09999999992</v>
      </c>
      <c r="E12" s="4"/>
      <c r="F12" s="12"/>
      <c r="G12" s="4"/>
      <c r="H12" s="4">
        <f>SUM(OSRRefH13x_0)</f>
        <v>316790.34000000008</v>
      </c>
      <c r="I12" s="4"/>
      <c r="J12" s="12"/>
      <c r="K12" s="4"/>
      <c r="L12" s="4">
        <f t="shared" ref="L12:L34" si="0">+D12-H12</f>
        <v>184724.75999999983</v>
      </c>
      <c r="M12" s="4"/>
      <c r="N12" s="12">
        <f t="shared" ref="N12:N34" si="1">IF(H12=0,0,L12/H12)</f>
        <v>0.58311361388102867</v>
      </c>
      <c r="O12" s="10"/>
      <c r="P12" s="4">
        <f>SUM(OSRRefP13x_0)</f>
        <v>871852.47000000009</v>
      </c>
      <c r="Q12" s="4"/>
      <c r="R12" s="12"/>
      <c r="S12" s="4"/>
      <c r="T12" s="4">
        <f>SUM(OSRRefT13x_0)</f>
        <v>742991.3</v>
      </c>
      <c r="U12" s="4"/>
      <c r="V12" s="12"/>
      <c r="W12" s="4"/>
      <c r="X12" s="4">
        <f t="shared" ref="X12:X34" si="2">+P12-T12</f>
        <v>128861.17000000004</v>
      </c>
      <c r="Y12" s="4"/>
      <c r="Z12" s="12">
        <f t="shared" ref="Z12:Z34" si="3">IF(T12=0,0,X12/T12)</f>
        <v>0.17343563780625701</v>
      </c>
    </row>
    <row r="13" spans="1:26" s="24" customFormat="1" hidden="1" outlineLevel="1" x14ac:dyDescent="0.25">
      <c r="A13" s="50"/>
      <c r="B13" s="11" t="str">
        <f>CONCATENATE("          ", "4081", " - ", "TAXABLE SALES-ELECTRONICS")</f>
        <v xml:space="preserve">          4081 - TAXABLE SALES-ELECTRONICS</v>
      </c>
      <c r="C13" s="11"/>
      <c r="D13" s="2">
        <f>--88475.34</f>
        <v>88475.34</v>
      </c>
      <c r="E13" s="2"/>
      <c r="F13" s="21"/>
      <c r="G13" s="2"/>
      <c r="H13" s="2">
        <f>--61720.96</f>
        <v>61720.959999999999</v>
      </c>
      <c r="I13" s="2"/>
      <c r="J13" s="21"/>
      <c r="K13" s="2"/>
      <c r="L13" s="2">
        <f t="shared" si="0"/>
        <v>26754.379999999997</v>
      </c>
      <c r="M13" s="2"/>
      <c r="N13" s="21">
        <f t="shared" si="1"/>
        <v>0.4334731669760159</v>
      </c>
      <c r="O13" s="11"/>
      <c r="P13" s="2">
        <f>--109419.93</f>
        <v>109419.93</v>
      </c>
      <c r="Q13" s="2"/>
      <c r="R13" s="21"/>
      <c r="S13" s="2"/>
      <c r="T13" s="2">
        <f>--78774.85</f>
        <v>78774.850000000006</v>
      </c>
      <c r="U13" s="2"/>
      <c r="V13" s="21"/>
      <c r="W13" s="2"/>
      <c r="X13" s="2">
        <f t="shared" si="2"/>
        <v>30645.079999999987</v>
      </c>
      <c r="Y13" s="2"/>
      <c r="Z13" s="21">
        <f t="shared" si="3"/>
        <v>0.38902111524172989</v>
      </c>
    </row>
    <row r="14" spans="1:26" s="24" customFormat="1" hidden="1" outlineLevel="1" x14ac:dyDescent="0.25">
      <c r="A14" s="50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--414765.04</f>
        <v>414765.04</v>
      </c>
      <c r="E14" s="2"/>
      <c r="F14" s="21"/>
      <c r="G14" s="2"/>
      <c r="H14" s="2">
        <f>--221946.98</f>
        <v>221946.98</v>
      </c>
      <c r="I14" s="2"/>
      <c r="J14" s="21"/>
      <c r="K14" s="2"/>
      <c r="L14" s="2">
        <f t="shared" si="0"/>
        <v>192818.05999999997</v>
      </c>
      <c r="M14" s="2"/>
      <c r="N14" s="21">
        <f t="shared" si="1"/>
        <v>0.86875730410929652</v>
      </c>
      <c r="O14" s="11"/>
      <c r="P14" s="2">
        <f>--813534.78</f>
        <v>813534.78</v>
      </c>
      <c r="Q14" s="2"/>
      <c r="R14" s="21"/>
      <c r="S14" s="2"/>
      <c r="T14" s="2">
        <f>--593195.81</f>
        <v>593195.81000000006</v>
      </c>
      <c r="U14" s="2"/>
      <c r="V14" s="21"/>
      <c r="W14" s="2"/>
      <c r="X14" s="2">
        <f t="shared" si="2"/>
        <v>220338.96999999997</v>
      </c>
      <c r="Y14" s="2"/>
      <c r="Z14" s="21">
        <f t="shared" si="3"/>
        <v>0.37144390820966849</v>
      </c>
    </row>
    <row r="15" spans="1:26" s="24" customFormat="1" hidden="1" outlineLevel="1" x14ac:dyDescent="0.25">
      <c r="A15" s="50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--15671.69</f>
        <v>15671.69</v>
      </c>
      <c r="E15" s="2"/>
      <c r="F15" s="21"/>
      <c r="G15" s="2"/>
      <c r="H15" s="2">
        <f>--17020.76</f>
        <v>17020.759999999998</v>
      </c>
      <c r="I15" s="2"/>
      <c r="J15" s="21"/>
      <c r="K15" s="2"/>
      <c r="L15" s="2">
        <f t="shared" si="0"/>
        <v>-1349.0699999999979</v>
      </c>
      <c r="M15" s="2"/>
      <c r="N15" s="21">
        <f t="shared" si="1"/>
        <v>-7.9260268049135177E-2</v>
      </c>
      <c r="O15" s="11"/>
      <c r="P15" s="2">
        <f>--23577.79</f>
        <v>23577.79</v>
      </c>
      <c r="Q15" s="2"/>
      <c r="R15" s="21"/>
      <c r="S15" s="2"/>
      <c r="T15" s="2">
        <f>--24438.26</f>
        <v>24438.26</v>
      </c>
      <c r="U15" s="2"/>
      <c r="V15" s="21"/>
      <c r="W15" s="2"/>
      <c r="X15" s="2">
        <f t="shared" si="2"/>
        <v>-860.46999999999753</v>
      </c>
      <c r="Y15" s="2"/>
      <c r="Z15" s="21">
        <f t="shared" si="3"/>
        <v>-3.5209953572799275E-2</v>
      </c>
    </row>
    <row r="16" spans="1:26" s="24" customFormat="1" hidden="1" outlineLevel="1" x14ac:dyDescent="0.25">
      <c r="A16" s="50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21"/>
      <c r="G16" s="2"/>
      <c r="H16" s="2">
        <f>0</f>
        <v>0</v>
      </c>
      <c r="I16" s="2"/>
      <c r="J16" s="21"/>
      <c r="K16" s="2"/>
      <c r="L16" s="2">
        <f t="shared" si="0"/>
        <v>0</v>
      </c>
      <c r="M16" s="2"/>
      <c r="N16" s="21">
        <f t="shared" si="1"/>
        <v>0</v>
      </c>
      <c r="O16" s="11"/>
      <c r="P16" s="2">
        <f>--129</f>
        <v>129</v>
      </c>
      <c r="Q16" s="2"/>
      <c r="R16" s="21"/>
      <c r="S16" s="2"/>
      <c r="T16" s="2">
        <f>--278.99</f>
        <v>278.99</v>
      </c>
      <c r="U16" s="2"/>
      <c r="V16" s="21"/>
      <c r="W16" s="2"/>
      <c r="X16" s="2">
        <f t="shared" si="2"/>
        <v>-149.99</v>
      </c>
      <c r="Y16" s="2"/>
      <c r="Z16" s="21">
        <f t="shared" si="3"/>
        <v>-0.53761783576472277</v>
      </c>
    </row>
    <row r="17" spans="1:26" s="24" customFormat="1" hidden="1" outlineLevel="1" x14ac:dyDescent="0.25">
      <c r="A17" s="50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21"/>
      <c r="G17" s="2"/>
      <c r="H17" s="2">
        <f>--4160.95</f>
        <v>4160.95</v>
      </c>
      <c r="I17" s="2"/>
      <c r="J17" s="21"/>
      <c r="K17" s="2"/>
      <c r="L17" s="2">
        <f t="shared" si="0"/>
        <v>-4160.95</v>
      </c>
      <c r="M17" s="2"/>
      <c r="N17" s="21">
        <f t="shared" si="1"/>
        <v>-1</v>
      </c>
      <c r="O17" s="11"/>
      <c r="P17" s="2">
        <f>--493.95</f>
        <v>493.95</v>
      </c>
      <c r="Q17" s="2"/>
      <c r="R17" s="21"/>
      <c r="S17" s="2"/>
      <c r="T17" s="2">
        <f>--4976.95</f>
        <v>4976.95</v>
      </c>
      <c r="U17" s="2"/>
      <c r="V17" s="21"/>
      <c r="W17" s="2"/>
      <c r="X17" s="2">
        <f t="shared" si="2"/>
        <v>-4483</v>
      </c>
      <c r="Y17" s="2"/>
      <c r="Z17" s="21">
        <f t="shared" si="3"/>
        <v>-0.90075246888154392</v>
      </c>
    </row>
    <row r="18" spans="1:26" s="24" customFormat="1" hidden="1" outlineLevel="1" x14ac:dyDescent="0.25">
      <c r="A18" s="50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--7578.27</f>
        <v>7578.27</v>
      </c>
      <c r="E18" s="2"/>
      <c r="F18" s="21"/>
      <c r="G18" s="2"/>
      <c r="H18" s="2">
        <f>--9316.97</f>
        <v>9316.9699999999993</v>
      </c>
      <c r="I18" s="2"/>
      <c r="J18" s="21"/>
      <c r="K18" s="2"/>
      <c r="L18" s="2">
        <f t="shared" si="0"/>
        <v>-1738.6999999999989</v>
      </c>
      <c r="M18" s="2"/>
      <c r="N18" s="21">
        <f t="shared" si="1"/>
        <v>-0.18661646436556081</v>
      </c>
      <c r="O18" s="11"/>
      <c r="P18" s="2">
        <f>--9558.6</f>
        <v>9558.6</v>
      </c>
      <c r="Q18" s="2"/>
      <c r="R18" s="21"/>
      <c r="S18" s="2"/>
      <c r="T18" s="2">
        <f>--13787.4</f>
        <v>13787.4</v>
      </c>
      <c r="U18" s="2"/>
      <c r="V18" s="21"/>
      <c r="W18" s="2"/>
      <c r="X18" s="2">
        <f t="shared" si="2"/>
        <v>-4228.7999999999993</v>
      </c>
      <c r="Y18" s="2"/>
      <c r="Z18" s="21">
        <f t="shared" si="3"/>
        <v>-0.30671482658079113</v>
      </c>
    </row>
    <row r="19" spans="1:26" s="24" customFormat="1" hidden="1" outlineLevel="1" x14ac:dyDescent="0.25">
      <c r="A19" s="50"/>
      <c r="B19" s="11" t="str">
        <f>CONCATENATE("          ", "4088", " - ", "TAXABLE SALES-MUSIC")</f>
        <v xml:space="preserve">          4088 - TAXABLE SALES-MUSIC</v>
      </c>
      <c r="C19" s="11"/>
      <c r="D19" s="2">
        <f>--259.98</f>
        <v>259.98</v>
      </c>
      <c r="E19" s="2"/>
      <c r="F19" s="21"/>
      <c r="G19" s="2"/>
      <c r="H19" s="2">
        <f>--357.94</f>
        <v>357.94</v>
      </c>
      <c r="I19" s="2"/>
      <c r="J19" s="21"/>
      <c r="K19" s="2"/>
      <c r="L19" s="2">
        <f t="shared" si="0"/>
        <v>-97.95999999999998</v>
      </c>
      <c r="M19" s="2"/>
      <c r="N19" s="21">
        <f t="shared" si="1"/>
        <v>-0.27367715259540698</v>
      </c>
      <c r="O19" s="11"/>
      <c r="P19" s="2">
        <f>--518.97</f>
        <v>518.97</v>
      </c>
      <c r="Q19" s="2"/>
      <c r="R19" s="21"/>
      <c r="S19" s="2"/>
      <c r="T19" s="2">
        <f>--688.93</f>
        <v>688.93</v>
      </c>
      <c r="U19" s="2"/>
      <c r="V19" s="21"/>
      <c r="W19" s="2"/>
      <c r="X19" s="2">
        <f t="shared" si="2"/>
        <v>-169.95999999999992</v>
      </c>
      <c r="Y19" s="2"/>
      <c r="Z19" s="21">
        <f t="shared" si="3"/>
        <v>-0.24670140652896511</v>
      </c>
    </row>
    <row r="20" spans="1:26" s="24" customFormat="1" hidden="1" outlineLevel="1" x14ac:dyDescent="0.25">
      <c r="A20" s="50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--87.95</f>
        <v>87.95</v>
      </c>
      <c r="E20" s="2"/>
      <c r="F20" s="21"/>
      <c r="G20" s="2"/>
      <c r="H20" s="2">
        <f>--147.95</f>
        <v>147.94999999999999</v>
      </c>
      <c r="I20" s="2"/>
      <c r="J20" s="21"/>
      <c r="K20" s="2"/>
      <c r="L20" s="2">
        <f t="shared" si="0"/>
        <v>-59.999999999999986</v>
      </c>
      <c r="M20" s="2"/>
      <c r="N20" s="21">
        <f t="shared" si="1"/>
        <v>-0.40554241297735716</v>
      </c>
      <c r="O20" s="11"/>
      <c r="P20" s="2">
        <f>--1390.56</f>
        <v>1390.56</v>
      </c>
      <c r="Q20" s="2"/>
      <c r="R20" s="21"/>
      <c r="S20" s="2"/>
      <c r="T20" s="2">
        <f>--341.97</f>
        <v>341.97</v>
      </c>
      <c r="U20" s="2"/>
      <c r="V20" s="21"/>
      <c r="W20" s="2"/>
      <c r="X20" s="2">
        <f t="shared" si="2"/>
        <v>1048.5899999999999</v>
      </c>
      <c r="Y20" s="2"/>
      <c r="Z20" s="21">
        <f t="shared" si="3"/>
        <v>3.066321607158522</v>
      </c>
    </row>
    <row r="21" spans="1:26" s="24" customFormat="1" hidden="1" outlineLevel="1" x14ac:dyDescent="0.25">
      <c r="A21" s="50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--19953</f>
        <v>19953</v>
      </c>
      <c r="E21" s="2"/>
      <c r="F21" s="21"/>
      <c r="G21" s="2"/>
      <c r="H21" s="2">
        <f>--12039</f>
        <v>12039</v>
      </c>
      <c r="I21" s="2"/>
      <c r="J21" s="21"/>
      <c r="K21" s="2"/>
      <c r="L21" s="2">
        <f t="shared" si="0"/>
        <v>7914</v>
      </c>
      <c r="M21" s="2"/>
      <c r="N21" s="21">
        <f t="shared" si="1"/>
        <v>0.65736356840269128</v>
      </c>
      <c r="O21" s="11"/>
      <c r="P21" s="2">
        <f>--30571</f>
        <v>30571</v>
      </c>
      <c r="Q21" s="2"/>
      <c r="R21" s="21"/>
      <c r="S21" s="2"/>
      <c r="T21" s="2">
        <f>--43165.98</f>
        <v>43165.98</v>
      </c>
      <c r="U21" s="2"/>
      <c r="V21" s="21"/>
      <c r="W21" s="2"/>
      <c r="X21" s="2">
        <f t="shared" si="2"/>
        <v>-12594.980000000003</v>
      </c>
      <c r="Y21" s="2"/>
      <c r="Z21" s="21">
        <f t="shared" si="3"/>
        <v>-0.29178023990188573</v>
      </c>
    </row>
    <row r="22" spans="1:26" s="24" customFormat="1" hidden="1" outlineLevel="1" x14ac:dyDescent="0.25">
      <c r="A22" s="50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--974.39</f>
        <v>974.39</v>
      </c>
      <c r="E22" s="2"/>
      <c r="F22" s="21"/>
      <c r="G22" s="2"/>
      <c r="H22" s="2">
        <f>--492.77</f>
        <v>492.77</v>
      </c>
      <c r="I22" s="2"/>
      <c r="J22" s="21"/>
      <c r="K22" s="2"/>
      <c r="L22" s="2">
        <f t="shared" si="0"/>
        <v>481.62</v>
      </c>
      <c r="M22" s="2"/>
      <c r="N22" s="21">
        <f t="shared" si="1"/>
        <v>0.97737281084481609</v>
      </c>
      <c r="O22" s="11"/>
      <c r="P22" s="2">
        <f>--1156.29</f>
        <v>1156.29</v>
      </c>
      <c r="Q22" s="2"/>
      <c r="R22" s="21"/>
      <c r="S22" s="2"/>
      <c r="T22" s="2">
        <f>--681.72</f>
        <v>681.72</v>
      </c>
      <c r="U22" s="2"/>
      <c r="V22" s="21"/>
      <c r="W22" s="2"/>
      <c r="X22" s="2">
        <f t="shared" si="2"/>
        <v>474.56999999999994</v>
      </c>
      <c r="Y22" s="2"/>
      <c r="Z22" s="21">
        <f t="shared" si="3"/>
        <v>0.696136243619081</v>
      </c>
    </row>
    <row r="23" spans="1:26" s="24" customFormat="1" hidden="1" outlineLevel="1" x14ac:dyDescent="0.25">
      <c r="A23" s="50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--1522</f>
        <v>1522</v>
      </c>
      <c r="E23" s="2"/>
      <c r="F23" s="21"/>
      <c r="G23" s="2"/>
      <c r="H23" s="2">
        <f>--99</f>
        <v>99</v>
      </c>
      <c r="I23" s="2"/>
      <c r="J23" s="21"/>
      <c r="K23" s="2"/>
      <c r="L23" s="2">
        <f t="shared" si="0"/>
        <v>1423</v>
      </c>
      <c r="M23" s="2"/>
      <c r="N23" s="21">
        <f t="shared" si="1"/>
        <v>14.373737373737374</v>
      </c>
      <c r="O23" s="11"/>
      <c r="P23" s="2">
        <f>--1522</f>
        <v>1522</v>
      </c>
      <c r="Q23" s="2"/>
      <c r="R23" s="21"/>
      <c r="S23" s="2"/>
      <c r="T23" s="2">
        <f>--99</f>
        <v>99</v>
      </c>
      <c r="U23" s="2"/>
      <c r="V23" s="21"/>
      <c r="W23" s="2"/>
      <c r="X23" s="2">
        <f t="shared" si="2"/>
        <v>1423</v>
      </c>
      <c r="Y23" s="2"/>
      <c r="Z23" s="21">
        <f t="shared" si="3"/>
        <v>14.373737373737374</v>
      </c>
    </row>
    <row r="24" spans="1:26" s="24" customFormat="1" hidden="1" outlineLevel="1" x14ac:dyDescent="0.25">
      <c r="A24" s="50"/>
      <c r="B24" s="11" t="str">
        <f>CONCATENATE("          ", "4185", " - ", "NON-TAXABLE SALES-SOFTWARE")</f>
        <v xml:space="preserve">          4185 - NON-TAXABLE SALES-SOFTWARE</v>
      </c>
      <c r="C24" s="11"/>
      <c r="D24" s="2">
        <f>--3770</f>
        <v>3770</v>
      </c>
      <c r="E24" s="2"/>
      <c r="F24" s="21"/>
      <c r="G24" s="2"/>
      <c r="H24" s="2">
        <f>--1152.94</f>
        <v>1152.94</v>
      </c>
      <c r="I24" s="2"/>
      <c r="J24" s="21"/>
      <c r="K24" s="2"/>
      <c r="L24" s="2">
        <f t="shared" si="0"/>
        <v>2617.06</v>
      </c>
      <c r="M24" s="2"/>
      <c r="N24" s="21">
        <f t="shared" si="1"/>
        <v>2.2699012958176485</v>
      </c>
      <c r="O24" s="11"/>
      <c r="P24" s="2">
        <f>--4522</f>
        <v>4522</v>
      </c>
      <c r="Q24" s="2"/>
      <c r="R24" s="21"/>
      <c r="S24" s="2"/>
      <c r="T24" s="2">
        <f>--1921.92</f>
        <v>1921.92</v>
      </c>
      <c r="U24" s="2"/>
      <c r="V24" s="21"/>
      <c r="W24" s="2"/>
      <c r="X24" s="2">
        <f t="shared" si="2"/>
        <v>2600.08</v>
      </c>
      <c r="Y24" s="2"/>
      <c r="Z24" s="21">
        <f t="shared" si="3"/>
        <v>1.3528554778554778</v>
      </c>
    </row>
    <row r="25" spans="1:26" s="24" customFormat="1" hidden="1" outlineLevel="1" x14ac:dyDescent="0.25">
      <c r="A25" s="50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--194.93</f>
        <v>194.93</v>
      </c>
      <c r="E25" s="2"/>
      <c r="F25" s="21"/>
      <c r="G25" s="2"/>
      <c r="H25" s="2">
        <f>--485.2</f>
        <v>485.2</v>
      </c>
      <c r="I25" s="2"/>
      <c r="J25" s="21"/>
      <c r="K25" s="2"/>
      <c r="L25" s="2">
        <f t="shared" si="0"/>
        <v>-290.27</v>
      </c>
      <c r="M25" s="2"/>
      <c r="N25" s="21">
        <f t="shared" si="1"/>
        <v>-0.59824814509480628</v>
      </c>
      <c r="O25" s="11"/>
      <c r="P25" s="2">
        <f>--274.9</f>
        <v>274.89999999999998</v>
      </c>
      <c r="Q25" s="2"/>
      <c r="R25" s="21"/>
      <c r="S25" s="2"/>
      <c r="T25" s="2">
        <f>--1324.43</f>
        <v>1324.43</v>
      </c>
      <c r="U25" s="2"/>
      <c r="V25" s="21"/>
      <c r="W25" s="2"/>
      <c r="X25" s="2">
        <f t="shared" si="2"/>
        <v>-1049.5300000000002</v>
      </c>
      <c r="Y25" s="2"/>
      <c r="Z25" s="21">
        <f t="shared" si="3"/>
        <v>-0.79243901149928664</v>
      </c>
    </row>
    <row r="26" spans="1:26" s="24" customFormat="1" hidden="1" outlineLevel="1" x14ac:dyDescent="0.25">
      <c r="A26" s="50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21"/>
      <c r="G26" s="2"/>
      <c r="H26" s="2">
        <f>0</f>
        <v>0</v>
      </c>
      <c r="I26" s="2"/>
      <c r="J26" s="21"/>
      <c r="K26" s="2"/>
      <c r="L26" s="2">
        <f t="shared" si="0"/>
        <v>0</v>
      </c>
      <c r="M26" s="2"/>
      <c r="N26" s="21">
        <f t="shared" si="1"/>
        <v>0</v>
      </c>
      <c r="O26" s="11"/>
      <c r="P26" s="2">
        <f>--99.98</f>
        <v>99.98</v>
      </c>
      <c r="Q26" s="2"/>
      <c r="R26" s="21"/>
      <c r="S26" s="2"/>
      <c r="T26" s="2">
        <f>--199.98</f>
        <v>199.98</v>
      </c>
      <c r="U26" s="2"/>
      <c r="V26" s="21"/>
      <c r="W26" s="2"/>
      <c r="X26" s="2">
        <f t="shared" si="2"/>
        <v>-99.999999999999986</v>
      </c>
      <c r="Y26" s="2"/>
      <c r="Z26" s="21">
        <f t="shared" si="3"/>
        <v>-0.50005000500050001</v>
      </c>
    </row>
    <row r="27" spans="1:26" s="24" customFormat="1" hidden="1" outlineLevel="1" x14ac:dyDescent="0.25">
      <c r="A27" s="50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-575.76</f>
        <v>-575.76</v>
      </c>
      <c r="E27" s="2"/>
      <c r="F27" s="21"/>
      <c r="G27" s="2"/>
      <c r="H27" s="2">
        <f>-1454.43</f>
        <v>-1454.43</v>
      </c>
      <c r="I27" s="2"/>
      <c r="J27" s="21"/>
      <c r="K27" s="2"/>
      <c r="L27" s="2">
        <f t="shared" si="0"/>
        <v>878.67000000000007</v>
      </c>
      <c r="M27" s="2"/>
      <c r="N27" s="21">
        <f t="shared" si="1"/>
        <v>-0.60413357810276191</v>
      </c>
      <c r="O27" s="11"/>
      <c r="P27" s="2">
        <f>-2234.75</f>
        <v>-2234.75</v>
      </c>
      <c r="Q27" s="2"/>
      <c r="R27" s="21"/>
      <c r="S27" s="2"/>
      <c r="T27" s="2">
        <f>-1784.37</f>
        <v>-1784.37</v>
      </c>
      <c r="U27" s="2"/>
      <c r="V27" s="21"/>
      <c r="W27" s="2"/>
      <c r="X27" s="2">
        <f t="shared" si="2"/>
        <v>-450.38000000000011</v>
      </c>
      <c r="Y27" s="2"/>
      <c r="Z27" s="21">
        <f t="shared" si="3"/>
        <v>0.25240280883449068</v>
      </c>
    </row>
    <row r="28" spans="1:26" s="24" customFormat="1" hidden="1" outlineLevel="1" x14ac:dyDescent="0.25">
      <c r="A28" s="50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-49848.66</f>
        <v>-49848.66</v>
      </c>
      <c r="E28" s="2"/>
      <c r="F28" s="21"/>
      <c r="G28" s="2"/>
      <c r="H28" s="2">
        <f>-9198.35</f>
        <v>-9198.35</v>
      </c>
      <c r="I28" s="2"/>
      <c r="J28" s="21"/>
      <c r="K28" s="2"/>
      <c r="L28" s="2">
        <f t="shared" si="0"/>
        <v>-40650.310000000005</v>
      </c>
      <c r="M28" s="2"/>
      <c r="N28" s="21">
        <f t="shared" si="1"/>
        <v>4.4193045491854521</v>
      </c>
      <c r="O28" s="11"/>
      <c r="P28" s="2">
        <f>-120189.72</f>
        <v>-120189.72</v>
      </c>
      <c r="Q28" s="2"/>
      <c r="R28" s="21"/>
      <c r="S28" s="2"/>
      <c r="T28" s="2">
        <f>-17349.35</f>
        <v>-17349.349999999999</v>
      </c>
      <c r="U28" s="2"/>
      <c r="V28" s="21"/>
      <c r="W28" s="2"/>
      <c r="X28" s="2">
        <f t="shared" si="2"/>
        <v>-102840.37</v>
      </c>
      <c r="Y28" s="2"/>
      <c r="Z28" s="21">
        <f t="shared" si="3"/>
        <v>5.927620919515717</v>
      </c>
    </row>
    <row r="29" spans="1:26" s="24" customFormat="1" hidden="1" outlineLevel="1" x14ac:dyDescent="0.25">
      <c r="A29" s="50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-503.89</f>
        <v>-503.89</v>
      </c>
      <c r="E29" s="2"/>
      <c r="F29" s="21"/>
      <c r="G29" s="2"/>
      <c r="H29" s="2">
        <f>-672.01</f>
        <v>-672.01</v>
      </c>
      <c r="I29" s="2"/>
      <c r="J29" s="21"/>
      <c r="K29" s="2"/>
      <c r="L29" s="2">
        <f t="shared" si="0"/>
        <v>168.12</v>
      </c>
      <c r="M29" s="2"/>
      <c r="N29" s="21">
        <f t="shared" si="1"/>
        <v>-0.2501748485885627</v>
      </c>
      <c r="O29" s="11"/>
      <c r="P29" s="2">
        <f>-730.69</f>
        <v>-730.69</v>
      </c>
      <c r="Q29" s="2"/>
      <c r="R29" s="21"/>
      <c r="S29" s="2"/>
      <c r="T29" s="2">
        <f>-879.91</f>
        <v>-879.91</v>
      </c>
      <c r="U29" s="2"/>
      <c r="V29" s="21"/>
      <c r="W29" s="2"/>
      <c r="X29" s="2">
        <f t="shared" si="2"/>
        <v>149.21999999999991</v>
      </c>
      <c r="Y29" s="2"/>
      <c r="Z29" s="21">
        <f t="shared" si="3"/>
        <v>-0.16958552579241049</v>
      </c>
    </row>
    <row r="30" spans="1:26" s="24" customFormat="1" hidden="1" outlineLevel="1" x14ac:dyDescent="0.25">
      <c r="A30" s="50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>-129</f>
        <v>-129</v>
      </c>
      <c r="E30" s="2"/>
      <c r="F30" s="21"/>
      <c r="G30" s="2"/>
      <c r="H30" s="2">
        <f t="shared" ref="H30:H31" si="5">0</f>
        <v>0</v>
      </c>
      <c r="I30" s="2"/>
      <c r="J30" s="21"/>
      <c r="K30" s="2"/>
      <c r="L30" s="2">
        <f t="shared" si="0"/>
        <v>-129</v>
      </c>
      <c r="M30" s="2"/>
      <c r="N30" s="21">
        <f t="shared" si="1"/>
        <v>0</v>
      </c>
      <c r="O30" s="11"/>
      <c r="P30" s="2">
        <f>-129</f>
        <v>-129</v>
      </c>
      <c r="Q30" s="2"/>
      <c r="R30" s="21"/>
      <c r="S30" s="2"/>
      <c r="T30" s="2">
        <f t="shared" ref="T30:T31" si="6">0</f>
        <v>0</v>
      </c>
      <c r="U30" s="2"/>
      <c r="V30" s="21"/>
      <c r="W30" s="2"/>
      <c r="X30" s="2">
        <f t="shared" si="2"/>
        <v>-129</v>
      </c>
      <c r="Y30" s="2"/>
      <c r="Z30" s="21">
        <f t="shared" si="3"/>
        <v>0</v>
      </c>
    </row>
    <row r="31" spans="1:26" s="24" customFormat="1" hidden="1" outlineLevel="1" x14ac:dyDescent="0.25">
      <c r="A31" s="50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>0</f>
        <v>0</v>
      </c>
      <c r="E31" s="2"/>
      <c r="F31" s="21"/>
      <c r="G31" s="2"/>
      <c r="H31" s="2">
        <f t="shared" si="5"/>
        <v>0</v>
      </c>
      <c r="I31" s="2"/>
      <c r="J31" s="21"/>
      <c r="K31" s="2"/>
      <c r="L31" s="2">
        <f t="shared" si="0"/>
        <v>0</v>
      </c>
      <c r="M31" s="2"/>
      <c r="N31" s="21">
        <f t="shared" si="1"/>
        <v>0</v>
      </c>
      <c r="O31" s="11"/>
      <c r="P31" s="2">
        <f>-406.99</f>
        <v>-406.99</v>
      </c>
      <c r="Q31" s="2"/>
      <c r="R31" s="21"/>
      <c r="S31" s="2"/>
      <c r="T31" s="2">
        <f t="shared" si="6"/>
        <v>0</v>
      </c>
      <c r="U31" s="2"/>
      <c r="V31" s="21"/>
      <c r="W31" s="2"/>
      <c r="X31" s="2">
        <f t="shared" si="2"/>
        <v>-406.99</v>
      </c>
      <c r="Y31" s="2"/>
      <c r="Z31" s="21">
        <f t="shared" si="3"/>
        <v>0</v>
      </c>
    </row>
    <row r="32" spans="1:26" s="24" customFormat="1" hidden="1" outlineLevel="1" x14ac:dyDescent="0.25">
      <c r="A32" s="50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-635.2</f>
        <v>-635.20000000000005</v>
      </c>
      <c r="E32" s="2"/>
      <c r="F32" s="21"/>
      <c r="G32" s="2"/>
      <c r="H32" s="2">
        <f>-826.29</f>
        <v>-826.29</v>
      </c>
      <c r="I32" s="2"/>
      <c r="J32" s="21"/>
      <c r="K32" s="2"/>
      <c r="L32" s="2">
        <f t="shared" si="0"/>
        <v>191.08999999999992</v>
      </c>
      <c r="M32" s="2"/>
      <c r="N32" s="21">
        <f t="shared" si="1"/>
        <v>-0.23126263176366643</v>
      </c>
      <c r="O32" s="11"/>
      <c r="P32" s="2">
        <f>-1181.15</f>
        <v>-1181.1500000000001</v>
      </c>
      <c r="Q32" s="2"/>
      <c r="R32" s="21"/>
      <c r="S32" s="2"/>
      <c r="T32" s="2">
        <f>-871.26</f>
        <v>-871.26</v>
      </c>
      <c r="U32" s="2"/>
      <c r="V32" s="21"/>
      <c r="W32" s="2"/>
      <c r="X32" s="2">
        <f t="shared" si="2"/>
        <v>-309.8900000000001</v>
      </c>
      <c r="Y32" s="2"/>
      <c r="Z32" s="21">
        <f t="shared" si="3"/>
        <v>0.35568027913596412</v>
      </c>
    </row>
    <row r="33" spans="1:26" s="24" customFormat="1" hidden="1" outlineLevel="1" x14ac:dyDescent="0.25">
      <c r="A33" s="50"/>
      <c r="B33" s="11" t="str">
        <f>CONCATENATE("          ", "4383", " - ", "SALES RETURN NON TAXABLE-COMPU")</f>
        <v xml:space="preserve">          4383 - SALES RETURN NON TAXABLE-COMPU</v>
      </c>
      <c r="C33" s="11"/>
      <c r="D33" s="2">
        <f>-24.99</f>
        <v>-24.99</v>
      </c>
      <c r="E33" s="2"/>
      <c r="F33" s="21"/>
      <c r="G33" s="2"/>
      <c r="H33" s="2">
        <f t="shared" ref="H33:H34" si="7">0</f>
        <v>0</v>
      </c>
      <c r="I33" s="2"/>
      <c r="J33" s="21"/>
      <c r="K33" s="2"/>
      <c r="L33" s="2">
        <f t="shared" si="0"/>
        <v>-24.99</v>
      </c>
      <c r="M33" s="2"/>
      <c r="N33" s="21">
        <f t="shared" si="1"/>
        <v>0</v>
      </c>
      <c r="O33" s="11"/>
      <c r="P33" s="2">
        <f>-24.99</f>
        <v>-24.99</v>
      </c>
      <c r="Q33" s="2"/>
      <c r="R33" s="21"/>
      <c r="S33" s="2"/>
      <c r="T33" s="2">
        <f t="shared" ref="T33:T34" si="8">0</f>
        <v>0</v>
      </c>
      <c r="U33" s="2"/>
      <c r="V33" s="21"/>
      <c r="W33" s="2"/>
      <c r="X33" s="2">
        <f t="shared" si="2"/>
        <v>-24.99</v>
      </c>
      <c r="Y33" s="2"/>
      <c r="Z33" s="21">
        <f t="shared" si="3"/>
        <v>0</v>
      </c>
    </row>
    <row r="34" spans="1:26" s="24" customFormat="1" hidden="1" outlineLevel="1" x14ac:dyDescent="0.25">
      <c r="A34" s="50"/>
      <c r="B34" s="11" t="str">
        <f>CONCATENATE("          ", "4386", " - ", "SALES RETURN NON TAXABLE-COMPU")</f>
        <v xml:space="preserve">          4386 - SALES RETURN NON TAXABLE-COMPU</v>
      </c>
      <c r="C34" s="11"/>
      <c r="D34" s="2">
        <f>-19.99</f>
        <v>-19.989999999999998</v>
      </c>
      <c r="E34" s="2"/>
      <c r="F34" s="21"/>
      <c r="G34" s="2"/>
      <c r="H34" s="2">
        <f t="shared" si="7"/>
        <v>0</v>
      </c>
      <c r="I34" s="2"/>
      <c r="J34" s="21"/>
      <c r="K34" s="2"/>
      <c r="L34" s="2">
        <f t="shared" si="0"/>
        <v>-19.989999999999998</v>
      </c>
      <c r="M34" s="2"/>
      <c r="N34" s="21">
        <f t="shared" si="1"/>
        <v>0</v>
      </c>
      <c r="O34" s="11"/>
      <c r="P34" s="2">
        <f>-19.99</f>
        <v>-19.989999999999998</v>
      </c>
      <c r="Q34" s="2"/>
      <c r="R34" s="21"/>
      <c r="S34" s="2"/>
      <c r="T34" s="2">
        <f t="shared" si="8"/>
        <v>0</v>
      </c>
      <c r="U34" s="2"/>
      <c r="V34" s="21"/>
      <c r="W34" s="2"/>
      <c r="X34" s="2">
        <f t="shared" si="2"/>
        <v>-19.989999999999998</v>
      </c>
      <c r="Y34" s="2"/>
      <c r="Z34" s="21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5" t="s">
        <v>8</v>
      </c>
      <c r="C36" s="10"/>
      <c r="D36" s="4">
        <f>SUM(OSRRefD16x_0)</f>
        <v>455074.88</v>
      </c>
      <c r="E36" s="4"/>
      <c r="F36" s="12">
        <f t="shared" ref="F36:F47" si="9">IF(D$12=0,0,D36/D$12)</f>
        <v>0.90740015604714608</v>
      </c>
      <c r="G36" s="4"/>
      <c r="H36" s="4">
        <f>SUM(OSRRefH16x_0)</f>
        <v>273284.78000000003</v>
      </c>
      <c r="I36" s="4"/>
      <c r="J36" s="12">
        <f t="shared" ref="J36:J47" si="10">IF(H$12=0,0,H36/H$12)</f>
        <v>0.8626676558382429</v>
      </c>
      <c r="K36" s="4"/>
      <c r="L36" s="4">
        <f t="shared" ref="L36:L47" si="11">+D36-H36</f>
        <v>181790.09999999998</v>
      </c>
      <c r="M36" s="4"/>
      <c r="N36" s="12">
        <f t="shared" ref="N36:N47" si="12">IF(H36=0,0,L36/H36)</f>
        <v>0.66520389463328311</v>
      </c>
      <c r="O36" s="10"/>
      <c r="P36" s="4">
        <f>SUM(OSRRefP16x_0)</f>
        <v>797395.07000000007</v>
      </c>
      <c r="Q36" s="4"/>
      <c r="R36" s="12">
        <f t="shared" ref="R36:R47" si="13">IF(P$12=0,0,P36/P$12)</f>
        <v>0.91459862469621722</v>
      </c>
      <c r="S36" s="4"/>
      <c r="T36" s="4">
        <f>SUM(OSRRefT16x_0)</f>
        <v>644112.28</v>
      </c>
      <c r="U36" s="4"/>
      <c r="V36" s="12">
        <f t="shared" ref="V36:V47" si="14">IF(T$12=0,0,T36/T$12)</f>
        <v>0.86691766108163038</v>
      </c>
      <c r="W36" s="4"/>
      <c r="X36" s="4">
        <f t="shared" ref="X36:X47" si="15">+P36-T36</f>
        <v>153282.79000000004</v>
      </c>
      <c r="Y36" s="4"/>
      <c r="Z36" s="12">
        <f t="shared" ref="Z36:Z47" si="16">IF(T36=0,0,X36/T36)</f>
        <v>0.23797526418841142</v>
      </c>
    </row>
    <row r="37" spans="1:26" s="24" customFormat="1" hidden="1" outlineLevel="1" x14ac:dyDescent="0.25">
      <c r="A37" s="50"/>
      <c r="B37" s="11" t="str">
        <f>CONCATENATE("          ", "5081", " - ", "PURCHASES @ COST-ELECTRONICS")</f>
        <v xml:space="preserve">          5081 - PURCHASES @ COST-ELECTRONICS</v>
      </c>
      <c r="C37" s="11"/>
      <c r="D37" s="2">
        <v>17400.329999999998</v>
      </c>
      <c r="E37" s="2"/>
      <c r="F37" s="21">
        <f t="shared" si="9"/>
        <v>3.4695525618271515E-2</v>
      </c>
      <c r="G37" s="2"/>
      <c r="H37" s="2">
        <v>31537.619999999995</v>
      </c>
      <c r="I37" s="2"/>
      <c r="J37" s="21">
        <f t="shared" si="10"/>
        <v>9.9553603812540456E-2</v>
      </c>
      <c r="K37" s="2"/>
      <c r="L37" s="2">
        <f t="shared" si="11"/>
        <v>-14137.289999999997</v>
      </c>
      <c r="M37" s="2"/>
      <c r="N37" s="21">
        <f t="shared" si="12"/>
        <v>-0.44826749767420621</v>
      </c>
      <c r="O37" s="11"/>
      <c r="P37" s="2">
        <v>83458.680000000008</v>
      </c>
      <c r="Q37" s="2"/>
      <c r="R37" s="21">
        <f t="shared" si="13"/>
        <v>9.5725690838497024E-2</v>
      </c>
      <c r="S37" s="2"/>
      <c r="T37" s="2">
        <v>88549.31</v>
      </c>
      <c r="U37" s="2"/>
      <c r="V37" s="21">
        <f t="shared" si="14"/>
        <v>0.11917947087671146</v>
      </c>
      <c r="W37" s="2"/>
      <c r="X37" s="2">
        <f t="shared" si="15"/>
        <v>-5090.6299999999901</v>
      </c>
      <c r="Y37" s="2"/>
      <c r="Z37" s="21">
        <f t="shared" si="16"/>
        <v>-5.7489211378383302E-2</v>
      </c>
    </row>
    <row r="38" spans="1:26" s="24" customFormat="1" hidden="1" outlineLevel="1" x14ac:dyDescent="0.25">
      <c r="A38" s="50"/>
      <c r="B38" s="11" t="str">
        <f>CONCATENATE("          ", "5082", " - ", "PURCHASES @ COST-COMPUTER HARD")</f>
        <v xml:space="preserve">          5082 - PURCHASES @ COST-COMPUTER HARD</v>
      </c>
      <c r="C38" s="11"/>
      <c r="D38" s="2">
        <v>317062.93</v>
      </c>
      <c r="E38" s="2"/>
      <c r="F38" s="21">
        <f t="shared" si="9"/>
        <v>0.63221013684333738</v>
      </c>
      <c r="G38" s="2"/>
      <c r="H38" s="2">
        <v>109084.24</v>
      </c>
      <c r="I38" s="2"/>
      <c r="J38" s="21">
        <f t="shared" si="10"/>
        <v>0.34434206548091073</v>
      </c>
      <c r="K38" s="2"/>
      <c r="L38" s="2">
        <f t="shared" si="11"/>
        <v>207978.69</v>
      </c>
      <c r="M38" s="2"/>
      <c r="N38" s="21">
        <f t="shared" si="12"/>
        <v>1.9065878810724628</v>
      </c>
      <c r="O38" s="11"/>
      <c r="P38" s="2">
        <v>673622.9</v>
      </c>
      <c r="Q38" s="2"/>
      <c r="R38" s="21">
        <f t="shared" si="13"/>
        <v>0.77263404438138483</v>
      </c>
      <c r="S38" s="2"/>
      <c r="T38" s="2">
        <v>404938.56</v>
      </c>
      <c r="U38" s="2"/>
      <c r="V38" s="21">
        <f t="shared" si="14"/>
        <v>0.5450111730783388</v>
      </c>
      <c r="W38" s="2"/>
      <c r="X38" s="2">
        <f t="shared" si="15"/>
        <v>268684.34000000003</v>
      </c>
      <c r="Y38" s="2"/>
      <c r="Z38" s="21">
        <f t="shared" si="16"/>
        <v>0.66351878171345313</v>
      </c>
    </row>
    <row r="39" spans="1:26" s="24" customFormat="1" hidden="1" outlineLevel="1" x14ac:dyDescent="0.25">
      <c r="A39" s="50"/>
      <c r="B39" s="11" t="str">
        <f>CONCATENATE("          ", "5083", " - ", "PURCHASES @ COST-COMPUTER EQUI")</f>
        <v xml:space="preserve">          5083 - PURCHASES @ COST-COMPUTER EQUI</v>
      </c>
      <c r="C39" s="11"/>
      <c r="D39" s="2">
        <v>9916.2999999999993</v>
      </c>
      <c r="E39" s="2"/>
      <c r="F39" s="21">
        <f t="shared" si="9"/>
        <v>1.9772684810487263E-2</v>
      </c>
      <c r="G39" s="2"/>
      <c r="H39" s="2">
        <v>7539.72</v>
      </c>
      <c r="I39" s="2"/>
      <c r="J39" s="21">
        <f t="shared" si="10"/>
        <v>2.3800346942397292E-2</v>
      </c>
      <c r="K39" s="2"/>
      <c r="L39" s="2">
        <f t="shared" si="11"/>
        <v>2376.579999999999</v>
      </c>
      <c r="M39" s="2"/>
      <c r="N39" s="21">
        <f t="shared" si="12"/>
        <v>0.31520799180871423</v>
      </c>
      <c r="O39" s="11"/>
      <c r="P39" s="2">
        <v>17192.439999999999</v>
      </c>
      <c r="Q39" s="2"/>
      <c r="R39" s="21">
        <f t="shared" si="13"/>
        <v>1.9719437165785624E-2</v>
      </c>
      <c r="S39" s="2"/>
      <c r="T39" s="2">
        <v>14422.32</v>
      </c>
      <c r="U39" s="2"/>
      <c r="V39" s="21">
        <f t="shared" si="14"/>
        <v>1.941115595835375E-2</v>
      </c>
      <c r="W39" s="2"/>
      <c r="X39" s="2">
        <f t="shared" si="15"/>
        <v>2770.119999999999</v>
      </c>
      <c r="Y39" s="2"/>
      <c r="Z39" s="21">
        <f t="shared" si="16"/>
        <v>0.19207173325789464</v>
      </c>
    </row>
    <row r="40" spans="1:26" s="24" customFormat="1" hidden="1" outlineLevel="1" x14ac:dyDescent="0.25">
      <c r="A40" s="50"/>
      <c r="B40" s="11" t="str">
        <f>CONCATENATE("          ", "5084", " - ", "PURCHASES @ COST-SOFTWARE LICE")</f>
        <v xml:space="preserve">          5084 - PURCHASES @ COST-SOFTWARE LICE</v>
      </c>
      <c r="C40" s="11"/>
      <c r="D40" s="2">
        <v>1522</v>
      </c>
      <c r="E40" s="2"/>
      <c r="F40" s="21">
        <f t="shared" si="9"/>
        <v>3.0348039371097704E-3</v>
      </c>
      <c r="G40" s="2"/>
      <c r="H40" s="2">
        <v>99</v>
      </c>
      <c r="I40" s="2"/>
      <c r="J40" s="21">
        <f t="shared" si="10"/>
        <v>3.1250952917314328E-4</v>
      </c>
      <c r="K40" s="2"/>
      <c r="L40" s="2">
        <f t="shared" si="11"/>
        <v>1423</v>
      </c>
      <c r="M40" s="2"/>
      <c r="N40" s="21">
        <f t="shared" si="12"/>
        <v>14.373737373737374</v>
      </c>
      <c r="O40" s="11"/>
      <c r="P40" s="2">
        <v>1522</v>
      </c>
      <c r="Q40" s="2"/>
      <c r="R40" s="21">
        <f t="shared" si="13"/>
        <v>1.7457081930386685E-3</v>
      </c>
      <c r="S40" s="2"/>
      <c r="T40" s="2">
        <v>99</v>
      </c>
      <c r="U40" s="2"/>
      <c r="V40" s="21">
        <f t="shared" si="14"/>
        <v>1.3324516720451503E-4</v>
      </c>
      <c r="W40" s="2"/>
      <c r="X40" s="2">
        <f t="shared" si="15"/>
        <v>1423</v>
      </c>
      <c r="Y40" s="2"/>
      <c r="Z40" s="21">
        <f t="shared" si="16"/>
        <v>14.373737373737374</v>
      </c>
    </row>
    <row r="41" spans="1:26" s="24" customFormat="1" hidden="1" outlineLevel="1" x14ac:dyDescent="0.25">
      <c r="A41" s="50"/>
      <c r="B41" s="11" t="str">
        <f>CONCATENATE("          ", "5085", " - ", "PURCHASES @ COST-SOFTWARE")</f>
        <v xml:space="preserve">          5085 - PURCHASES @ COST-SOFTWARE</v>
      </c>
      <c r="C41" s="11"/>
      <c r="D41" s="2">
        <v>3368</v>
      </c>
      <c r="E41" s="2"/>
      <c r="F41" s="21">
        <f t="shared" si="9"/>
        <v>6.7156502366528953E-3</v>
      </c>
      <c r="G41" s="2"/>
      <c r="H41" s="2">
        <v>2054.88</v>
      </c>
      <c r="I41" s="2"/>
      <c r="J41" s="21">
        <f t="shared" si="10"/>
        <v>6.4865614273465523E-3</v>
      </c>
      <c r="K41" s="2"/>
      <c r="L41" s="2">
        <f t="shared" si="11"/>
        <v>1313.12</v>
      </c>
      <c r="M41" s="2"/>
      <c r="N41" s="21">
        <f t="shared" si="12"/>
        <v>0.63902514988709791</v>
      </c>
      <c r="O41" s="11"/>
      <c r="P41" s="2">
        <v>3368</v>
      </c>
      <c r="Q41" s="2"/>
      <c r="R41" s="21">
        <f t="shared" si="13"/>
        <v>3.8630388923483806E-3</v>
      </c>
      <c r="S41" s="2"/>
      <c r="T41" s="2">
        <v>2054.88</v>
      </c>
      <c r="U41" s="2"/>
      <c r="V41" s="21">
        <f t="shared" si="14"/>
        <v>2.7656851432849888E-3</v>
      </c>
      <c r="W41" s="2"/>
      <c r="X41" s="2">
        <f t="shared" si="15"/>
        <v>1313.12</v>
      </c>
      <c r="Y41" s="2"/>
      <c r="Z41" s="21">
        <f t="shared" si="16"/>
        <v>0.63902514988709791</v>
      </c>
    </row>
    <row r="42" spans="1:26" s="24" customFormat="1" hidden="1" outlineLevel="1" x14ac:dyDescent="0.25">
      <c r="A42" s="50"/>
      <c r="B42" s="11" t="str">
        <f>CONCATENATE("          ", "5086", " - ", "PURCHASES @ COST-COMPUTER SUPP")</f>
        <v xml:space="preserve">          5086 - PURCHASES @ COST-COMPUTER SUPP</v>
      </c>
      <c r="C42" s="11"/>
      <c r="D42" s="2">
        <v>2779.81</v>
      </c>
      <c r="E42" s="2"/>
      <c r="F42" s="21">
        <f t="shared" si="9"/>
        <v>5.5428241343082199E-3</v>
      </c>
      <c r="G42" s="2"/>
      <c r="H42" s="2">
        <v>-390.81</v>
      </c>
      <c r="I42" s="2"/>
      <c r="J42" s="21">
        <f t="shared" si="10"/>
        <v>-1.2336550413753144E-3</v>
      </c>
      <c r="K42" s="2"/>
      <c r="L42" s="2">
        <f t="shared" si="11"/>
        <v>3170.62</v>
      </c>
      <c r="M42" s="2"/>
      <c r="N42" s="21">
        <f t="shared" si="12"/>
        <v>-8.1129449092909596</v>
      </c>
      <c r="O42" s="11"/>
      <c r="P42" s="2">
        <v>6206.88</v>
      </c>
      <c r="Q42" s="2"/>
      <c r="R42" s="21">
        <f t="shared" si="13"/>
        <v>7.1191861164309131E-3</v>
      </c>
      <c r="S42" s="2"/>
      <c r="T42" s="2">
        <v>6111.51</v>
      </c>
      <c r="U42" s="2"/>
      <c r="V42" s="21">
        <f t="shared" si="14"/>
        <v>8.2255471901218763E-3</v>
      </c>
      <c r="W42" s="2"/>
      <c r="X42" s="2">
        <f t="shared" si="15"/>
        <v>95.369999999999891</v>
      </c>
      <c r="Y42" s="2"/>
      <c r="Z42" s="21">
        <f t="shared" si="16"/>
        <v>1.5604981420303638E-2</v>
      </c>
    </row>
    <row r="43" spans="1:26" s="24" customFormat="1" hidden="1" outlineLevel="1" x14ac:dyDescent="0.25">
      <c r="A43" s="50"/>
      <c r="B43" s="11" t="str">
        <f>CONCATENATE("          ", "5088", " - ", "PURCHASES @ COST-MUSIC")</f>
        <v xml:space="preserve">          5088 - PURCHASES @ COST-MUSIC</v>
      </c>
      <c r="C43" s="11"/>
      <c r="D43" s="2"/>
      <c r="E43" s="2"/>
      <c r="F43" s="21">
        <f t="shared" si="9"/>
        <v>0</v>
      </c>
      <c r="G43" s="2"/>
      <c r="H43" s="2">
        <v>-160.12</v>
      </c>
      <c r="I43" s="2"/>
      <c r="J43" s="21">
        <f t="shared" si="10"/>
        <v>-5.0544470516367373E-4</v>
      </c>
      <c r="K43" s="2"/>
      <c r="L43" s="2">
        <f t="shared" si="11"/>
        <v>160.12</v>
      </c>
      <c r="M43" s="2"/>
      <c r="N43" s="21">
        <f t="shared" si="12"/>
        <v>-1</v>
      </c>
      <c r="O43" s="11"/>
      <c r="P43" s="2">
        <v>82</v>
      </c>
      <c r="Q43" s="2"/>
      <c r="R43" s="21">
        <f t="shared" si="13"/>
        <v>9.4052609611807364E-5</v>
      </c>
      <c r="S43" s="2"/>
      <c r="T43" s="2">
        <v>84.74</v>
      </c>
      <c r="U43" s="2"/>
      <c r="V43" s="21">
        <f t="shared" si="14"/>
        <v>1.1405247948394549E-4</v>
      </c>
      <c r="W43" s="2"/>
      <c r="X43" s="2">
        <f t="shared" si="15"/>
        <v>-2.7399999999999949</v>
      </c>
      <c r="Y43" s="2"/>
      <c r="Z43" s="21">
        <f t="shared" si="16"/>
        <v>-3.2334198725513276E-2</v>
      </c>
    </row>
    <row r="44" spans="1:26" s="24" customFormat="1" hidden="1" outlineLevel="1" x14ac:dyDescent="0.25">
      <c r="A44" s="50"/>
      <c r="B44" s="11" t="str">
        <f>CONCATENATE("          ", "5200", " - ", "PURCHASES OFFSET")</f>
        <v xml:space="preserve">          5200 - PURCHASES OFFSET</v>
      </c>
      <c r="C44" s="11"/>
      <c r="D44" s="2">
        <v>-352082</v>
      </c>
      <c r="E44" s="2"/>
      <c r="F44" s="21">
        <f t="shared" si="9"/>
        <v>-0.70203668842672939</v>
      </c>
      <c r="G44" s="2"/>
      <c r="H44" s="2">
        <v>-149801</v>
      </c>
      <c r="I44" s="2"/>
      <c r="J44" s="21">
        <f t="shared" si="10"/>
        <v>-0.47287111090571754</v>
      </c>
      <c r="K44" s="2"/>
      <c r="L44" s="2">
        <f t="shared" si="11"/>
        <v>-202281</v>
      </c>
      <c r="M44" s="2"/>
      <c r="N44" s="21">
        <f t="shared" si="12"/>
        <v>1.3503314397100152</v>
      </c>
      <c r="O44" s="11"/>
      <c r="P44" s="2">
        <v>-785522</v>
      </c>
      <c r="Q44" s="2"/>
      <c r="R44" s="21">
        <f t="shared" si="13"/>
        <v>-0.90098041472544077</v>
      </c>
      <c r="S44" s="2"/>
      <c r="T44" s="2">
        <v>-516318</v>
      </c>
      <c r="U44" s="2"/>
      <c r="V44" s="21">
        <f t="shared" si="14"/>
        <v>-0.69491796202728073</v>
      </c>
      <c r="W44" s="2"/>
      <c r="X44" s="2">
        <f t="shared" si="15"/>
        <v>-269204</v>
      </c>
      <c r="Y44" s="2"/>
      <c r="Z44" s="21">
        <f t="shared" si="16"/>
        <v>0.52139185540693911</v>
      </c>
    </row>
    <row r="45" spans="1:26" s="24" customFormat="1" hidden="1" outlineLevel="1" x14ac:dyDescent="0.25">
      <c r="A45" s="50"/>
      <c r="B45" s="11" t="str">
        <f>CONCATENATE("          ", "5300", " - ", "COG$ OFFSET")</f>
        <v xml:space="preserve">          5300 - COG$ OFFSET</v>
      </c>
      <c r="C45" s="11"/>
      <c r="D45" s="2">
        <v>455074</v>
      </c>
      <c r="E45" s="2"/>
      <c r="F45" s="21">
        <f t="shared" si="9"/>
        <v>0.90739840136418637</v>
      </c>
      <c r="G45" s="2"/>
      <c r="H45" s="2">
        <v>273285</v>
      </c>
      <c r="I45" s="2"/>
      <c r="J45" s="21">
        <f t="shared" si="10"/>
        <v>0.86266835030386324</v>
      </c>
      <c r="K45" s="2"/>
      <c r="L45" s="2">
        <f t="shared" si="11"/>
        <v>181789</v>
      </c>
      <c r="M45" s="2"/>
      <c r="N45" s="21">
        <f t="shared" si="12"/>
        <v>0.66519933402857823</v>
      </c>
      <c r="O45" s="11"/>
      <c r="P45" s="2">
        <v>797394</v>
      </c>
      <c r="Q45" s="2"/>
      <c r="R45" s="21">
        <f t="shared" si="13"/>
        <v>0.91459739742435997</v>
      </c>
      <c r="S45" s="2"/>
      <c r="T45" s="2">
        <v>644113</v>
      </c>
      <c r="U45" s="2"/>
      <c r="V45" s="21">
        <f t="shared" si="14"/>
        <v>0.8669186301373919</v>
      </c>
      <c r="W45" s="2"/>
      <c r="X45" s="2">
        <f t="shared" si="15"/>
        <v>153281</v>
      </c>
      <c r="Y45" s="2"/>
      <c r="Z45" s="21">
        <f t="shared" si="16"/>
        <v>0.23797221916030262</v>
      </c>
    </row>
    <row r="46" spans="1:26" s="24" customFormat="1" hidden="1" outlineLevel="1" x14ac:dyDescent="0.25">
      <c r="A46" s="50"/>
      <c r="B46" s="11" t="str">
        <f>CONCATENATE("          ", "5583", " - ", "FREIGHT-IN-COMPUTER EQUIPMENT")</f>
        <v xml:space="preserve">          5583 - FREIGHT-IN-COMPUTER EQUIPMENT</v>
      </c>
      <c r="C46" s="11"/>
      <c r="D46" s="2">
        <v>26.15</v>
      </c>
      <c r="E46" s="2"/>
      <c r="F46" s="21">
        <f t="shared" si="9"/>
        <v>5.2141999313679692E-5</v>
      </c>
      <c r="G46" s="2"/>
      <c r="H46" s="2">
        <v>8.27</v>
      </c>
      <c r="I46" s="2"/>
      <c r="J46" s="21">
        <f t="shared" si="10"/>
        <v>2.6105594002645402E-5</v>
      </c>
      <c r="K46" s="2"/>
      <c r="L46" s="2">
        <f t="shared" si="11"/>
        <v>17.88</v>
      </c>
      <c r="M46" s="2"/>
      <c r="N46" s="21">
        <f t="shared" si="12"/>
        <v>2.1620314389359128</v>
      </c>
      <c r="O46" s="11"/>
      <c r="P46" s="2">
        <v>33.14</v>
      </c>
      <c r="Q46" s="2"/>
      <c r="R46" s="21">
        <f t="shared" si="13"/>
        <v>3.8011018079698734E-5</v>
      </c>
      <c r="S46" s="2"/>
      <c r="T46" s="2">
        <v>8.27</v>
      </c>
      <c r="U46" s="2"/>
      <c r="V46" s="21">
        <f t="shared" si="14"/>
        <v>1.1130682149306458E-5</v>
      </c>
      <c r="W46" s="2"/>
      <c r="X46" s="2">
        <f t="shared" si="15"/>
        <v>24.87</v>
      </c>
      <c r="Y46" s="2"/>
      <c r="Z46" s="21">
        <f t="shared" si="16"/>
        <v>3.0072551390568321</v>
      </c>
    </row>
    <row r="47" spans="1:26" s="24" customFormat="1" hidden="1" outlineLevel="1" x14ac:dyDescent="0.25">
      <c r="A47" s="50"/>
      <c r="B47" s="11" t="str">
        <f>CONCATENATE("          ", "5586", " - ", "FREIGHT-IN-COMPUTER SUPPLIES")</f>
        <v xml:space="preserve">          5586 - FREIGHT-IN-COMPUTER SUPPLIES</v>
      </c>
      <c r="C47" s="11"/>
      <c r="D47" s="2">
        <v>7.36</v>
      </c>
      <c r="E47" s="2"/>
      <c r="F47" s="21">
        <f t="shared" si="9"/>
        <v>1.4675530208362623E-5</v>
      </c>
      <c r="G47" s="2"/>
      <c r="H47" s="2">
        <v>27.98</v>
      </c>
      <c r="I47" s="2"/>
      <c r="J47" s="21">
        <f t="shared" si="10"/>
        <v>8.8323400265298473E-5</v>
      </c>
      <c r="K47" s="2"/>
      <c r="L47" s="2">
        <f t="shared" si="11"/>
        <v>-20.62</v>
      </c>
      <c r="M47" s="2"/>
      <c r="N47" s="21">
        <f t="shared" si="12"/>
        <v>-0.73695496783416725</v>
      </c>
      <c r="O47" s="11"/>
      <c r="P47" s="2">
        <v>37.03</v>
      </c>
      <c r="Q47" s="2"/>
      <c r="R47" s="21">
        <f t="shared" si="13"/>
        <v>4.247278212103935E-5</v>
      </c>
      <c r="S47" s="2"/>
      <c r="T47" s="2">
        <v>48.69</v>
      </c>
      <c r="U47" s="2"/>
      <c r="V47" s="21">
        <f t="shared" si="14"/>
        <v>6.5532395870584206E-5</v>
      </c>
      <c r="W47" s="2"/>
      <c r="X47" s="2">
        <f t="shared" si="15"/>
        <v>-11.659999999999997</v>
      </c>
      <c r="Y47" s="2"/>
      <c r="Z47" s="21">
        <f t="shared" si="16"/>
        <v>-0.23947422468679394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6" t="s">
        <v>6</v>
      </c>
      <c r="C49" s="26"/>
      <c r="D49" s="20">
        <f>D12-D36</f>
        <v>46440.219999999914</v>
      </c>
      <c r="E49" s="13"/>
      <c r="F49" s="19">
        <f>IF(D$12=0,0,D49/D$12)</f>
        <v>9.2599843952853908E-2</v>
      </c>
      <c r="G49" s="13"/>
      <c r="H49" s="20">
        <f>H12-H36</f>
        <v>43505.560000000056</v>
      </c>
      <c r="I49" s="13"/>
      <c r="J49" s="19">
        <f>IF(H$12=0,0,H49/H$12)</f>
        <v>0.1373323441617571</v>
      </c>
      <c r="K49" s="15"/>
      <c r="L49" s="20">
        <f>+D49-H49</f>
        <v>2934.659999999858</v>
      </c>
      <c r="M49" s="15"/>
      <c r="N49" s="19">
        <f>IF(H49=0,0,L49/H49)</f>
        <v>6.7454826463556702E-2</v>
      </c>
      <c r="O49" s="25"/>
      <c r="P49" s="20">
        <f>P12-P36</f>
        <v>74457.400000000023</v>
      </c>
      <c r="Q49" s="13"/>
      <c r="R49" s="19">
        <f>IF(P$12=0,0,P49/P$12)</f>
        <v>8.5401375303782778E-2</v>
      </c>
      <c r="S49" s="13"/>
      <c r="T49" s="20">
        <f>T12-T36</f>
        <v>98879.020000000019</v>
      </c>
      <c r="U49" s="13"/>
      <c r="V49" s="19">
        <f>IF(T$12=0,0,T49/T$12)</f>
        <v>0.1330823389183696</v>
      </c>
      <c r="W49" s="15"/>
      <c r="X49" s="20">
        <f>+P49-T49</f>
        <v>-24421.619999999995</v>
      </c>
      <c r="Y49" s="15"/>
      <c r="Z49" s="19">
        <f>IF(T49=0,0,X49/T49)</f>
        <v>-0.24698485078027665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5" t="s">
        <v>9</v>
      </c>
      <c r="C51" s="10"/>
      <c r="D51" s="22">
        <f>SUM(OSRRefD22x_0)</f>
        <v>64865.639999999992</v>
      </c>
      <c r="E51" s="22"/>
      <c r="F51" s="33">
        <f t="shared" ref="F51:F61" si="17">IF(D$12=0,0,D51/D$12)</f>
        <v>0.12933935588380091</v>
      </c>
      <c r="G51" s="22"/>
      <c r="H51" s="22">
        <f>SUM(OSRRefH22x_0)</f>
        <v>52056.92</v>
      </c>
      <c r="I51" s="22"/>
      <c r="J51" s="33">
        <f t="shared" ref="J51:J61" si="18">IF(H$12=0,0,H51/H$12)</f>
        <v>0.1643260965596362</v>
      </c>
      <c r="K51" s="4"/>
      <c r="L51" s="22">
        <f t="shared" ref="L51:L61" si="19">+D51-H51</f>
        <v>12808.719999999994</v>
      </c>
      <c r="M51" s="4"/>
      <c r="N51" s="33">
        <f t="shared" ref="N51:N61" si="20">IF(H51=0,0,L51/H51)</f>
        <v>0.24605220593150717</v>
      </c>
      <c r="O51" s="10"/>
      <c r="P51" s="22">
        <f>SUM(OSRRefP22x_0)</f>
        <v>89894.57</v>
      </c>
      <c r="Q51" s="22"/>
      <c r="R51" s="33">
        <f t="shared" ref="R51:R61" si="21">IF(P$12=0,0,P51/P$12)</f>
        <v>0.10310754754184501</v>
      </c>
      <c r="S51" s="22"/>
      <c r="T51" s="22">
        <f>SUM(OSRRefT22x_0)</f>
        <v>77455.67</v>
      </c>
      <c r="U51" s="22"/>
      <c r="V51" s="33">
        <f t="shared" ref="V51:V61" si="22">IF(T$12=0,0,T51/T$12)</f>
        <v>0.10424842121300747</v>
      </c>
      <c r="W51" s="4"/>
      <c r="X51" s="22">
        <f t="shared" ref="X51:X61" si="23">+P51-T51</f>
        <v>12438.900000000009</v>
      </c>
      <c r="Y51" s="4"/>
      <c r="Z51" s="33">
        <f t="shared" ref="Z51:Z61" si="24">IF(T51=0,0,X51/T51)</f>
        <v>0.16059379513468813</v>
      </c>
    </row>
    <row r="52" spans="1:26" s="27" customFormat="1" outlineLevel="1" collapsed="1" x14ac:dyDescent="0.25">
      <c r="A52" s="28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2410.7799999999997</v>
      </c>
      <c r="E52" s="1"/>
      <c r="F52" s="5">
        <f t="shared" si="17"/>
        <v>4.8069938472440812E-3</v>
      </c>
      <c r="G52" s="1"/>
      <c r="H52" s="1">
        <f>SUM(OSRRefH22_0x_0)</f>
        <v>2639.81</v>
      </c>
      <c r="I52" s="1"/>
      <c r="J52" s="5">
        <f t="shared" si="18"/>
        <v>8.3329876788540945E-3</v>
      </c>
      <c r="K52" s="1"/>
      <c r="L52" s="1">
        <f t="shared" si="19"/>
        <v>-229.0300000000002</v>
      </c>
      <c r="M52" s="1"/>
      <c r="N52" s="5">
        <f t="shared" si="20"/>
        <v>-8.6760031971998067E-2</v>
      </c>
      <c r="O52" s="14"/>
      <c r="P52" s="1">
        <f>SUM(OSRRefP22_0x_0)</f>
        <v>5129.54</v>
      </c>
      <c r="Q52" s="1"/>
      <c r="R52" s="5">
        <f t="shared" si="21"/>
        <v>5.8834954037579306E-3</v>
      </c>
      <c r="S52" s="1"/>
      <c r="T52" s="1">
        <f>SUM(OSRRefT22_0x_0)</f>
        <v>4956.5400000000009</v>
      </c>
      <c r="U52" s="1"/>
      <c r="V52" s="5">
        <f t="shared" si="22"/>
        <v>6.6710606167259302E-3</v>
      </c>
      <c r="W52" s="1"/>
      <c r="X52" s="1">
        <f t="shared" si="23"/>
        <v>172.99999999999909</v>
      </c>
      <c r="Y52" s="1"/>
      <c r="Z52" s="5">
        <f t="shared" si="24"/>
        <v>3.4903380180528971E-2</v>
      </c>
    </row>
    <row r="53" spans="1:26" s="24" customFormat="1" hidden="1" outlineLevel="2" x14ac:dyDescent="0.25">
      <c r="A53" s="29"/>
      <c r="B53" s="11" t="str">
        <f>CONCATENATE("          ", "6111", " - ", "F.I.C.A.")</f>
        <v xml:space="preserve">          6111 - F.I.C.A.</v>
      </c>
      <c r="C53" s="11"/>
      <c r="D53" s="7">
        <v>577.69000000000005</v>
      </c>
      <c r="E53" s="2"/>
      <c r="F53" s="6">
        <f t="shared" si="17"/>
        <v>1.1518895443028538E-3</v>
      </c>
      <c r="G53" s="2"/>
      <c r="H53" s="7">
        <v>726.92</v>
      </c>
      <c r="I53" s="2"/>
      <c r="J53" s="6">
        <f t="shared" si="18"/>
        <v>2.2946406762276899E-3</v>
      </c>
      <c r="K53" s="2"/>
      <c r="L53" s="7">
        <f t="shared" si="19"/>
        <v>-149.2299999999999</v>
      </c>
      <c r="M53" s="2"/>
      <c r="N53" s="6">
        <f t="shared" si="20"/>
        <v>-0.20529081604578209</v>
      </c>
      <c r="O53" s="11"/>
      <c r="P53" s="7">
        <v>1075.54</v>
      </c>
      <c r="Q53" s="2"/>
      <c r="R53" s="6">
        <f t="shared" si="21"/>
        <v>1.2336261431936987E-3</v>
      </c>
      <c r="S53" s="2"/>
      <c r="T53" s="7">
        <v>1328.22</v>
      </c>
      <c r="U53" s="2"/>
      <c r="V53" s="6">
        <f t="shared" si="22"/>
        <v>1.7876656160038481E-3</v>
      </c>
      <c r="W53" s="2"/>
      <c r="X53" s="7">
        <f t="shared" si="23"/>
        <v>-252.68000000000006</v>
      </c>
      <c r="Y53" s="2"/>
      <c r="Z53" s="6">
        <f t="shared" si="24"/>
        <v>-0.19023956874614151</v>
      </c>
    </row>
    <row r="54" spans="1:26" s="24" customFormat="1" hidden="1" outlineLevel="2" x14ac:dyDescent="0.25">
      <c r="A54" s="29"/>
      <c r="B54" s="11" t="str">
        <f>CONCATENATE("          ", "6112", " - ", "COMPENSATION INSURANCE")</f>
        <v xml:space="preserve">          6112 - COMPENSATION INSURANCE</v>
      </c>
      <c r="C54" s="11"/>
      <c r="D54" s="7">
        <v>133.99</v>
      </c>
      <c r="E54" s="2"/>
      <c r="F54" s="6">
        <f t="shared" si="17"/>
        <v>2.6717042019273207E-4</v>
      </c>
      <c r="G54" s="2"/>
      <c r="H54" s="7">
        <v>113.88</v>
      </c>
      <c r="I54" s="2"/>
      <c r="J54" s="6">
        <f t="shared" si="18"/>
        <v>3.5948065840643996E-4</v>
      </c>
      <c r="K54" s="2"/>
      <c r="L54" s="7">
        <f t="shared" si="19"/>
        <v>20.110000000000014</v>
      </c>
      <c r="M54" s="2"/>
      <c r="N54" s="6">
        <f t="shared" si="20"/>
        <v>0.17658939234281712</v>
      </c>
      <c r="O54" s="11"/>
      <c r="P54" s="7">
        <v>257.64</v>
      </c>
      <c r="Q54" s="2"/>
      <c r="R54" s="6">
        <f t="shared" si="21"/>
        <v>2.9550871146812252E-4</v>
      </c>
      <c r="S54" s="2"/>
      <c r="T54" s="7">
        <v>261.2</v>
      </c>
      <c r="U54" s="2"/>
      <c r="V54" s="6">
        <f t="shared" si="22"/>
        <v>3.515518956951447E-4</v>
      </c>
      <c r="W54" s="2"/>
      <c r="X54" s="7">
        <f t="shared" si="23"/>
        <v>-3.5600000000000023</v>
      </c>
      <c r="Y54" s="2"/>
      <c r="Z54" s="6">
        <f t="shared" si="24"/>
        <v>-1.3629402756508433E-2</v>
      </c>
    </row>
    <row r="55" spans="1:26" s="24" customFormat="1" hidden="1" outlineLevel="2" x14ac:dyDescent="0.25">
      <c r="A55" s="29"/>
      <c r="B55" s="11" t="str">
        <f>CONCATENATE("          ", "6113", " - ", "GROUP INSURANCE")</f>
        <v xml:space="preserve">          6113 - GROUP INSURANCE</v>
      </c>
      <c r="C55" s="11"/>
      <c r="D55" s="7">
        <v>964.88</v>
      </c>
      <c r="E55" s="2"/>
      <c r="F55" s="6">
        <f t="shared" si="17"/>
        <v>1.9239301069897997E-3</v>
      </c>
      <c r="G55" s="2"/>
      <c r="H55" s="7">
        <v>1029.08</v>
      </c>
      <c r="I55" s="2"/>
      <c r="J55" s="6">
        <f t="shared" si="18"/>
        <v>3.2484576392070529E-3</v>
      </c>
      <c r="K55" s="2"/>
      <c r="L55" s="7">
        <f t="shared" si="19"/>
        <v>-64.199999999999932</v>
      </c>
      <c r="M55" s="2"/>
      <c r="N55" s="6">
        <f t="shared" si="20"/>
        <v>-6.2385820344385216E-2</v>
      </c>
      <c r="O55" s="11"/>
      <c r="P55" s="7">
        <v>1929.76</v>
      </c>
      <c r="Q55" s="2"/>
      <c r="R55" s="6">
        <f t="shared" si="21"/>
        <v>2.2134019990790411E-3</v>
      </c>
      <c r="S55" s="2"/>
      <c r="T55" s="7">
        <v>1422.34</v>
      </c>
      <c r="U55" s="2"/>
      <c r="V55" s="6">
        <f t="shared" si="22"/>
        <v>1.9143427386027264E-3</v>
      </c>
      <c r="W55" s="2"/>
      <c r="X55" s="7">
        <f t="shared" si="23"/>
        <v>507.42000000000007</v>
      </c>
      <c r="Y55" s="2"/>
      <c r="Z55" s="6">
        <f t="shared" si="24"/>
        <v>0.35675014412868944</v>
      </c>
    </row>
    <row r="56" spans="1:26" s="24" customFormat="1" hidden="1" outlineLevel="2" x14ac:dyDescent="0.25">
      <c r="A56" s="29"/>
      <c r="B56" s="11" t="str">
        <f>CONCATENATE("          ", "6114", " - ", "STATE UNEMPLOYMENT INSURANCE")</f>
        <v xml:space="preserve">          6114 - STATE UNEMPLOYMENT INSURANCE</v>
      </c>
      <c r="C56" s="11"/>
      <c r="D56" s="7">
        <v>18.34</v>
      </c>
      <c r="E56" s="2"/>
      <c r="F56" s="6">
        <f t="shared" si="17"/>
        <v>3.656918804638186E-5</v>
      </c>
      <c r="G56" s="2"/>
      <c r="H56" s="7">
        <v>24.88</v>
      </c>
      <c r="I56" s="2"/>
      <c r="J56" s="6">
        <f t="shared" si="18"/>
        <v>7.8537748341694992E-5</v>
      </c>
      <c r="K56" s="2"/>
      <c r="L56" s="7">
        <f t="shared" si="19"/>
        <v>-6.5399999999999991</v>
      </c>
      <c r="M56" s="2"/>
      <c r="N56" s="6">
        <f t="shared" si="20"/>
        <v>-0.26286173633440513</v>
      </c>
      <c r="O56" s="11"/>
      <c r="P56" s="7">
        <v>35.26</v>
      </c>
      <c r="Q56" s="2"/>
      <c r="R56" s="6">
        <f t="shared" si="21"/>
        <v>4.0442622133077162E-5</v>
      </c>
      <c r="S56" s="2"/>
      <c r="T56" s="7">
        <v>57.07</v>
      </c>
      <c r="U56" s="2"/>
      <c r="V56" s="6">
        <f t="shared" si="22"/>
        <v>7.6811128205673461E-5</v>
      </c>
      <c r="W56" s="2"/>
      <c r="X56" s="7">
        <f t="shared" si="23"/>
        <v>-21.810000000000002</v>
      </c>
      <c r="Y56" s="2"/>
      <c r="Z56" s="6">
        <f t="shared" si="24"/>
        <v>-0.38216225687751887</v>
      </c>
    </row>
    <row r="57" spans="1:26" s="24" customFormat="1" hidden="1" outlineLevel="2" x14ac:dyDescent="0.25">
      <c r="A57" s="29"/>
      <c r="B57" s="11" t="str">
        <f>CONCATENATE("          ", "6115", " - ", "P.E.R.S.")</f>
        <v xml:space="preserve">          6115 - P.E.R.S.</v>
      </c>
      <c r="C57" s="11"/>
      <c r="D57" s="7">
        <v>183.4</v>
      </c>
      <c r="E57" s="2"/>
      <c r="F57" s="6">
        <f t="shared" si="17"/>
        <v>3.6569188046381863E-4</v>
      </c>
      <c r="G57" s="2"/>
      <c r="H57" s="7">
        <v>174.42</v>
      </c>
      <c r="I57" s="2"/>
      <c r="J57" s="6">
        <f t="shared" si="18"/>
        <v>5.5058497048868324E-4</v>
      </c>
      <c r="K57" s="2"/>
      <c r="L57" s="7">
        <f t="shared" si="19"/>
        <v>8.9800000000000182</v>
      </c>
      <c r="M57" s="2"/>
      <c r="N57" s="6">
        <f t="shared" si="20"/>
        <v>5.1484921453961809E-2</v>
      </c>
      <c r="O57" s="11"/>
      <c r="P57" s="7">
        <v>366.8</v>
      </c>
      <c r="Q57" s="2"/>
      <c r="R57" s="6">
        <f t="shared" si="21"/>
        <v>4.2071338055623103E-4</v>
      </c>
      <c r="S57" s="2"/>
      <c r="T57" s="7">
        <v>433.51</v>
      </c>
      <c r="U57" s="2"/>
      <c r="V57" s="6">
        <f t="shared" si="22"/>
        <v>5.8346578216999308E-4</v>
      </c>
      <c r="W57" s="2"/>
      <c r="X57" s="7">
        <f t="shared" si="23"/>
        <v>-66.70999999999998</v>
      </c>
      <c r="Y57" s="2"/>
      <c r="Z57" s="6">
        <f t="shared" si="24"/>
        <v>-0.15388341676085898</v>
      </c>
    </row>
    <row r="58" spans="1:26" s="24" customFormat="1" hidden="1" outlineLevel="2" x14ac:dyDescent="0.25">
      <c r="A58" s="29"/>
      <c r="B58" s="11" t="str">
        <f>CONCATENATE("          ", "6117", " - ", "RETIREMENT STAFF HOURLY")</f>
        <v xml:space="preserve">          6117 - RETIREMENT STAFF HOURLY</v>
      </c>
      <c r="C58" s="11"/>
      <c r="D58" s="7">
        <v>110.86</v>
      </c>
      <c r="E58" s="2"/>
      <c r="F58" s="6">
        <f t="shared" si="17"/>
        <v>2.2105017376346199E-4</v>
      </c>
      <c r="G58" s="2"/>
      <c r="H58" s="7">
        <v>156.15</v>
      </c>
      <c r="I58" s="2"/>
      <c r="J58" s="6">
        <f t="shared" si="18"/>
        <v>4.9291275737763963E-4</v>
      </c>
      <c r="K58" s="2"/>
      <c r="L58" s="7">
        <f t="shared" si="19"/>
        <v>-45.290000000000006</v>
      </c>
      <c r="M58" s="2"/>
      <c r="N58" s="6">
        <f t="shared" si="20"/>
        <v>-0.29004162664105032</v>
      </c>
      <c r="O58" s="11"/>
      <c r="P58" s="7">
        <v>250.98</v>
      </c>
      <c r="Q58" s="2"/>
      <c r="R58" s="6">
        <f t="shared" si="21"/>
        <v>2.8786980439477329E-4</v>
      </c>
      <c r="S58" s="2"/>
      <c r="T58" s="7">
        <v>307.25</v>
      </c>
      <c r="U58" s="2"/>
      <c r="V58" s="6">
        <f t="shared" si="22"/>
        <v>4.1353108710694185E-4</v>
      </c>
      <c r="W58" s="2"/>
      <c r="X58" s="7">
        <f t="shared" si="23"/>
        <v>-56.27000000000001</v>
      </c>
      <c r="Y58" s="2"/>
      <c r="Z58" s="6">
        <f t="shared" si="24"/>
        <v>-0.18314076484947114</v>
      </c>
    </row>
    <row r="59" spans="1:26" s="24" customFormat="1" hidden="1" outlineLevel="2" x14ac:dyDescent="0.25">
      <c r="A59" s="29"/>
      <c r="B59" s="11" t="str">
        <f>CONCATENATE("          ", "6118", " - ", "VACATION")</f>
        <v xml:space="preserve">          6118 - VACATION</v>
      </c>
      <c r="C59" s="11"/>
      <c r="D59" s="7">
        <v>151.31</v>
      </c>
      <c r="E59" s="2"/>
      <c r="F59" s="6">
        <f t="shared" si="17"/>
        <v>3.0170577117219407E-4</v>
      </c>
      <c r="G59" s="2"/>
      <c r="H59" s="7">
        <v>146.9</v>
      </c>
      <c r="I59" s="2"/>
      <c r="J59" s="6">
        <f t="shared" si="18"/>
        <v>4.6371363470237121E-4</v>
      </c>
      <c r="K59" s="2"/>
      <c r="L59" s="7">
        <f t="shared" si="19"/>
        <v>4.4099999999999966</v>
      </c>
      <c r="M59" s="2"/>
      <c r="N59" s="6">
        <f t="shared" si="20"/>
        <v>3.0020422055820263E-2</v>
      </c>
      <c r="O59" s="11"/>
      <c r="P59" s="7">
        <v>464.63</v>
      </c>
      <c r="Q59" s="2"/>
      <c r="R59" s="6">
        <f t="shared" si="21"/>
        <v>5.3292273175529331E-4</v>
      </c>
      <c r="S59" s="2"/>
      <c r="T59" s="7">
        <v>443.72</v>
      </c>
      <c r="U59" s="2"/>
      <c r="V59" s="6">
        <f t="shared" si="22"/>
        <v>5.9720753123219613E-4</v>
      </c>
      <c r="W59" s="2"/>
      <c r="X59" s="7">
        <f t="shared" si="23"/>
        <v>20.909999999999968</v>
      </c>
      <c r="Y59" s="2"/>
      <c r="Z59" s="6">
        <f t="shared" si="24"/>
        <v>4.7124312629586149E-2</v>
      </c>
    </row>
    <row r="60" spans="1:26" s="24" customFormat="1" hidden="1" outlineLevel="2" x14ac:dyDescent="0.25">
      <c r="A60" s="29"/>
      <c r="B60" s="11" t="str">
        <f>CONCATENATE("          ", "6119", " - ", "SICK LEAVE")</f>
        <v xml:space="preserve">          6119 - SICK LEAVE</v>
      </c>
      <c r="C60" s="11"/>
      <c r="D60" s="7">
        <v>121.11</v>
      </c>
      <c r="E60" s="2"/>
      <c r="F60" s="6">
        <f t="shared" si="17"/>
        <v>2.4148824232809744E-4</v>
      </c>
      <c r="G60" s="2"/>
      <c r="H60" s="7">
        <v>117.58</v>
      </c>
      <c r="I60" s="2"/>
      <c r="J60" s="6">
        <f t="shared" si="18"/>
        <v>3.7116030747654731E-4</v>
      </c>
      <c r="K60" s="2"/>
      <c r="L60" s="7">
        <f t="shared" si="19"/>
        <v>3.5300000000000011</v>
      </c>
      <c r="M60" s="2"/>
      <c r="N60" s="6">
        <f t="shared" si="20"/>
        <v>3.0022112604184394E-2</v>
      </c>
      <c r="O60" s="11"/>
      <c r="P60" s="7">
        <v>449.73</v>
      </c>
      <c r="Q60" s="2"/>
      <c r="R60" s="6">
        <f t="shared" si="21"/>
        <v>5.1583268439900159E-4</v>
      </c>
      <c r="S60" s="2"/>
      <c r="T60" s="7">
        <v>403.23</v>
      </c>
      <c r="U60" s="2"/>
      <c r="V60" s="6">
        <f t="shared" si="22"/>
        <v>5.427116037563293E-4</v>
      </c>
      <c r="W60" s="2"/>
      <c r="X60" s="7">
        <f t="shared" si="23"/>
        <v>46.5</v>
      </c>
      <c r="Y60" s="2"/>
      <c r="Z60" s="6">
        <f t="shared" si="24"/>
        <v>0.11531880068447288</v>
      </c>
    </row>
    <row r="61" spans="1:26" s="24" customFormat="1" hidden="1" outlineLevel="2" x14ac:dyDescent="0.25">
      <c r="A61" s="29"/>
      <c r="B61" s="11" t="str">
        <f>CONCATENATE("          ", "6156", " - ", "EMPLOYEE MEALS")</f>
        <v xml:space="preserve">          6156 - EMPLOYEE MEALS</v>
      </c>
      <c r="C61" s="11"/>
      <c r="D61" s="7">
        <v>149.19999999999999</v>
      </c>
      <c r="E61" s="2"/>
      <c r="F61" s="6">
        <f t="shared" si="17"/>
        <v>2.9749851998474227E-4</v>
      </c>
      <c r="G61" s="2"/>
      <c r="H61" s="7">
        <v>150</v>
      </c>
      <c r="I61" s="2"/>
      <c r="J61" s="6">
        <f t="shared" si="18"/>
        <v>4.7349928662597464E-4</v>
      </c>
      <c r="K61" s="2"/>
      <c r="L61" s="7">
        <f t="shared" si="19"/>
        <v>-0.80000000000001137</v>
      </c>
      <c r="M61" s="2"/>
      <c r="N61" s="6">
        <f t="shared" si="20"/>
        <v>-5.3333333333334095E-3</v>
      </c>
      <c r="O61" s="11"/>
      <c r="P61" s="7">
        <v>299.2</v>
      </c>
      <c r="Q61" s="2"/>
      <c r="R61" s="6">
        <f t="shared" si="21"/>
        <v>3.4317732677869222E-4</v>
      </c>
      <c r="S61" s="2"/>
      <c r="T61" s="7">
        <v>300</v>
      </c>
      <c r="U61" s="2"/>
      <c r="V61" s="6">
        <f t="shared" si="22"/>
        <v>4.0377323395307589E-4</v>
      </c>
      <c r="W61" s="2"/>
      <c r="X61" s="7">
        <f t="shared" si="23"/>
        <v>-0.80000000000001137</v>
      </c>
      <c r="Y61" s="2"/>
      <c r="Z61" s="6">
        <f t="shared" si="24"/>
        <v>-2.6666666666667047E-3</v>
      </c>
    </row>
    <row r="62" spans="1:26" s="27" customFormat="1" outlineLevel="1" collapsed="1" x14ac:dyDescent="0.25">
      <c r="A62" s="28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9374.5400000000009</v>
      </c>
      <c r="E62" s="1"/>
      <c r="F62" s="5">
        <f t="shared" ref="F62:F66" si="25">IF(D$12=0,0,D62/D$12)</f>
        <v>1.8692438173845617E-2</v>
      </c>
      <c r="G62" s="1"/>
      <c r="H62" s="1">
        <f>SUM(OSRRefH22_1x_0)</f>
        <v>10713.1</v>
      </c>
      <c r="I62" s="1"/>
      <c r="J62" s="5">
        <f t="shared" ref="J62:J66" si="26">IF(H$12=0,0,H62/H$12)</f>
        <v>3.3817634717018194E-2</v>
      </c>
      <c r="K62" s="1"/>
      <c r="L62" s="1">
        <f t="shared" ref="L62:L66" si="27">+D62-H62</f>
        <v>-1338.5599999999995</v>
      </c>
      <c r="M62" s="1"/>
      <c r="N62" s="5">
        <f t="shared" ref="N62:N66" si="28">IF(H62=0,0,L62/H62)</f>
        <v>-0.12494609403440642</v>
      </c>
      <c r="O62" s="14"/>
      <c r="P62" s="1">
        <f>SUM(OSRRefP22_1x_0)</f>
        <v>17288.080000000002</v>
      </c>
      <c r="Q62" s="1"/>
      <c r="R62" s="5">
        <f t="shared" ref="R62:R66" si="29">IF(P$12=0,0,P62/P$12)</f>
        <v>1.9829134624118231E-2</v>
      </c>
      <c r="S62" s="1"/>
      <c r="T62" s="1">
        <f>SUM(OSRRefT22_1x_0)</f>
        <v>20242.120000000003</v>
      </c>
      <c r="U62" s="1"/>
      <c r="V62" s="5">
        <f t="shared" ref="V62:V66" si="30">IF(T$12=0,0,T62/T$12)</f>
        <v>2.7244087514887456E-2</v>
      </c>
      <c r="W62" s="1"/>
      <c r="X62" s="1">
        <f t="shared" ref="X62:X66" si="31">+P62-T62</f>
        <v>-2954.0400000000009</v>
      </c>
      <c r="Y62" s="1"/>
      <c r="Z62" s="5">
        <f t="shared" ref="Z62:Z66" si="32">IF(T62=0,0,X62/T62)</f>
        <v>-0.14593530717138326</v>
      </c>
    </row>
    <row r="63" spans="1:26" s="24" customFormat="1" hidden="1" outlineLevel="2" x14ac:dyDescent="0.25">
      <c r="A63" s="29"/>
      <c r="B63" s="11" t="str">
        <f>CONCATENATE("          ", "6002", " - ", "STAFF SALARIES")</f>
        <v xml:space="preserve">          6002 - STAFF SALARIES</v>
      </c>
      <c r="C63" s="11"/>
      <c r="D63" s="7">
        <v>2624.68</v>
      </c>
      <c r="E63" s="2"/>
      <c r="F63" s="6">
        <f t="shared" si="25"/>
        <v>5.2335014439246199E-3</v>
      </c>
      <c r="G63" s="2"/>
      <c r="H63" s="7">
        <v>2549.1999999999998</v>
      </c>
      <c r="I63" s="2"/>
      <c r="J63" s="6">
        <f t="shared" si="26"/>
        <v>8.0469625431128962E-3</v>
      </c>
      <c r="K63" s="2"/>
      <c r="L63" s="7">
        <f t="shared" si="27"/>
        <v>75.480000000000018</v>
      </c>
      <c r="M63" s="2"/>
      <c r="N63" s="6">
        <f t="shared" si="28"/>
        <v>2.9609289188765112E-2</v>
      </c>
      <c r="O63" s="11"/>
      <c r="P63" s="7">
        <v>5776.08</v>
      </c>
      <c r="Q63" s="2"/>
      <c r="R63" s="6">
        <f t="shared" si="29"/>
        <v>6.6250658210557107E-3</v>
      </c>
      <c r="S63" s="2"/>
      <c r="T63" s="7">
        <v>5098.1000000000004</v>
      </c>
      <c r="U63" s="2"/>
      <c r="V63" s="6">
        <f t="shared" si="30"/>
        <v>6.8615877467205879E-3</v>
      </c>
      <c r="W63" s="2"/>
      <c r="X63" s="7">
        <f t="shared" si="31"/>
        <v>677.97999999999956</v>
      </c>
      <c r="Y63" s="2"/>
      <c r="Z63" s="6">
        <f t="shared" si="32"/>
        <v>0.13298679900355026</v>
      </c>
    </row>
    <row r="64" spans="1:26" s="24" customFormat="1" hidden="1" outlineLevel="2" x14ac:dyDescent="0.25">
      <c r="A64" s="29"/>
      <c r="B64" s="11" t="str">
        <f>CONCATENATE("          ", "6005", " - ", "TEMPORARY WAGES-HOURLY")</f>
        <v xml:space="preserve">          6005 - TEMPORARY WAGES-HOURLY</v>
      </c>
      <c r="C64" s="11"/>
      <c r="D64" s="7">
        <v>2707.17</v>
      </c>
      <c r="E64" s="2"/>
      <c r="F64" s="6">
        <f t="shared" si="25"/>
        <v>5.3979830318169894E-3</v>
      </c>
      <c r="G64" s="2"/>
      <c r="H64" s="7">
        <v>3229.57</v>
      </c>
      <c r="I64" s="2"/>
      <c r="J64" s="6">
        <f t="shared" si="26"/>
        <v>1.0194660607390993E-2</v>
      </c>
      <c r="K64" s="2"/>
      <c r="L64" s="7">
        <f t="shared" si="27"/>
        <v>-522.40000000000009</v>
      </c>
      <c r="M64" s="2"/>
      <c r="N64" s="6">
        <f t="shared" si="28"/>
        <v>-0.1617552801146902</v>
      </c>
      <c r="O64" s="11"/>
      <c r="P64" s="7">
        <v>5140.87</v>
      </c>
      <c r="Q64" s="2"/>
      <c r="R64" s="6">
        <f t="shared" si="29"/>
        <v>5.8964907216469773E-3</v>
      </c>
      <c r="S64" s="2"/>
      <c r="T64" s="7">
        <v>6254.68</v>
      </c>
      <c r="U64" s="2"/>
      <c r="V64" s="6">
        <f t="shared" si="30"/>
        <v>8.4182412364720832E-3</v>
      </c>
      <c r="W64" s="2"/>
      <c r="X64" s="7">
        <f t="shared" si="31"/>
        <v>-1113.8100000000004</v>
      </c>
      <c r="Y64" s="2"/>
      <c r="Z64" s="6">
        <f t="shared" si="32"/>
        <v>-0.1780762564991335</v>
      </c>
    </row>
    <row r="65" spans="1:26" s="24" customFormat="1" hidden="1" outlineLevel="2" x14ac:dyDescent="0.25">
      <c r="A65" s="29"/>
      <c r="B65" s="11" t="str">
        <f>CONCATENATE("          ", "6006", " - ", "TEMPORARY PART TIME")</f>
        <v xml:space="preserve">          6006 - TEMPORARY PART TIME</v>
      </c>
      <c r="C65" s="11"/>
      <c r="D65" s="7">
        <v>1503.38</v>
      </c>
      <c r="E65" s="2"/>
      <c r="F65" s="6">
        <f t="shared" si="25"/>
        <v>2.9976764408489402E-3</v>
      </c>
      <c r="G65" s="2"/>
      <c r="H65" s="7"/>
      <c r="I65" s="2"/>
      <c r="J65" s="6">
        <f t="shared" si="26"/>
        <v>0</v>
      </c>
      <c r="K65" s="2"/>
      <c r="L65" s="7">
        <f t="shared" si="27"/>
        <v>1503.38</v>
      </c>
      <c r="M65" s="2"/>
      <c r="N65" s="6">
        <f t="shared" si="28"/>
        <v>0</v>
      </c>
      <c r="O65" s="11"/>
      <c r="P65" s="7">
        <v>2951.82</v>
      </c>
      <c r="Q65" s="2"/>
      <c r="R65" s="6">
        <f t="shared" si="29"/>
        <v>3.3856874890771369E-3</v>
      </c>
      <c r="S65" s="2"/>
      <c r="T65" s="7"/>
      <c r="U65" s="2"/>
      <c r="V65" s="6">
        <f t="shared" si="30"/>
        <v>0</v>
      </c>
      <c r="W65" s="2"/>
      <c r="X65" s="7">
        <f t="shared" si="31"/>
        <v>2951.82</v>
      </c>
      <c r="Y65" s="2"/>
      <c r="Z65" s="6">
        <f t="shared" si="32"/>
        <v>0</v>
      </c>
    </row>
    <row r="66" spans="1:26" s="24" customFormat="1" hidden="1" outlineLevel="2" x14ac:dyDescent="0.25">
      <c r="A66" s="29"/>
      <c r="B66" s="11" t="str">
        <f>CONCATENATE("          ", "6007", " - ", "STUDENT HOURLY")</f>
        <v xml:space="preserve">          6007 - STUDENT HOURLY</v>
      </c>
      <c r="C66" s="11"/>
      <c r="D66" s="7">
        <v>2539.31</v>
      </c>
      <c r="E66" s="2"/>
      <c r="F66" s="6">
        <f t="shared" si="25"/>
        <v>5.0632772572550668E-3</v>
      </c>
      <c r="G66" s="2"/>
      <c r="H66" s="7">
        <v>4934.33</v>
      </c>
      <c r="I66" s="2"/>
      <c r="J66" s="6">
        <f t="shared" si="26"/>
        <v>1.5576011566514303E-2</v>
      </c>
      <c r="K66" s="2"/>
      <c r="L66" s="7">
        <f t="shared" si="27"/>
        <v>-2395.02</v>
      </c>
      <c r="M66" s="2"/>
      <c r="N66" s="6">
        <f t="shared" si="28"/>
        <v>-0.48537896735727037</v>
      </c>
      <c r="O66" s="11"/>
      <c r="P66" s="7">
        <v>3419.31</v>
      </c>
      <c r="Q66" s="2"/>
      <c r="R66" s="6">
        <f t="shared" si="29"/>
        <v>3.9218905923384031E-3</v>
      </c>
      <c r="S66" s="2"/>
      <c r="T66" s="7">
        <v>8889.34</v>
      </c>
      <c r="U66" s="2"/>
      <c r="V66" s="6">
        <f t="shared" si="30"/>
        <v>1.1964258531694786E-2</v>
      </c>
      <c r="W66" s="2"/>
      <c r="X66" s="7">
        <f t="shared" si="31"/>
        <v>-5470.0300000000007</v>
      </c>
      <c r="Y66" s="2"/>
      <c r="Z66" s="6">
        <f t="shared" si="32"/>
        <v>-0.61534714613233388</v>
      </c>
    </row>
    <row r="67" spans="1:26" s="27" customFormat="1" outlineLevel="1" collapsed="1" x14ac:dyDescent="0.25">
      <c r="A67" s="28"/>
      <c r="B67" s="14" t="str">
        <f>CONCATENATE("     ","Advertising/Promo                                 ")</f>
        <v xml:space="preserve">     Advertising/Promo                                 </v>
      </c>
      <c r="C67" s="14"/>
      <c r="D67" s="1">
        <f>SUM(OSRRefD22_2x_0)</f>
        <v>343.09</v>
      </c>
      <c r="E67" s="1"/>
      <c r="F67" s="5">
        <f t="shared" ref="F67:F83" si="33">IF(D$12=0,0,D67/D$12)</f>
        <v>6.8410701891129504E-4</v>
      </c>
      <c r="G67" s="1"/>
      <c r="H67" s="1">
        <f>SUM(OSRRefH22_2x_0)</f>
        <v>86.68</v>
      </c>
      <c r="I67" s="1"/>
      <c r="J67" s="5">
        <f t="shared" ref="J67:J83" si="34">IF(H$12=0,0,H67/H$12)</f>
        <v>2.7361945443159658E-4</v>
      </c>
      <c r="K67" s="1"/>
      <c r="L67" s="1">
        <f t="shared" ref="L67:L83" si="35">+D67-H67</f>
        <v>256.40999999999997</v>
      </c>
      <c r="M67" s="1"/>
      <c r="N67" s="5">
        <f t="shared" ref="N67:N83" si="36">IF(H67=0,0,L67/H67)</f>
        <v>2.9581218274111669</v>
      </c>
      <c r="O67" s="14"/>
      <c r="P67" s="1">
        <f>SUM(OSRRefP22_2x_0)</f>
        <v>702.16</v>
      </c>
      <c r="Q67" s="1"/>
      <c r="R67" s="5">
        <f t="shared" ref="R67:R83" si="37">IF(P$12=0,0,P67/P$12)</f>
        <v>8.0536561420764216E-4</v>
      </c>
      <c r="S67" s="1"/>
      <c r="T67" s="1">
        <f>SUM(OSRRefT22_2x_0)</f>
        <v>326.74</v>
      </c>
      <c r="U67" s="1"/>
      <c r="V67" s="5">
        <f t="shared" ref="V67:V83" si="38">IF(T$12=0,0,T67/T$12)</f>
        <v>4.3976288820609337E-4</v>
      </c>
      <c r="W67" s="1"/>
      <c r="X67" s="1">
        <f t="shared" ref="X67:X83" si="39">+P67-T67</f>
        <v>375.41999999999996</v>
      </c>
      <c r="Y67" s="1"/>
      <c r="Z67" s="5">
        <f t="shared" ref="Z67:Z83" si="40">IF(T67=0,0,X67/T67)</f>
        <v>1.1489869621105464</v>
      </c>
    </row>
    <row r="68" spans="1:26" s="24" customFormat="1" hidden="1" outlineLevel="2" x14ac:dyDescent="0.25">
      <c r="A68" s="29"/>
      <c r="B68" s="11" t="str">
        <f>CONCATENATE("          ", "6362", " - ", "ADVERTISING EXPENSE")</f>
        <v xml:space="preserve">          6362 - ADVERTISING EXPENSE</v>
      </c>
      <c r="C68" s="11"/>
      <c r="D68" s="7">
        <v>343.09</v>
      </c>
      <c r="E68" s="2"/>
      <c r="F68" s="6">
        <f t="shared" si="33"/>
        <v>6.8410701891129504E-4</v>
      </c>
      <c r="G68" s="2"/>
      <c r="H68" s="7">
        <v>86.68</v>
      </c>
      <c r="I68" s="2"/>
      <c r="J68" s="6">
        <f t="shared" si="34"/>
        <v>2.7361945443159658E-4</v>
      </c>
      <c r="K68" s="2"/>
      <c r="L68" s="7">
        <f t="shared" si="35"/>
        <v>256.40999999999997</v>
      </c>
      <c r="M68" s="2"/>
      <c r="N68" s="6">
        <f t="shared" si="36"/>
        <v>2.9581218274111669</v>
      </c>
      <c r="O68" s="11"/>
      <c r="P68" s="7">
        <v>702.16</v>
      </c>
      <c r="Q68" s="2"/>
      <c r="R68" s="6">
        <f t="shared" si="37"/>
        <v>8.0536561420764216E-4</v>
      </c>
      <c r="S68" s="2"/>
      <c r="T68" s="7">
        <v>326.74</v>
      </c>
      <c r="U68" s="2"/>
      <c r="V68" s="6">
        <f t="shared" si="38"/>
        <v>4.3976288820609337E-4</v>
      </c>
      <c r="W68" s="2"/>
      <c r="X68" s="7">
        <f t="shared" si="39"/>
        <v>375.41999999999996</v>
      </c>
      <c r="Y68" s="2"/>
      <c r="Z68" s="6">
        <f t="shared" si="40"/>
        <v>1.1489869621105464</v>
      </c>
    </row>
    <row r="69" spans="1:26" s="27" customFormat="1" outlineLevel="1" collapsed="1" x14ac:dyDescent="0.25">
      <c r="A69" s="28"/>
      <c r="B69" s="14" t="str">
        <f>CONCATENATE("     ","Depreciation                                      ")</f>
        <v xml:space="preserve">     Depreciation                                      </v>
      </c>
      <c r="C69" s="14"/>
      <c r="D69" s="1">
        <f>SUM(OSRRefD22_3x_0)</f>
        <v>280.44</v>
      </c>
      <c r="E69" s="1"/>
      <c r="F69" s="5">
        <f t="shared" si="33"/>
        <v>5.5918555592842582E-4</v>
      </c>
      <c r="G69" s="1"/>
      <c r="H69" s="1">
        <f>SUM(OSRRefH22_3x_0)</f>
        <v>280.44</v>
      </c>
      <c r="I69" s="1"/>
      <c r="J69" s="5">
        <f t="shared" si="34"/>
        <v>8.8525426627592213E-4</v>
      </c>
      <c r="K69" s="1"/>
      <c r="L69" s="1">
        <f t="shared" si="35"/>
        <v>0</v>
      </c>
      <c r="M69" s="1"/>
      <c r="N69" s="5">
        <f t="shared" si="36"/>
        <v>0</v>
      </c>
      <c r="O69" s="14"/>
      <c r="P69" s="1">
        <f>SUM(OSRRefP22_3x_0)</f>
        <v>560.88</v>
      </c>
      <c r="Q69" s="1"/>
      <c r="R69" s="5">
        <f t="shared" si="37"/>
        <v>6.4331984974476235E-4</v>
      </c>
      <c r="S69" s="1"/>
      <c r="T69" s="1">
        <f>SUM(OSRRefT22_3x_0)</f>
        <v>560.88</v>
      </c>
      <c r="U69" s="1"/>
      <c r="V69" s="5">
        <f t="shared" si="38"/>
        <v>7.5489443819867069E-4</v>
      </c>
      <c r="W69" s="1"/>
      <c r="X69" s="1">
        <f t="shared" si="39"/>
        <v>0</v>
      </c>
      <c r="Y69" s="1"/>
      <c r="Z69" s="5">
        <f t="shared" si="40"/>
        <v>0</v>
      </c>
    </row>
    <row r="70" spans="1:26" s="24" customFormat="1" hidden="1" outlineLevel="2" x14ac:dyDescent="0.25">
      <c r="A70" s="29"/>
      <c r="B70" s="11" t="str">
        <f>CONCATENATE("          ", "6322", " - ", "EQUIPMENT DEPRECIATION EXPENSE")</f>
        <v xml:space="preserve">          6322 - EQUIPMENT DEPRECIATION EXPENSE</v>
      </c>
      <c r="C70" s="11"/>
      <c r="D70" s="7">
        <v>280.44</v>
      </c>
      <c r="E70" s="2"/>
      <c r="F70" s="6">
        <f t="shared" si="33"/>
        <v>5.5918555592842582E-4</v>
      </c>
      <c r="G70" s="2"/>
      <c r="H70" s="7">
        <v>280.44</v>
      </c>
      <c r="I70" s="2"/>
      <c r="J70" s="6">
        <f t="shared" si="34"/>
        <v>8.8525426627592213E-4</v>
      </c>
      <c r="K70" s="2"/>
      <c r="L70" s="7">
        <f t="shared" si="35"/>
        <v>0</v>
      </c>
      <c r="M70" s="2"/>
      <c r="N70" s="6">
        <f t="shared" si="36"/>
        <v>0</v>
      </c>
      <c r="O70" s="11"/>
      <c r="P70" s="7">
        <v>560.88</v>
      </c>
      <c r="Q70" s="2"/>
      <c r="R70" s="6">
        <f t="shared" si="37"/>
        <v>6.4331984974476235E-4</v>
      </c>
      <c r="S70" s="2"/>
      <c r="T70" s="7">
        <v>560.88</v>
      </c>
      <c r="U70" s="2"/>
      <c r="V70" s="6">
        <f t="shared" si="38"/>
        <v>7.5489443819867069E-4</v>
      </c>
      <c r="W70" s="2"/>
      <c r="X70" s="7">
        <f t="shared" si="39"/>
        <v>0</v>
      </c>
      <c r="Y70" s="2"/>
      <c r="Z70" s="6">
        <f t="shared" si="40"/>
        <v>0</v>
      </c>
    </row>
    <row r="71" spans="1:26" s="27" customFormat="1" outlineLevel="1" collapsed="1" x14ac:dyDescent="0.25">
      <c r="A71" s="28"/>
      <c r="B71" s="14" t="str">
        <f>CONCATENATE("     ","Discounts and Markdowns                           ")</f>
        <v xml:space="preserve">     Discounts and Markdowns                           </v>
      </c>
      <c r="C71" s="14"/>
      <c r="D71" s="1">
        <f>SUM(OSRRefD22_4x_0)</f>
        <v>57114.36</v>
      </c>
      <c r="E71" s="1"/>
      <c r="F71" s="5">
        <f t="shared" si="33"/>
        <v>0.11388362982490459</v>
      </c>
      <c r="G71" s="1"/>
      <c r="H71" s="1">
        <f>SUM(OSRRefH22_4x_0)</f>
        <v>36289.800000000003</v>
      </c>
      <c r="I71" s="1"/>
      <c r="J71" s="5">
        <f t="shared" si="34"/>
        <v>0.1145546294119953</v>
      </c>
      <c r="K71" s="1"/>
      <c r="L71" s="1">
        <f t="shared" si="35"/>
        <v>20824.559999999998</v>
      </c>
      <c r="M71" s="1"/>
      <c r="N71" s="5">
        <f t="shared" si="36"/>
        <v>0.57384058330439947</v>
      </c>
      <c r="O71" s="14"/>
      <c r="P71" s="1">
        <f>SUM(OSRRefP22_4x_0)</f>
        <v>70019.17</v>
      </c>
      <c r="Q71" s="1"/>
      <c r="R71" s="5">
        <f t="shared" si="37"/>
        <v>8.0310800748204555E-2</v>
      </c>
      <c r="S71" s="1"/>
      <c r="T71" s="1">
        <f>SUM(OSRRefT22_4x_0)</f>
        <v>46943.38</v>
      </c>
      <c r="U71" s="1"/>
      <c r="V71" s="5">
        <f t="shared" si="38"/>
        <v>6.3181601184293806E-2</v>
      </c>
      <c r="W71" s="1"/>
      <c r="X71" s="1">
        <f t="shared" si="39"/>
        <v>23075.79</v>
      </c>
      <c r="Y71" s="1"/>
      <c r="Z71" s="5">
        <f t="shared" si="40"/>
        <v>0.49156643599161376</v>
      </c>
    </row>
    <row r="72" spans="1:26" s="24" customFormat="1" hidden="1" outlineLevel="2" x14ac:dyDescent="0.25">
      <c r="A72" s="29"/>
      <c r="B72" s="11" t="str">
        <f>CONCATENATE("          ", "6382", " - ", "DISCOUNTS/MARK DOWNS")</f>
        <v xml:space="preserve">          6382 - DISCOUNTS/MARK DOWNS</v>
      </c>
      <c r="C72" s="11"/>
      <c r="D72" s="7">
        <v>57114.36</v>
      </c>
      <c r="E72" s="2"/>
      <c r="F72" s="6">
        <f t="shared" si="33"/>
        <v>0.11388362982490459</v>
      </c>
      <c r="G72" s="2"/>
      <c r="H72" s="7">
        <v>36289.800000000003</v>
      </c>
      <c r="I72" s="2"/>
      <c r="J72" s="6">
        <f t="shared" si="34"/>
        <v>0.1145546294119953</v>
      </c>
      <c r="K72" s="2"/>
      <c r="L72" s="7">
        <f t="shared" si="35"/>
        <v>20824.559999999998</v>
      </c>
      <c r="M72" s="2"/>
      <c r="N72" s="6">
        <f t="shared" si="36"/>
        <v>0.57384058330439947</v>
      </c>
      <c r="O72" s="11"/>
      <c r="P72" s="7">
        <v>70019.17</v>
      </c>
      <c r="Q72" s="2"/>
      <c r="R72" s="6">
        <f t="shared" si="37"/>
        <v>8.0310800748204555E-2</v>
      </c>
      <c r="S72" s="2"/>
      <c r="T72" s="7">
        <v>46943.38</v>
      </c>
      <c r="U72" s="2"/>
      <c r="V72" s="6">
        <f t="shared" si="38"/>
        <v>6.3181601184293806E-2</v>
      </c>
      <c r="W72" s="2"/>
      <c r="X72" s="7">
        <f t="shared" si="39"/>
        <v>23075.79</v>
      </c>
      <c r="Y72" s="2"/>
      <c r="Z72" s="6">
        <f t="shared" si="40"/>
        <v>0.49156643599161376</v>
      </c>
    </row>
    <row r="73" spans="1:26" s="27" customFormat="1" outlineLevel="1" collapsed="1" x14ac:dyDescent="0.25">
      <c r="A73" s="28"/>
      <c r="B73" s="14" t="str">
        <f>CONCATENATE("     ","Employees' Appreciation                           ")</f>
        <v xml:space="preserve">     Employees' Appreciation                           </v>
      </c>
      <c r="C73" s="14"/>
      <c r="D73" s="1">
        <f>SUM(OSRRefD22_5x_0)</f>
        <v>0</v>
      </c>
      <c r="E73" s="1"/>
      <c r="F73" s="5">
        <f t="shared" si="33"/>
        <v>0</v>
      </c>
      <c r="G73" s="1"/>
      <c r="H73" s="1">
        <f>SUM(OSRRefH22_5x_0)</f>
        <v>0</v>
      </c>
      <c r="I73" s="1"/>
      <c r="J73" s="5">
        <f t="shared" si="34"/>
        <v>0</v>
      </c>
      <c r="K73" s="1"/>
      <c r="L73" s="1">
        <f t="shared" si="35"/>
        <v>0</v>
      </c>
      <c r="M73" s="1"/>
      <c r="N73" s="5">
        <f t="shared" si="36"/>
        <v>0</v>
      </c>
      <c r="O73" s="14"/>
      <c r="P73" s="1">
        <f>SUM(OSRRefP22_5x_0)</f>
        <v>0</v>
      </c>
      <c r="Q73" s="1"/>
      <c r="R73" s="5">
        <f t="shared" si="37"/>
        <v>0</v>
      </c>
      <c r="S73" s="1"/>
      <c r="T73" s="1">
        <f>SUM(OSRRefT22_5x_0)</f>
        <v>84.31</v>
      </c>
      <c r="U73" s="1"/>
      <c r="V73" s="5">
        <f t="shared" si="38"/>
        <v>1.1347373784861276E-4</v>
      </c>
      <c r="W73" s="1"/>
      <c r="X73" s="1">
        <f t="shared" si="39"/>
        <v>-84.31</v>
      </c>
      <c r="Y73" s="1"/>
      <c r="Z73" s="5">
        <f t="shared" si="40"/>
        <v>-1</v>
      </c>
    </row>
    <row r="74" spans="1:26" s="24" customFormat="1" hidden="1" outlineLevel="2" x14ac:dyDescent="0.25">
      <c r="A74" s="29"/>
      <c r="B74" s="11" t="str">
        <f>CONCATENATE("          ", "6277", " - ", "EMPLOYEE APPRECIATION")</f>
        <v xml:space="preserve">          6277 - EMPLOYEE APPRECIATION</v>
      </c>
      <c r="C74" s="11"/>
      <c r="D74" s="7"/>
      <c r="E74" s="2"/>
      <c r="F74" s="6">
        <f t="shared" si="33"/>
        <v>0</v>
      </c>
      <c r="G74" s="2"/>
      <c r="H74" s="7"/>
      <c r="I74" s="2"/>
      <c r="J74" s="6">
        <f t="shared" si="34"/>
        <v>0</v>
      </c>
      <c r="K74" s="2"/>
      <c r="L74" s="7">
        <f t="shared" si="35"/>
        <v>0</v>
      </c>
      <c r="M74" s="2"/>
      <c r="N74" s="6">
        <f t="shared" si="36"/>
        <v>0</v>
      </c>
      <c r="O74" s="11"/>
      <c r="P74" s="7"/>
      <c r="Q74" s="2"/>
      <c r="R74" s="6">
        <f t="shared" si="37"/>
        <v>0</v>
      </c>
      <c r="S74" s="2"/>
      <c r="T74" s="7">
        <v>84.31</v>
      </c>
      <c r="U74" s="2"/>
      <c r="V74" s="6">
        <f t="shared" si="38"/>
        <v>1.1347373784861276E-4</v>
      </c>
      <c r="W74" s="2"/>
      <c r="X74" s="7">
        <f t="shared" si="39"/>
        <v>-84.31</v>
      </c>
      <c r="Y74" s="2"/>
      <c r="Z74" s="6">
        <f t="shared" si="40"/>
        <v>-1</v>
      </c>
    </row>
    <row r="75" spans="1:26" s="27" customFormat="1" outlineLevel="1" collapsed="1" x14ac:dyDescent="0.25">
      <c r="A75" s="28"/>
      <c r="B75" s="14" t="str">
        <f>CONCATENATE("     ","Freight out/Postage                               ")</f>
        <v xml:space="preserve">     Freight out/Postage                               </v>
      </c>
      <c r="C75" s="14"/>
      <c r="D75" s="1">
        <f>SUM(OSRRefD22_6x_0)</f>
        <v>0</v>
      </c>
      <c r="E75" s="1"/>
      <c r="F75" s="5">
        <f t="shared" si="33"/>
        <v>0</v>
      </c>
      <c r="G75" s="1"/>
      <c r="H75" s="1">
        <f>SUM(OSRRefH22_6x_0)</f>
        <v>3.7</v>
      </c>
      <c r="I75" s="1"/>
      <c r="J75" s="5">
        <f t="shared" si="34"/>
        <v>1.1679649070107375E-5</v>
      </c>
      <c r="K75" s="1"/>
      <c r="L75" s="1">
        <f t="shared" si="35"/>
        <v>-3.7</v>
      </c>
      <c r="M75" s="1"/>
      <c r="N75" s="5">
        <f t="shared" si="36"/>
        <v>-1</v>
      </c>
      <c r="O75" s="14"/>
      <c r="P75" s="1">
        <f>SUM(OSRRefP22_6x_0)</f>
        <v>0</v>
      </c>
      <c r="Q75" s="1"/>
      <c r="R75" s="5">
        <f t="shared" si="37"/>
        <v>0</v>
      </c>
      <c r="S75" s="1"/>
      <c r="T75" s="1">
        <f>SUM(OSRRefT22_6x_0)</f>
        <v>32.659999999999997</v>
      </c>
      <c r="U75" s="1"/>
      <c r="V75" s="5">
        <f t="shared" si="38"/>
        <v>4.3957446069691519E-5</v>
      </c>
      <c r="W75" s="1"/>
      <c r="X75" s="1">
        <f t="shared" si="39"/>
        <v>-32.659999999999997</v>
      </c>
      <c r="Y75" s="1"/>
      <c r="Z75" s="5">
        <f t="shared" si="40"/>
        <v>-1</v>
      </c>
    </row>
    <row r="76" spans="1:26" s="24" customFormat="1" hidden="1" outlineLevel="2" x14ac:dyDescent="0.25">
      <c r="A76" s="29"/>
      <c r="B76" s="11" t="str">
        <f>CONCATENATE("          ", "6305", " - ", "FREIGHT OUT")</f>
        <v xml:space="preserve">          6305 - FREIGHT OUT</v>
      </c>
      <c r="C76" s="11"/>
      <c r="D76" s="7"/>
      <c r="E76" s="2"/>
      <c r="F76" s="6">
        <f t="shared" si="33"/>
        <v>0</v>
      </c>
      <c r="G76" s="2"/>
      <c r="H76" s="7">
        <v>3.7</v>
      </c>
      <c r="I76" s="2"/>
      <c r="J76" s="6">
        <f t="shared" si="34"/>
        <v>1.1679649070107375E-5</v>
      </c>
      <c r="K76" s="2"/>
      <c r="L76" s="7">
        <f t="shared" si="35"/>
        <v>-3.7</v>
      </c>
      <c r="M76" s="2"/>
      <c r="N76" s="6">
        <f t="shared" si="36"/>
        <v>-1</v>
      </c>
      <c r="O76" s="11"/>
      <c r="P76" s="7"/>
      <c r="Q76" s="2"/>
      <c r="R76" s="6">
        <f t="shared" si="37"/>
        <v>0</v>
      </c>
      <c r="S76" s="2"/>
      <c r="T76" s="7">
        <v>32.659999999999997</v>
      </c>
      <c r="U76" s="2"/>
      <c r="V76" s="6">
        <f t="shared" si="38"/>
        <v>4.3957446069691519E-5</v>
      </c>
      <c r="W76" s="2"/>
      <c r="X76" s="7">
        <f t="shared" si="39"/>
        <v>-32.659999999999997</v>
      </c>
      <c r="Y76" s="2"/>
      <c r="Z76" s="6">
        <f t="shared" si="40"/>
        <v>-1</v>
      </c>
    </row>
    <row r="77" spans="1:26" s="27" customFormat="1" outlineLevel="1" collapsed="1" x14ac:dyDescent="0.25">
      <c r="A77" s="28"/>
      <c r="B77" s="14" t="str">
        <f>CONCATENATE("     ","Inventory Adjustment                              ")</f>
        <v xml:space="preserve">     Inventory Adjustment                              </v>
      </c>
      <c r="C77" s="14"/>
      <c r="D77" s="1">
        <f>SUM(OSRRefD22_7x_0)</f>
        <v>0</v>
      </c>
      <c r="E77" s="1"/>
      <c r="F77" s="5">
        <f t="shared" si="33"/>
        <v>0</v>
      </c>
      <c r="G77" s="1"/>
      <c r="H77" s="1">
        <f>SUM(OSRRefH22_7x_0)</f>
        <v>1250</v>
      </c>
      <c r="I77" s="1"/>
      <c r="J77" s="5">
        <f t="shared" si="34"/>
        <v>3.9458273885497885E-3</v>
      </c>
      <c r="K77" s="1"/>
      <c r="L77" s="1">
        <f t="shared" si="35"/>
        <v>-1250</v>
      </c>
      <c r="M77" s="1"/>
      <c r="N77" s="5">
        <f t="shared" si="36"/>
        <v>-1</v>
      </c>
      <c r="O77" s="14"/>
      <c r="P77" s="1">
        <f>SUM(OSRRefP22_7x_0)</f>
        <v>0</v>
      </c>
      <c r="Q77" s="1"/>
      <c r="R77" s="5">
        <f t="shared" si="37"/>
        <v>0</v>
      </c>
      <c r="S77" s="1"/>
      <c r="T77" s="1">
        <f>SUM(OSRRefT22_7x_0)</f>
        <v>2500</v>
      </c>
      <c r="U77" s="1"/>
      <c r="V77" s="5">
        <f t="shared" si="38"/>
        <v>3.3647769496089656E-3</v>
      </c>
      <c r="W77" s="1"/>
      <c r="X77" s="1">
        <f t="shared" si="39"/>
        <v>-2500</v>
      </c>
      <c r="Y77" s="1"/>
      <c r="Z77" s="5">
        <f t="shared" si="40"/>
        <v>-1</v>
      </c>
    </row>
    <row r="78" spans="1:26" s="24" customFormat="1" hidden="1" outlineLevel="2" x14ac:dyDescent="0.25">
      <c r="A78" s="29"/>
      <c r="B78" s="11" t="str">
        <f>CONCATENATE("          ", "6408", " - ", "INVENTORY ADJUSTMENT")</f>
        <v xml:space="preserve">          6408 - INVENTORY ADJUSTMENT</v>
      </c>
      <c r="C78" s="11"/>
      <c r="D78" s="7"/>
      <c r="E78" s="2"/>
      <c r="F78" s="6">
        <f t="shared" si="33"/>
        <v>0</v>
      </c>
      <c r="G78" s="2"/>
      <c r="H78" s="7">
        <v>1250</v>
      </c>
      <c r="I78" s="2"/>
      <c r="J78" s="6">
        <f t="shared" si="34"/>
        <v>3.9458273885497885E-3</v>
      </c>
      <c r="K78" s="2"/>
      <c r="L78" s="7">
        <f t="shared" si="35"/>
        <v>-1250</v>
      </c>
      <c r="M78" s="2"/>
      <c r="N78" s="6">
        <f t="shared" si="36"/>
        <v>-1</v>
      </c>
      <c r="O78" s="11"/>
      <c r="P78" s="7"/>
      <c r="Q78" s="2"/>
      <c r="R78" s="6">
        <f t="shared" si="37"/>
        <v>0</v>
      </c>
      <c r="S78" s="2"/>
      <c r="T78" s="7">
        <v>2500</v>
      </c>
      <c r="U78" s="2"/>
      <c r="V78" s="6">
        <f t="shared" si="38"/>
        <v>3.3647769496089656E-3</v>
      </c>
      <c r="W78" s="2"/>
      <c r="X78" s="7">
        <f t="shared" si="39"/>
        <v>-2500</v>
      </c>
      <c r="Y78" s="2"/>
      <c r="Z78" s="6">
        <f t="shared" si="40"/>
        <v>-1</v>
      </c>
    </row>
    <row r="79" spans="1:26" s="27" customFormat="1" outlineLevel="1" collapsed="1" x14ac:dyDescent="0.25">
      <c r="A79" s="28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SUM(OSRRefD22_8x_0)</f>
        <v>-5000</v>
      </c>
      <c r="E79" s="1"/>
      <c r="F79" s="5">
        <f t="shared" si="33"/>
        <v>-9.9697895437246067E-3</v>
      </c>
      <c r="G79" s="1"/>
      <c r="H79" s="1">
        <f>SUM(OSRRefH22_8x_0)</f>
        <v>0</v>
      </c>
      <c r="I79" s="1"/>
      <c r="J79" s="5">
        <f t="shared" si="34"/>
        <v>0</v>
      </c>
      <c r="K79" s="1"/>
      <c r="L79" s="1">
        <f t="shared" si="35"/>
        <v>-5000</v>
      </c>
      <c r="M79" s="1"/>
      <c r="N79" s="5">
        <f t="shared" si="36"/>
        <v>0</v>
      </c>
      <c r="O79" s="14"/>
      <c r="P79" s="1">
        <f>SUM(OSRRefP22_8x_0)</f>
        <v>-5000</v>
      </c>
      <c r="Q79" s="1"/>
      <c r="R79" s="5">
        <f t="shared" si="37"/>
        <v>-5.7349152202321564E-3</v>
      </c>
      <c r="S79" s="1"/>
      <c r="T79" s="1">
        <f>SUM(OSRRefT22_8x_0)</f>
        <v>0</v>
      </c>
      <c r="U79" s="1"/>
      <c r="V79" s="5">
        <f t="shared" si="38"/>
        <v>0</v>
      </c>
      <c r="W79" s="1"/>
      <c r="X79" s="1">
        <f t="shared" si="39"/>
        <v>-5000</v>
      </c>
      <c r="Y79" s="1"/>
      <c r="Z79" s="5">
        <f t="shared" si="40"/>
        <v>0</v>
      </c>
    </row>
    <row r="80" spans="1:26" s="24" customFormat="1" hidden="1" outlineLevel="2" x14ac:dyDescent="0.25">
      <c r="A80" s="29"/>
      <c r="B80" s="11" t="str">
        <f>CONCATENATE("          ", "6258", " - ", "MEMBERSHIP DUES")</f>
        <v xml:space="preserve">          6258 - MEMBERSHIP DUES</v>
      </c>
      <c r="C80" s="11"/>
      <c r="D80" s="7">
        <v>-5000</v>
      </c>
      <c r="E80" s="2"/>
      <c r="F80" s="6">
        <f t="shared" si="33"/>
        <v>-9.9697895437246067E-3</v>
      </c>
      <c r="G80" s="2"/>
      <c r="H80" s="7"/>
      <c r="I80" s="2"/>
      <c r="J80" s="6">
        <f t="shared" si="34"/>
        <v>0</v>
      </c>
      <c r="K80" s="2"/>
      <c r="L80" s="7">
        <f t="shared" si="35"/>
        <v>-5000</v>
      </c>
      <c r="M80" s="2"/>
      <c r="N80" s="6">
        <f t="shared" si="36"/>
        <v>0</v>
      </c>
      <c r="O80" s="11"/>
      <c r="P80" s="7">
        <v>-5000</v>
      </c>
      <c r="Q80" s="2"/>
      <c r="R80" s="6">
        <f t="shared" si="37"/>
        <v>-5.7349152202321564E-3</v>
      </c>
      <c r="S80" s="2"/>
      <c r="T80" s="7"/>
      <c r="U80" s="2"/>
      <c r="V80" s="6">
        <f t="shared" si="38"/>
        <v>0</v>
      </c>
      <c r="W80" s="2"/>
      <c r="X80" s="7">
        <f t="shared" si="39"/>
        <v>-5000</v>
      </c>
      <c r="Y80" s="2"/>
      <c r="Z80" s="6">
        <f t="shared" si="40"/>
        <v>0</v>
      </c>
    </row>
    <row r="81" spans="1:26" s="27" customFormat="1" outlineLevel="1" collapsed="1" x14ac:dyDescent="0.25">
      <c r="A81" s="28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SUM(OSRRefD22_9x_0)</f>
        <v>88.18</v>
      </c>
      <c r="E81" s="1"/>
      <c r="F81" s="5">
        <f t="shared" si="33"/>
        <v>1.758272083931272E-4</v>
      </c>
      <c r="G81" s="1"/>
      <c r="H81" s="1">
        <f>SUM(OSRRefH22_9x_0)</f>
        <v>551.94000000000005</v>
      </c>
      <c r="I81" s="1"/>
      <c r="J81" s="5">
        <f t="shared" si="34"/>
        <v>1.7422879750689365E-3</v>
      </c>
      <c r="K81" s="1"/>
      <c r="L81" s="1">
        <f t="shared" si="35"/>
        <v>-463.76000000000005</v>
      </c>
      <c r="M81" s="1"/>
      <c r="N81" s="5">
        <f t="shared" si="36"/>
        <v>-0.84023625756422804</v>
      </c>
      <c r="O81" s="14"/>
      <c r="P81" s="1">
        <f>SUM(OSRRefP22_9x_0)</f>
        <v>763.44</v>
      </c>
      <c r="Q81" s="1"/>
      <c r="R81" s="5">
        <f t="shared" si="37"/>
        <v>8.7565273514680756E-4</v>
      </c>
      <c r="S81" s="1"/>
      <c r="T81" s="1">
        <f>SUM(OSRRefT22_9x_0)</f>
        <v>856.49</v>
      </c>
      <c r="U81" s="1"/>
      <c r="V81" s="5">
        <f t="shared" si="38"/>
        <v>1.1527591238282332E-3</v>
      </c>
      <c r="W81" s="1"/>
      <c r="X81" s="1">
        <f t="shared" si="39"/>
        <v>-93.049999999999955</v>
      </c>
      <c r="Y81" s="1"/>
      <c r="Z81" s="5">
        <f t="shared" si="40"/>
        <v>-0.10864108162383677</v>
      </c>
    </row>
    <row r="82" spans="1:26" s="24" customFormat="1" hidden="1" outlineLevel="2" x14ac:dyDescent="0.25">
      <c r="A82" s="29"/>
      <c r="B82" s="11" t="str">
        <f>CONCATENATE("          ", "6241", " - ", "OFFICE EXPENSE")</f>
        <v xml:space="preserve">          6241 - OFFICE EXPENSE</v>
      </c>
      <c r="C82" s="11"/>
      <c r="D82" s="7">
        <v>88.18</v>
      </c>
      <c r="E82" s="2"/>
      <c r="F82" s="6">
        <f t="shared" si="33"/>
        <v>1.758272083931272E-4</v>
      </c>
      <c r="G82" s="2"/>
      <c r="H82" s="7">
        <v>551.94000000000005</v>
      </c>
      <c r="I82" s="2"/>
      <c r="J82" s="6">
        <f t="shared" si="34"/>
        <v>1.7422879750689365E-3</v>
      </c>
      <c r="K82" s="2"/>
      <c r="L82" s="7">
        <f t="shared" si="35"/>
        <v>-463.76000000000005</v>
      </c>
      <c r="M82" s="2"/>
      <c r="N82" s="6">
        <f t="shared" si="36"/>
        <v>-0.84023625756422804</v>
      </c>
      <c r="O82" s="11"/>
      <c r="P82" s="7">
        <v>181</v>
      </c>
      <c r="Q82" s="2"/>
      <c r="R82" s="6">
        <f t="shared" si="37"/>
        <v>2.0760393097240406E-4</v>
      </c>
      <c r="S82" s="2"/>
      <c r="T82" s="7">
        <v>724.81</v>
      </c>
      <c r="U82" s="2"/>
      <c r="V82" s="6">
        <f t="shared" si="38"/>
        <v>9.7552959233842965E-4</v>
      </c>
      <c r="W82" s="2"/>
      <c r="X82" s="7">
        <f t="shared" si="39"/>
        <v>-543.80999999999995</v>
      </c>
      <c r="Y82" s="2"/>
      <c r="Z82" s="6">
        <f t="shared" si="40"/>
        <v>-0.75027938356258883</v>
      </c>
    </row>
    <row r="83" spans="1:26" s="24" customFormat="1" hidden="1" outlineLevel="2" x14ac:dyDescent="0.25">
      <c r="A83" s="29"/>
      <c r="B83" s="11" t="str">
        <f>CONCATENATE("          ", "6247", " - ", "STORE SUPPLIES")</f>
        <v xml:space="preserve">          6247 - STORE SUPPLIES</v>
      </c>
      <c r="C83" s="11"/>
      <c r="D83" s="7"/>
      <c r="E83" s="2"/>
      <c r="F83" s="6">
        <f t="shared" si="33"/>
        <v>0</v>
      </c>
      <c r="G83" s="2"/>
      <c r="H83" s="7"/>
      <c r="I83" s="2"/>
      <c r="J83" s="6">
        <f t="shared" si="34"/>
        <v>0</v>
      </c>
      <c r="K83" s="2"/>
      <c r="L83" s="7">
        <f t="shared" si="35"/>
        <v>0</v>
      </c>
      <c r="M83" s="2"/>
      <c r="N83" s="6">
        <f t="shared" si="36"/>
        <v>0</v>
      </c>
      <c r="O83" s="11"/>
      <c r="P83" s="7">
        <v>582.44000000000005</v>
      </c>
      <c r="Q83" s="2"/>
      <c r="R83" s="6">
        <f t="shared" si="37"/>
        <v>6.6804880417440347E-4</v>
      </c>
      <c r="S83" s="2"/>
      <c r="T83" s="7">
        <v>131.68</v>
      </c>
      <c r="U83" s="2"/>
      <c r="V83" s="6">
        <f t="shared" si="38"/>
        <v>1.7722953148980344E-4</v>
      </c>
      <c r="W83" s="2"/>
      <c r="X83" s="7">
        <f t="shared" si="39"/>
        <v>450.76000000000005</v>
      </c>
      <c r="Y83" s="2"/>
      <c r="Z83" s="6">
        <f t="shared" si="40"/>
        <v>3.4231470230862699</v>
      </c>
    </row>
    <row r="84" spans="1:26" s="27" customFormat="1" outlineLevel="1" collapsed="1" x14ac:dyDescent="0.25">
      <c r="A84" s="28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SUM(OSRRefD22_10x_0)</f>
        <v>254.25</v>
      </c>
      <c r="E84" s="1"/>
      <c r="F84" s="5">
        <f t="shared" ref="F84:F85" si="41">IF(D$12=0,0,D84/D$12)</f>
        <v>5.0696379829839628E-4</v>
      </c>
      <c r="G84" s="1"/>
      <c r="H84" s="1">
        <f>SUM(OSRRefH22_10x_0)</f>
        <v>241.45</v>
      </c>
      <c r="I84" s="1"/>
      <c r="J84" s="5">
        <f t="shared" ref="J84:J85" si="42">IF(H$12=0,0,H84/H$12)</f>
        <v>7.6217601837227716E-4</v>
      </c>
      <c r="K84" s="1"/>
      <c r="L84" s="1">
        <f t="shared" ref="L84:L85" si="43">+D84-H84</f>
        <v>12.800000000000011</v>
      </c>
      <c r="M84" s="1"/>
      <c r="N84" s="5">
        <f t="shared" ref="N84:N85" si="44">IF(H84=0,0,L84/H84)</f>
        <v>5.3013046179333244E-2</v>
      </c>
      <c r="O84" s="14"/>
      <c r="P84" s="1">
        <f>SUM(OSRRefP22_10x_0)</f>
        <v>431.3</v>
      </c>
      <c r="Q84" s="1"/>
      <c r="R84" s="5">
        <f t="shared" ref="R84:R85" si="45">IF(P$12=0,0,P84/P$12)</f>
        <v>4.9469378689722581E-4</v>
      </c>
      <c r="S84" s="1"/>
      <c r="T84" s="1">
        <f>SUM(OSRRefT22_10x_0)</f>
        <v>952.55</v>
      </c>
      <c r="U84" s="1"/>
      <c r="V84" s="5">
        <f t="shared" ref="V84:V85" si="46">IF(T$12=0,0,T84/T$12)</f>
        <v>1.2820473133400079E-3</v>
      </c>
      <c r="W84" s="1"/>
      <c r="X84" s="1">
        <f t="shared" ref="X84:X85" si="47">+P84-T84</f>
        <v>-521.25</v>
      </c>
      <c r="Y84" s="1"/>
      <c r="Z84" s="5">
        <f t="shared" ref="Z84:Z85" si="48">IF(T84=0,0,X84/T84)</f>
        <v>-0.54721536927195424</v>
      </c>
    </row>
    <row r="85" spans="1:26" s="24" customFormat="1" hidden="1" outlineLevel="2" x14ac:dyDescent="0.25">
      <c r="A85" s="29"/>
      <c r="B85" s="11" t="str">
        <f>CONCATENATE("          ", "6309", " - ", "TELEPHONE")</f>
        <v xml:space="preserve">          6309 - TELEPHONE</v>
      </c>
      <c r="C85" s="11"/>
      <c r="D85" s="7">
        <v>254.25</v>
      </c>
      <c r="E85" s="2"/>
      <c r="F85" s="6">
        <f t="shared" si="41"/>
        <v>5.0696379829839628E-4</v>
      </c>
      <c r="G85" s="2"/>
      <c r="H85" s="7">
        <v>241.45</v>
      </c>
      <c r="I85" s="2"/>
      <c r="J85" s="6">
        <f t="shared" si="42"/>
        <v>7.6217601837227716E-4</v>
      </c>
      <c r="K85" s="2"/>
      <c r="L85" s="7">
        <f t="shared" si="43"/>
        <v>12.800000000000011</v>
      </c>
      <c r="M85" s="2"/>
      <c r="N85" s="6">
        <f t="shared" si="44"/>
        <v>5.3013046179333244E-2</v>
      </c>
      <c r="O85" s="11"/>
      <c r="P85" s="7">
        <v>431.3</v>
      </c>
      <c r="Q85" s="2"/>
      <c r="R85" s="6">
        <f t="shared" si="45"/>
        <v>4.9469378689722581E-4</v>
      </c>
      <c r="S85" s="2"/>
      <c r="T85" s="7">
        <v>952.55</v>
      </c>
      <c r="U85" s="2"/>
      <c r="V85" s="6">
        <f t="shared" si="46"/>
        <v>1.2820473133400079E-3</v>
      </c>
      <c r="W85" s="2"/>
      <c r="X85" s="7">
        <f t="shared" si="47"/>
        <v>-521.25</v>
      </c>
      <c r="Y85" s="2"/>
      <c r="Z85" s="6">
        <f t="shared" si="48"/>
        <v>-0.54721536927195424</v>
      </c>
    </row>
    <row r="86" spans="1:26" s="62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5" t="s">
        <v>0</v>
      </c>
      <c r="C87" s="10"/>
      <c r="D87" s="4">
        <f>SUM(OSRRefD25x_0)</f>
        <v>-3027.34</v>
      </c>
      <c r="E87" s="4"/>
      <c r="F87" s="12">
        <f t="shared" ref="F87:F90" si="49">IF(D$12=0,0,D87/D$12)</f>
        <v>-6.0363885354598511E-3</v>
      </c>
      <c r="G87" s="4"/>
      <c r="H87" s="4">
        <f>SUM(OSRRefH25x_0)</f>
        <v>273.41999999999996</v>
      </c>
      <c r="I87" s="4"/>
      <c r="J87" s="12">
        <f t="shared" ref="J87:J90" si="50">IF(H$12=0,0,H87/H$12)</f>
        <v>8.6309449966182647E-4</v>
      </c>
      <c r="K87" s="4"/>
      <c r="L87" s="4">
        <f t="shared" ref="L87:L90" si="51">+D87-H87</f>
        <v>-3300.76</v>
      </c>
      <c r="M87" s="4"/>
      <c r="N87" s="12">
        <f t="shared" ref="N87:N90" si="52">IF(H87=0,0,L87/H87)</f>
        <v>-12.072123473045135</v>
      </c>
      <c r="O87" s="10"/>
      <c r="P87" s="4">
        <f>SUM(OSRRefP25x_0)</f>
        <v>-3009.54</v>
      </c>
      <c r="Q87" s="4"/>
      <c r="R87" s="12">
        <f t="shared" ref="R87:R90" si="53">IF(P$12=0,0,P87/P$12)</f>
        <v>-3.4518913503794966E-3</v>
      </c>
      <c r="S87" s="4"/>
      <c r="T87" s="4">
        <f>SUM(OSRRefT25x_0)</f>
        <v>249.49999999999994</v>
      </c>
      <c r="U87" s="4"/>
      <c r="V87" s="12">
        <f t="shared" ref="V87:V90" si="54">IF(T$12=0,0,T87/T$12)</f>
        <v>3.3580473957097471E-4</v>
      </c>
      <c r="W87" s="4"/>
      <c r="X87" s="4">
        <f t="shared" ref="X87:X90" si="55">+P87-T87</f>
        <v>-3259.04</v>
      </c>
      <c r="Y87" s="4"/>
      <c r="Z87" s="12">
        <f t="shared" ref="Z87:Z90" si="56">IF(T87=0,0,X87/T87)</f>
        <v>-13.06228456913828</v>
      </c>
    </row>
    <row r="88" spans="1:26" s="24" customFormat="1" hidden="1" outlineLevel="1" x14ac:dyDescent="0.25">
      <c r="A88" s="50"/>
      <c r="B88" s="11" t="str">
        <f>CONCATENATE("          ", "4187", " - ", "NON-TAXABLE SALES-COMPUTER REP")</f>
        <v xml:space="preserve">          4187 - NON-TAXABLE SALES-COMPUTER REP</v>
      </c>
      <c r="C88" s="11"/>
      <c r="D88" s="2">
        <f>--1700.37</f>
        <v>1700.37</v>
      </c>
      <c r="E88" s="2"/>
      <c r="F88" s="21">
        <f t="shared" si="49"/>
        <v>3.3904662092926019E-3</v>
      </c>
      <c r="G88" s="2"/>
      <c r="H88" s="2">
        <f>--433.95</f>
        <v>433.95</v>
      </c>
      <c r="I88" s="2"/>
      <c r="J88" s="21">
        <f t="shared" si="50"/>
        <v>1.3698334362089446E-3</v>
      </c>
      <c r="K88" s="2"/>
      <c r="L88" s="2">
        <f t="shared" si="51"/>
        <v>1266.4199999999998</v>
      </c>
      <c r="M88" s="2"/>
      <c r="N88" s="21">
        <f t="shared" si="52"/>
        <v>2.918354649153128</v>
      </c>
      <c r="O88" s="11"/>
      <c r="P88" s="2">
        <f>--2482.26</f>
        <v>2482.2600000000002</v>
      </c>
      <c r="Q88" s="2"/>
      <c r="R88" s="21">
        <f t="shared" si="53"/>
        <v>2.8471101309146948E-3</v>
      </c>
      <c r="S88" s="2"/>
      <c r="T88" s="2">
        <f>--748.68</f>
        <v>748.68</v>
      </c>
      <c r="U88" s="2"/>
      <c r="V88" s="21">
        <f t="shared" si="54"/>
        <v>1.007656482653296E-3</v>
      </c>
      <c r="W88" s="2"/>
      <c r="X88" s="2">
        <f t="shared" si="55"/>
        <v>1733.5800000000004</v>
      </c>
      <c r="Y88" s="2"/>
      <c r="Z88" s="21">
        <f t="shared" si="56"/>
        <v>2.3155153069402155</v>
      </c>
    </row>
    <row r="89" spans="1:26" s="24" customFormat="1" hidden="1" outlineLevel="1" x14ac:dyDescent="0.25">
      <c r="A89" s="50"/>
      <c r="B89" s="11" t="str">
        <f>CONCATENATE("          ", "4387", " - ", "SALES RETURN NON TAXABLE-COMPU")</f>
        <v xml:space="preserve">          4387 - SALES RETURN NON TAXABLE-COMPU</v>
      </c>
      <c r="C89" s="11"/>
      <c r="D89" s="2">
        <f>-2820.7</f>
        <v>-2820.7</v>
      </c>
      <c r="E89" s="2"/>
      <c r="F89" s="21">
        <f t="shared" si="49"/>
        <v>-5.6243570731967993E-3</v>
      </c>
      <c r="G89" s="2"/>
      <c r="H89" s="2">
        <f>0</f>
        <v>0</v>
      </c>
      <c r="I89" s="2"/>
      <c r="J89" s="21">
        <f t="shared" si="50"/>
        <v>0</v>
      </c>
      <c r="K89" s="2"/>
      <c r="L89" s="2">
        <f t="shared" si="51"/>
        <v>-2820.7</v>
      </c>
      <c r="M89" s="2"/>
      <c r="N89" s="21">
        <f t="shared" si="52"/>
        <v>0</v>
      </c>
      <c r="O89" s="11"/>
      <c r="P89" s="2">
        <f>-3451.5</f>
        <v>-3451.5</v>
      </c>
      <c r="Q89" s="2"/>
      <c r="R89" s="21">
        <f t="shared" si="53"/>
        <v>-3.9588119765262579E-3</v>
      </c>
      <c r="S89" s="2"/>
      <c r="T89" s="2">
        <f>0</f>
        <v>0</v>
      </c>
      <c r="U89" s="2"/>
      <c r="V89" s="21">
        <f t="shared" si="54"/>
        <v>0</v>
      </c>
      <c r="W89" s="2"/>
      <c r="X89" s="2">
        <f t="shared" si="55"/>
        <v>-3451.5</v>
      </c>
      <c r="Y89" s="2"/>
      <c r="Z89" s="21">
        <f t="shared" si="56"/>
        <v>0</v>
      </c>
    </row>
    <row r="90" spans="1:26" s="24" customFormat="1" hidden="1" outlineLevel="1" x14ac:dyDescent="0.25">
      <c r="A90" s="50"/>
      <c r="B90" s="11" t="str">
        <f>CONCATENATE("          ", "9150", " - ", "MISC. INCOME")</f>
        <v xml:space="preserve">          9150 - MISC. INCOME</v>
      </c>
      <c r="C90" s="11"/>
      <c r="D90" s="2">
        <f>-1907.01</f>
        <v>-1907.01</v>
      </c>
      <c r="E90" s="2"/>
      <c r="F90" s="21">
        <f t="shared" si="49"/>
        <v>-3.8024976715556528E-3</v>
      </c>
      <c r="G90" s="2"/>
      <c r="H90" s="2">
        <f>-160.53</f>
        <v>-160.53</v>
      </c>
      <c r="I90" s="2"/>
      <c r="J90" s="21">
        <f t="shared" si="50"/>
        <v>-5.0673893654711803E-4</v>
      </c>
      <c r="K90" s="2"/>
      <c r="L90" s="2">
        <f t="shared" si="51"/>
        <v>-1746.48</v>
      </c>
      <c r="M90" s="2"/>
      <c r="N90" s="21">
        <f t="shared" si="52"/>
        <v>10.879461782844329</v>
      </c>
      <c r="O90" s="11"/>
      <c r="P90" s="2">
        <f>-2040.3</f>
        <v>-2040.3</v>
      </c>
      <c r="Q90" s="2"/>
      <c r="R90" s="21">
        <f t="shared" si="53"/>
        <v>-2.3401895047679335E-3</v>
      </c>
      <c r="S90" s="2"/>
      <c r="T90" s="2">
        <f>-499.18</f>
        <v>-499.18</v>
      </c>
      <c r="U90" s="2"/>
      <c r="V90" s="21">
        <f t="shared" si="54"/>
        <v>-6.7185174308232137E-4</v>
      </c>
      <c r="W90" s="2"/>
      <c r="X90" s="2">
        <f t="shared" si="55"/>
        <v>-1541.12</v>
      </c>
      <c r="Y90" s="2"/>
      <c r="Z90" s="21">
        <f t="shared" si="56"/>
        <v>3.0873031772106252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6" t="s">
        <v>3</v>
      </c>
      <c r="C92" s="26"/>
      <c r="D92" s="20">
        <f>+D49-D51+D87</f>
        <v>-21452.760000000078</v>
      </c>
      <c r="E92" s="13"/>
      <c r="F92" s="19">
        <f>IF(D$12=0,0,D92/D$12)</f>
        <v>-4.2775900466406856E-2</v>
      </c>
      <c r="G92" s="13"/>
      <c r="H92" s="20">
        <f>+H49-H51+H87</f>
        <v>-8277.9399999999423</v>
      </c>
      <c r="I92" s="13"/>
      <c r="J92" s="19">
        <f>IF(H$12=0,0,H92/H$12)</f>
        <v>-2.6130657898217287E-2</v>
      </c>
      <c r="K92" s="15"/>
      <c r="L92" s="20">
        <f>+D92-H92</f>
        <v>-13174.820000000136</v>
      </c>
      <c r="M92" s="15"/>
      <c r="N92" s="19">
        <f>IF(H92=0,0,L92/H92)</f>
        <v>1.5915578030283173</v>
      </c>
      <c r="O92" s="25"/>
      <c r="P92" s="20">
        <f>+P49-P51+P87</f>
        <v>-18446.709999999985</v>
      </c>
      <c r="Q92" s="13"/>
      <c r="R92" s="19">
        <f>IF(P$12=0,0,P92/P$12)</f>
        <v>-2.1158063588441727E-2</v>
      </c>
      <c r="S92" s="13"/>
      <c r="T92" s="20">
        <f>+T49-T51+T87</f>
        <v>21672.85000000002</v>
      </c>
      <c r="U92" s="13"/>
      <c r="V92" s="19">
        <f>IF(T$12=0,0,T92/T$12)</f>
        <v>2.9169722444933096E-2</v>
      </c>
      <c r="W92" s="15"/>
      <c r="X92" s="20">
        <f>+P92-T92</f>
        <v>-40119.560000000005</v>
      </c>
      <c r="Y92" s="15"/>
      <c r="Z92" s="19">
        <f>IF(T92=0,0,X92/T92)</f>
        <v>-1.8511437120637095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>
        <v>31700.05</v>
      </c>
      <c r="E94" s="4"/>
      <c r="F94" s="12">
        <f>IF(D$12=0,0,D94/D$12)</f>
        <v>6.320856540510944E-2</v>
      </c>
      <c r="G94" s="4"/>
      <c r="H94" s="4">
        <v>-11643.42</v>
      </c>
      <c r="I94" s="4"/>
      <c r="J94" s="12">
        <f>IF(H$12=0,0,H94/H$12)</f>
        <v>-3.6754340425910706E-2</v>
      </c>
      <c r="K94" s="4"/>
      <c r="L94" s="4">
        <f>+D94-H94</f>
        <v>43343.47</v>
      </c>
      <c r="M94" s="4"/>
      <c r="N94" s="12">
        <f>IF(H94=0,0,L94/H94)</f>
        <v>-3.7225720621604306</v>
      </c>
      <c r="O94" s="10"/>
      <c r="P94" s="4">
        <v>108704.09999999999</v>
      </c>
      <c r="Q94" s="4"/>
      <c r="R94" s="12">
        <f>IF(P$12=0,0,P94/P$12)</f>
        <v>0.12468175951832766</v>
      </c>
      <c r="S94" s="4"/>
      <c r="T94" s="4">
        <v>75855.91</v>
      </c>
      <c r="U94" s="4"/>
      <c r="V94" s="12">
        <f>IF(T$12=0,0,T94/T$12)</f>
        <v>0.1020952869838449</v>
      </c>
      <c r="W94" s="4"/>
      <c r="X94" s="4">
        <f>+P94-T94</f>
        <v>32848.189999999988</v>
      </c>
      <c r="Y94" s="4"/>
      <c r="Z94" s="12">
        <f>IF(T94=0,0,X94/T94)</f>
        <v>0.43303402463960933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4</v>
      </c>
      <c r="C96" s="26"/>
      <c r="D96" s="31">
        <f>+D92-D94</f>
        <v>-53152.810000000078</v>
      </c>
      <c r="E96" s="13"/>
      <c r="F96" s="36">
        <f>IF(D$12=0,0,D96/D$12)</f>
        <v>-0.1059844658715163</v>
      </c>
      <c r="G96" s="13"/>
      <c r="H96" s="31">
        <f>+H92-H94</f>
        <v>3365.4800000000578</v>
      </c>
      <c r="I96" s="13"/>
      <c r="J96" s="36">
        <f>IF(H$12=0,0,H96/H$12)</f>
        <v>1.0623682527693417E-2</v>
      </c>
      <c r="K96" s="15"/>
      <c r="L96" s="31">
        <f>D96-H96</f>
        <v>-56518.290000000139</v>
      </c>
      <c r="M96" s="15"/>
      <c r="N96" s="36">
        <f>IF(H96=0,0,L96/H96)</f>
        <v>-16.79353019480109</v>
      </c>
      <c r="O96" s="25"/>
      <c r="P96" s="31">
        <f>+P92-P94</f>
        <v>-127150.80999999997</v>
      </c>
      <c r="Q96" s="13"/>
      <c r="R96" s="36">
        <f>IF(P$12=0,0,P96/P$12)</f>
        <v>-0.14583982310676938</v>
      </c>
      <c r="S96" s="13"/>
      <c r="T96" s="31">
        <f>+T92-T94</f>
        <v>-54183.059999999983</v>
      </c>
      <c r="U96" s="13"/>
      <c r="V96" s="36">
        <f>IF(T$12=0,0,T96/T$12)</f>
        <v>-7.2925564538911802E-2</v>
      </c>
      <c r="W96" s="15"/>
      <c r="X96" s="31">
        <f>P96-T96</f>
        <v>-72967.749999999985</v>
      </c>
      <c r="Y96" s="15"/>
      <c r="Z96" s="36">
        <f>IF(T96=0,0,X96/T96)</f>
        <v>1.3466893527238957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5</v>
      </c>
      <c r="C99" s="26"/>
      <c r="D99" s="32">
        <f>SUM(D96:D98)</f>
        <v>-53152.810000000078</v>
      </c>
      <c r="E99" s="13"/>
      <c r="F99" s="30">
        <f>IF(D$12=0,0,D99/D$12)</f>
        <v>-0.1059844658715163</v>
      </c>
      <c r="G99" s="13"/>
      <c r="H99" s="32">
        <f>SUM(H96:H98)</f>
        <v>3365.4800000000578</v>
      </c>
      <c r="I99" s="13"/>
      <c r="J99" s="30">
        <f>IF(H$12=0,0,H99/H$12)</f>
        <v>1.0623682527693417E-2</v>
      </c>
      <c r="K99" s="15"/>
      <c r="L99" s="32">
        <f>+D99-H99</f>
        <v>-56518.290000000139</v>
      </c>
      <c r="M99" s="15"/>
      <c r="N99" s="30">
        <f>IF(H99=0,0,L99/H99)</f>
        <v>-16.79353019480109</v>
      </c>
      <c r="O99" s="25"/>
      <c r="P99" s="32">
        <f>SUM(P96:P98)</f>
        <v>-127150.80999999997</v>
      </c>
      <c r="Q99" s="13"/>
      <c r="R99" s="30">
        <f>IF(P$12=0,0,P99/P$12)</f>
        <v>-0.14583982310676938</v>
      </c>
      <c r="S99" s="13"/>
      <c r="T99" s="32">
        <f>SUM(T96:T98)</f>
        <v>-54183.059999999983</v>
      </c>
      <c r="U99" s="13"/>
      <c r="V99" s="30">
        <f>IF(T$12=0,0,T99/T$12)</f>
        <v>-7.2925564538911802E-2</v>
      </c>
      <c r="W99" s="15"/>
      <c r="X99" s="32">
        <f>+P99-T99</f>
        <v>-72967.749999999985</v>
      </c>
      <c r="Y99" s="15"/>
      <c r="Z99" s="30">
        <f>IF(T99=0,0,X99/T99)</f>
        <v>1.3466893527238957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7">
        <v>43732.709386655093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0" t="s">
        <v>313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6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","317", " - ", "Computer Store")</f>
        <v>Department 317 - Computer 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501515.09999999992</v>
      </c>
      <c r="E12" s="4"/>
      <c r="F12" s="12"/>
      <c r="G12" s="4"/>
      <c r="H12" s="4">
        <f>SUM(OSRRefH13x_0)</f>
        <v>316790.34000000008</v>
      </c>
      <c r="I12" s="4"/>
      <c r="J12" s="12"/>
      <c r="K12" s="4"/>
      <c r="L12" s="4">
        <f t="shared" ref="L12:L34" si="0">+D12-H12</f>
        <v>184724.75999999983</v>
      </c>
      <c r="M12" s="4"/>
      <c r="N12" s="12">
        <f t="shared" ref="N12:N34" si="1">IF(H12=0,0,L12/H12)</f>
        <v>0.58311361388102867</v>
      </c>
      <c r="O12" s="10"/>
      <c r="P12" s="4">
        <f>SUM(OSRRefP13x_0)</f>
        <v>871852.47000000009</v>
      </c>
      <c r="Q12" s="4"/>
      <c r="R12" s="12"/>
      <c r="S12" s="4"/>
      <c r="T12" s="4">
        <f>SUM(OSRRefT13x_0)</f>
        <v>742991.3</v>
      </c>
      <c r="U12" s="4"/>
      <c r="V12" s="12"/>
      <c r="W12" s="4"/>
      <c r="X12" s="4">
        <f t="shared" ref="X12:X34" si="2">+P12-T12</f>
        <v>128861.17000000004</v>
      </c>
      <c r="Y12" s="4"/>
      <c r="Z12" s="12">
        <f t="shared" ref="Z12:Z34" si="3">IF(T12=0,0,X12/T12)</f>
        <v>0.17343563780625701</v>
      </c>
    </row>
    <row r="13" spans="1:26" s="24" customFormat="1" hidden="1" outlineLevel="1" x14ac:dyDescent="0.25">
      <c r="A13" s="50"/>
      <c r="B13" s="11" t="str">
        <f>CONCATENATE("          ", "4081", " - ", "TAXABLE SALES-ELECTRONICS")</f>
        <v xml:space="preserve">          4081 - TAXABLE SALES-ELECTRONICS</v>
      </c>
      <c r="C13" s="11"/>
      <c r="D13" s="2">
        <f>--88475.34</f>
        <v>88475.34</v>
      </c>
      <c r="E13" s="2"/>
      <c r="F13" s="21"/>
      <c r="G13" s="2"/>
      <c r="H13" s="2">
        <f>--61720.96</f>
        <v>61720.959999999999</v>
      </c>
      <c r="I13" s="2"/>
      <c r="J13" s="21"/>
      <c r="K13" s="2"/>
      <c r="L13" s="2">
        <f t="shared" si="0"/>
        <v>26754.379999999997</v>
      </c>
      <c r="M13" s="2"/>
      <c r="N13" s="21">
        <f t="shared" si="1"/>
        <v>0.4334731669760159</v>
      </c>
      <c r="O13" s="11"/>
      <c r="P13" s="2">
        <f>--109419.93</f>
        <v>109419.93</v>
      </c>
      <c r="Q13" s="2"/>
      <c r="R13" s="21"/>
      <c r="S13" s="2"/>
      <c r="T13" s="2">
        <f>--78774.85</f>
        <v>78774.850000000006</v>
      </c>
      <c r="U13" s="2"/>
      <c r="V13" s="21"/>
      <c r="W13" s="2"/>
      <c r="X13" s="2">
        <f t="shared" si="2"/>
        <v>30645.079999999987</v>
      </c>
      <c r="Y13" s="2"/>
      <c r="Z13" s="21">
        <f t="shared" si="3"/>
        <v>0.38902111524172989</v>
      </c>
    </row>
    <row r="14" spans="1:26" s="24" customFormat="1" hidden="1" outlineLevel="1" x14ac:dyDescent="0.25">
      <c r="A14" s="50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--414765.04</f>
        <v>414765.04</v>
      </c>
      <c r="E14" s="2"/>
      <c r="F14" s="21"/>
      <c r="G14" s="2"/>
      <c r="H14" s="2">
        <f>--221946.98</f>
        <v>221946.98</v>
      </c>
      <c r="I14" s="2"/>
      <c r="J14" s="21"/>
      <c r="K14" s="2"/>
      <c r="L14" s="2">
        <f t="shared" si="0"/>
        <v>192818.05999999997</v>
      </c>
      <c r="M14" s="2"/>
      <c r="N14" s="21">
        <f t="shared" si="1"/>
        <v>0.86875730410929652</v>
      </c>
      <c r="O14" s="11"/>
      <c r="P14" s="2">
        <f>--813534.78</f>
        <v>813534.78</v>
      </c>
      <c r="Q14" s="2"/>
      <c r="R14" s="21"/>
      <c r="S14" s="2"/>
      <c r="T14" s="2">
        <f>--593195.81</f>
        <v>593195.81000000006</v>
      </c>
      <c r="U14" s="2"/>
      <c r="V14" s="21"/>
      <c r="W14" s="2"/>
      <c r="X14" s="2">
        <f t="shared" si="2"/>
        <v>220338.96999999997</v>
      </c>
      <c r="Y14" s="2"/>
      <c r="Z14" s="21">
        <f t="shared" si="3"/>
        <v>0.37144390820966849</v>
      </c>
    </row>
    <row r="15" spans="1:26" s="24" customFormat="1" hidden="1" outlineLevel="1" x14ac:dyDescent="0.25">
      <c r="A15" s="50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--15671.69</f>
        <v>15671.69</v>
      </c>
      <c r="E15" s="2"/>
      <c r="F15" s="21"/>
      <c r="G15" s="2"/>
      <c r="H15" s="2">
        <f>--17020.76</f>
        <v>17020.759999999998</v>
      </c>
      <c r="I15" s="2"/>
      <c r="J15" s="21"/>
      <c r="K15" s="2"/>
      <c r="L15" s="2">
        <f t="shared" si="0"/>
        <v>-1349.0699999999979</v>
      </c>
      <c r="M15" s="2"/>
      <c r="N15" s="21">
        <f t="shared" si="1"/>
        <v>-7.9260268049135177E-2</v>
      </c>
      <c r="O15" s="11"/>
      <c r="P15" s="2">
        <f>--23577.79</f>
        <v>23577.79</v>
      </c>
      <c r="Q15" s="2"/>
      <c r="R15" s="21"/>
      <c r="S15" s="2"/>
      <c r="T15" s="2">
        <f>--24438.26</f>
        <v>24438.26</v>
      </c>
      <c r="U15" s="2"/>
      <c r="V15" s="21"/>
      <c r="W15" s="2"/>
      <c r="X15" s="2">
        <f t="shared" si="2"/>
        <v>-860.46999999999753</v>
      </c>
      <c r="Y15" s="2"/>
      <c r="Z15" s="21">
        <f t="shared" si="3"/>
        <v>-3.5209953572799275E-2</v>
      </c>
    </row>
    <row r="16" spans="1:26" s="24" customFormat="1" hidden="1" outlineLevel="1" x14ac:dyDescent="0.25">
      <c r="A16" s="50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21"/>
      <c r="G16" s="2"/>
      <c r="H16" s="2">
        <f>0</f>
        <v>0</v>
      </c>
      <c r="I16" s="2"/>
      <c r="J16" s="21"/>
      <c r="K16" s="2"/>
      <c r="L16" s="2">
        <f t="shared" si="0"/>
        <v>0</v>
      </c>
      <c r="M16" s="2"/>
      <c r="N16" s="21">
        <f t="shared" si="1"/>
        <v>0</v>
      </c>
      <c r="O16" s="11"/>
      <c r="P16" s="2">
        <f>--129</f>
        <v>129</v>
      </c>
      <c r="Q16" s="2"/>
      <c r="R16" s="21"/>
      <c r="S16" s="2"/>
      <c r="T16" s="2">
        <f>--278.99</f>
        <v>278.99</v>
      </c>
      <c r="U16" s="2"/>
      <c r="V16" s="21"/>
      <c r="W16" s="2"/>
      <c r="X16" s="2">
        <f t="shared" si="2"/>
        <v>-149.99</v>
      </c>
      <c r="Y16" s="2"/>
      <c r="Z16" s="21">
        <f t="shared" si="3"/>
        <v>-0.53761783576472277</v>
      </c>
    </row>
    <row r="17" spans="1:26" s="24" customFormat="1" hidden="1" outlineLevel="1" x14ac:dyDescent="0.25">
      <c r="A17" s="50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21"/>
      <c r="G17" s="2"/>
      <c r="H17" s="2">
        <f>--4160.95</f>
        <v>4160.95</v>
      </c>
      <c r="I17" s="2"/>
      <c r="J17" s="21"/>
      <c r="K17" s="2"/>
      <c r="L17" s="2">
        <f t="shared" si="0"/>
        <v>-4160.95</v>
      </c>
      <c r="M17" s="2"/>
      <c r="N17" s="21">
        <f t="shared" si="1"/>
        <v>-1</v>
      </c>
      <c r="O17" s="11"/>
      <c r="P17" s="2">
        <f>--493.95</f>
        <v>493.95</v>
      </c>
      <c r="Q17" s="2"/>
      <c r="R17" s="21"/>
      <c r="S17" s="2"/>
      <c r="T17" s="2">
        <f>--4976.95</f>
        <v>4976.95</v>
      </c>
      <c r="U17" s="2"/>
      <c r="V17" s="21"/>
      <c r="W17" s="2"/>
      <c r="X17" s="2">
        <f t="shared" si="2"/>
        <v>-4483</v>
      </c>
      <c r="Y17" s="2"/>
      <c r="Z17" s="21">
        <f t="shared" si="3"/>
        <v>-0.90075246888154392</v>
      </c>
    </row>
    <row r="18" spans="1:26" s="24" customFormat="1" hidden="1" outlineLevel="1" x14ac:dyDescent="0.25">
      <c r="A18" s="50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--7578.27</f>
        <v>7578.27</v>
      </c>
      <c r="E18" s="2"/>
      <c r="F18" s="21"/>
      <c r="G18" s="2"/>
      <c r="H18" s="2">
        <f>--9316.97</f>
        <v>9316.9699999999993</v>
      </c>
      <c r="I18" s="2"/>
      <c r="J18" s="21"/>
      <c r="K18" s="2"/>
      <c r="L18" s="2">
        <f t="shared" si="0"/>
        <v>-1738.6999999999989</v>
      </c>
      <c r="M18" s="2"/>
      <c r="N18" s="21">
        <f t="shared" si="1"/>
        <v>-0.18661646436556081</v>
      </c>
      <c r="O18" s="11"/>
      <c r="P18" s="2">
        <f>--9558.6</f>
        <v>9558.6</v>
      </c>
      <c r="Q18" s="2"/>
      <c r="R18" s="21"/>
      <c r="S18" s="2"/>
      <c r="T18" s="2">
        <f>--13787.4</f>
        <v>13787.4</v>
      </c>
      <c r="U18" s="2"/>
      <c r="V18" s="21"/>
      <c r="W18" s="2"/>
      <c r="X18" s="2">
        <f t="shared" si="2"/>
        <v>-4228.7999999999993</v>
      </c>
      <c r="Y18" s="2"/>
      <c r="Z18" s="21">
        <f t="shared" si="3"/>
        <v>-0.30671482658079113</v>
      </c>
    </row>
    <row r="19" spans="1:26" s="24" customFormat="1" hidden="1" outlineLevel="1" x14ac:dyDescent="0.25">
      <c r="A19" s="50"/>
      <c r="B19" s="11" t="str">
        <f>CONCATENATE("          ", "4088", " - ", "TAXABLE SALES-MUSIC")</f>
        <v xml:space="preserve">          4088 - TAXABLE SALES-MUSIC</v>
      </c>
      <c r="C19" s="11"/>
      <c r="D19" s="2">
        <f>--259.98</f>
        <v>259.98</v>
      </c>
      <c r="E19" s="2"/>
      <c r="F19" s="21"/>
      <c r="G19" s="2"/>
      <c r="H19" s="2">
        <f>--357.94</f>
        <v>357.94</v>
      </c>
      <c r="I19" s="2"/>
      <c r="J19" s="21"/>
      <c r="K19" s="2"/>
      <c r="L19" s="2">
        <f t="shared" si="0"/>
        <v>-97.95999999999998</v>
      </c>
      <c r="M19" s="2"/>
      <c r="N19" s="21">
        <f t="shared" si="1"/>
        <v>-0.27367715259540698</v>
      </c>
      <c r="O19" s="11"/>
      <c r="P19" s="2">
        <f>--518.97</f>
        <v>518.97</v>
      </c>
      <c r="Q19" s="2"/>
      <c r="R19" s="21"/>
      <c r="S19" s="2"/>
      <c r="T19" s="2">
        <f>--688.93</f>
        <v>688.93</v>
      </c>
      <c r="U19" s="2"/>
      <c r="V19" s="21"/>
      <c r="W19" s="2"/>
      <c r="X19" s="2">
        <f t="shared" si="2"/>
        <v>-169.95999999999992</v>
      </c>
      <c r="Y19" s="2"/>
      <c r="Z19" s="21">
        <f t="shared" si="3"/>
        <v>-0.24670140652896511</v>
      </c>
    </row>
    <row r="20" spans="1:26" s="24" customFormat="1" hidden="1" outlineLevel="1" x14ac:dyDescent="0.25">
      <c r="A20" s="50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--87.95</f>
        <v>87.95</v>
      </c>
      <c r="E20" s="2"/>
      <c r="F20" s="21"/>
      <c r="G20" s="2"/>
      <c r="H20" s="2">
        <f>--147.95</f>
        <v>147.94999999999999</v>
      </c>
      <c r="I20" s="2"/>
      <c r="J20" s="21"/>
      <c r="K20" s="2"/>
      <c r="L20" s="2">
        <f t="shared" si="0"/>
        <v>-59.999999999999986</v>
      </c>
      <c r="M20" s="2"/>
      <c r="N20" s="21">
        <f t="shared" si="1"/>
        <v>-0.40554241297735716</v>
      </c>
      <c r="O20" s="11"/>
      <c r="P20" s="2">
        <f>--1390.56</f>
        <v>1390.56</v>
      </c>
      <c r="Q20" s="2"/>
      <c r="R20" s="21"/>
      <c r="S20" s="2"/>
      <c r="T20" s="2">
        <f>--341.97</f>
        <v>341.97</v>
      </c>
      <c r="U20" s="2"/>
      <c r="V20" s="21"/>
      <c r="W20" s="2"/>
      <c r="X20" s="2">
        <f t="shared" si="2"/>
        <v>1048.5899999999999</v>
      </c>
      <c r="Y20" s="2"/>
      <c r="Z20" s="21">
        <f t="shared" si="3"/>
        <v>3.066321607158522</v>
      </c>
    </row>
    <row r="21" spans="1:26" s="24" customFormat="1" hidden="1" outlineLevel="1" x14ac:dyDescent="0.25">
      <c r="A21" s="50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--19953</f>
        <v>19953</v>
      </c>
      <c r="E21" s="2"/>
      <c r="F21" s="21"/>
      <c r="G21" s="2"/>
      <c r="H21" s="2">
        <f>--12039</f>
        <v>12039</v>
      </c>
      <c r="I21" s="2"/>
      <c r="J21" s="21"/>
      <c r="K21" s="2"/>
      <c r="L21" s="2">
        <f t="shared" si="0"/>
        <v>7914</v>
      </c>
      <c r="M21" s="2"/>
      <c r="N21" s="21">
        <f t="shared" si="1"/>
        <v>0.65736356840269128</v>
      </c>
      <c r="O21" s="11"/>
      <c r="P21" s="2">
        <f>--30571</f>
        <v>30571</v>
      </c>
      <c r="Q21" s="2"/>
      <c r="R21" s="21"/>
      <c r="S21" s="2"/>
      <c r="T21" s="2">
        <f>--43165.98</f>
        <v>43165.98</v>
      </c>
      <c r="U21" s="2"/>
      <c r="V21" s="21"/>
      <c r="W21" s="2"/>
      <c r="X21" s="2">
        <f t="shared" si="2"/>
        <v>-12594.980000000003</v>
      </c>
      <c r="Y21" s="2"/>
      <c r="Z21" s="21">
        <f t="shared" si="3"/>
        <v>-0.29178023990188573</v>
      </c>
    </row>
    <row r="22" spans="1:26" s="24" customFormat="1" hidden="1" outlineLevel="1" x14ac:dyDescent="0.25">
      <c r="A22" s="50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--974.39</f>
        <v>974.39</v>
      </c>
      <c r="E22" s="2"/>
      <c r="F22" s="21"/>
      <c r="G22" s="2"/>
      <c r="H22" s="2">
        <f>--492.77</f>
        <v>492.77</v>
      </c>
      <c r="I22" s="2"/>
      <c r="J22" s="21"/>
      <c r="K22" s="2"/>
      <c r="L22" s="2">
        <f t="shared" si="0"/>
        <v>481.62</v>
      </c>
      <c r="M22" s="2"/>
      <c r="N22" s="21">
        <f t="shared" si="1"/>
        <v>0.97737281084481609</v>
      </c>
      <c r="O22" s="11"/>
      <c r="P22" s="2">
        <f>--1156.29</f>
        <v>1156.29</v>
      </c>
      <c r="Q22" s="2"/>
      <c r="R22" s="21"/>
      <c r="S22" s="2"/>
      <c r="T22" s="2">
        <f>--681.72</f>
        <v>681.72</v>
      </c>
      <c r="U22" s="2"/>
      <c r="V22" s="21"/>
      <c r="W22" s="2"/>
      <c r="X22" s="2">
        <f t="shared" si="2"/>
        <v>474.56999999999994</v>
      </c>
      <c r="Y22" s="2"/>
      <c r="Z22" s="21">
        <f t="shared" si="3"/>
        <v>0.696136243619081</v>
      </c>
    </row>
    <row r="23" spans="1:26" s="24" customFormat="1" hidden="1" outlineLevel="1" x14ac:dyDescent="0.25">
      <c r="A23" s="50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--1522</f>
        <v>1522</v>
      </c>
      <c r="E23" s="2"/>
      <c r="F23" s="21"/>
      <c r="G23" s="2"/>
      <c r="H23" s="2">
        <f>--99</f>
        <v>99</v>
      </c>
      <c r="I23" s="2"/>
      <c r="J23" s="21"/>
      <c r="K23" s="2"/>
      <c r="L23" s="2">
        <f t="shared" si="0"/>
        <v>1423</v>
      </c>
      <c r="M23" s="2"/>
      <c r="N23" s="21">
        <f t="shared" si="1"/>
        <v>14.373737373737374</v>
      </c>
      <c r="O23" s="11"/>
      <c r="P23" s="2">
        <f>--1522</f>
        <v>1522</v>
      </c>
      <c r="Q23" s="2"/>
      <c r="R23" s="21"/>
      <c r="S23" s="2"/>
      <c r="T23" s="2">
        <f>--99</f>
        <v>99</v>
      </c>
      <c r="U23" s="2"/>
      <c r="V23" s="21"/>
      <c r="W23" s="2"/>
      <c r="X23" s="2">
        <f t="shared" si="2"/>
        <v>1423</v>
      </c>
      <c r="Y23" s="2"/>
      <c r="Z23" s="21">
        <f t="shared" si="3"/>
        <v>14.373737373737374</v>
      </c>
    </row>
    <row r="24" spans="1:26" s="24" customFormat="1" hidden="1" outlineLevel="1" x14ac:dyDescent="0.25">
      <c r="A24" s="50"/>
      <c r="B24" s="11" t="str">
        <f>CONCATENATE("          ", "4185", " - ", "NON-TAXABLE SALES-SOFTWARE")</f>
        <v xml:space="preserve">          4185 - NON-TAXABLE SALES-SOFTWARE</v>
      </c>
      <c r="C24" s="11"/>
      <c r="D24" s="2">
        <f>--3770</f>
        <v>3770</v>
      </c>
      <c r="E24" s="2"/>
      <c r="F24" s="21"/>
      <c r="G24" s="2"/>
      <c r="H24" s="2">
        <f>--1152.94</f>
        <v>1152.94</v>
      </c>
      <c r="I24" s="2"/>
      <c r="J24" s="21"/>
      <c r="K24" s="2"/>
      <c r="L24" s="2">
        <f t="shared" si="0"/>
        <v>2617.06</v>
      </c>
      <c r="M24" s="2"/>
      <c r="N24" s="21">
        <f t="shared" si="1"/>
        <v>2.2699012958176485</v>
      </c>
      <c r="O24" s="11"/>
      <c r="P24" s="2">
        <f>--4522</f>
        <v>4522</v>
      </c>
      <c r="Q24" s="2"/>
      <c r="R24" s="21"/>
      <c r="S24" s="2"/>
      <c r="T24" s="2">
        <f>--1921.92</f>
        <v>1921.92</v>
      </c>
      <c r="U24" s="2"/>
      <c r="V24" s="21"/>
      <c r="W24" s="2"/>
      <c r="X24" s="2">
        <f t="shared" si="2"/>
        <v>2600.08</v>
      </c>
      <c r="Y24" s="2"/>
      <c r="Z24" s="21">
        <f t="shared" si="3"/>
        <v>1.3528554778554778</v>
      </c>
    </row>
    <row r="25" spans="1:26" s="24" customFormat="1" hidden="1" outlineLevel="1" x14ac:dyDescent="0.25">
      <c r="A25" s="50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--194.93</f>
        <v>194.93</v>
      </c>
      <c r="E25" s="2"/>
      <c r="F25" s="21"/>
      <c r="G25" s="2"/>
      <c r="H25" s="2">
        <f>--485.2</f>
        <v>485.2</v>
      </c>
      <c r="I25" s="2"/>
      <c r="J25" s="21"/>
      <c r="K25" s="2"/>
      <c r="L25" s="2">
        <f t="shared" si="0"/>
        <v>-290.27</v>
      </c>
      <c r="M25" s="2"/>
      <c r="N25" s="21">
        <f t="shared" si="1"/>
        <v>-0.59824814509480628</v>
      </c>
      <c r="O25" s="11"/>
      <c r="P25" s="2">
        <f>--274.9</f>
        <v>274.89999999999998</v>
      </c>
      <c r="Q25" s="2"/>
      <c r="R25" s="21"/>
      <c r="S25" s="2"/>
      <c r="T25" s="2">
        <f>--1324.43</f>
        <v>1324.43</v>
      </c>
      <c r="U25" s="2"/>
      <c r="V25" s="21"/>
      <c r="W25" s="2"/>
      <c r="X25" s="2">
        <f t="shared" si="2"/>
        <v>-1049.5300000000002</v>
      </c>
      <c r="Y25" s="2"/>
      <c r="Z25" s="21">
        <f t="shared" si="3"/>
        <v>-0.79243901149928664</v>
      </c>
    </row>
    <row r="26" spans="1:26" s="24" customFormat="1" hidden="1" outlineLevel="1" x14ac:dyDescent="0.25">
      <c r="A26" s="50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21"/>
      <c r="G26" s="2"/>
      <c r="H26" s="2">
        <f>0</f>
        <v>0</v>
      </c>
      <c r="I26" s="2"/>
      <c r="J26" s="21"/>
      <c r="K26" s="2"/>
      <c r="L26" s="2">
        <f t="shared" si="0"/>
        <v>0</v>
      </c>
      <c r="M26" s="2"/>
      <c r="N26" s="21">
        <f t="shared" si="1"/>
        <v>0</v>
      </c>
      <c r="O26" s="11"/>
      <c r="P26" s="2">
        <f>--99.98</f>
        <v>99.98</v>
      </c>
      <c r="Q26" s="2"/>
      <c r="R26" s="21"/>
      <c r="S26" s="2"/>
      <c r="T26" s="2">
        <f>--199.98</f>
        <v>199.98</v>
      </c>
      <c r="U26" s="2"/>
      <c r="V26" s="21"/>
      <c r="W26" s="2"/>
      <c r="X26" s="2">
        <f t="shared" si="2"/>
        <v>-99.999999999999986</v>
      </c>
      <c r="Y26" s="2"/>
      <c r="Z26" s="21">
        <f t="shared" si="3"/>
        <v>-0.50005000500050001</v>
      </c>
    </row>
    <row r="27" spans="1:26" s="24" customFormat="1" hidden="1" outlineLevel="1" x14ac:dyDescent="0.25">
      <c r="A27" s="50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-575.76</f>
        <v>-575.76</v>
      </c>
      <c r="E27" s="2"/>
      <c r="F27" s="21"/>
      <c r="G27" s="2"/>
      <c r="H27" s="2">
        <f>-1454.43</f>
        <v>-1454.43</v>
      </c>
      <c r="I27" s="2"/>
      <c r="J27" s="21"/>
      <c r="K27" s="2"/>
      <c r="L27" s="2">
        <f t="shared" si="0"/>
        <v>878.67000000000007</v>
      </c>
      <c r="M27" s="2"/>
      <c r="N27" s="21">
        <f t="shared" si="1"/>
        <v>-0.60413357810276191</v>
      </c>
      <c r="O27" s="11"/>
      <c r="P27" s="2">
        <f>-2234.75</f>
        <v>-2234.75</v>
      </c>
      <c r="Q27" s="2"/>
      <c r="R27" s="21"/>
      <c r="S27" s="2"/>
      <c r="T27" s="2">
        <f>-1784.37</f>
        <v>-1784.37</v>
      </c>
      <c r="U27" s="2"/>
      <c r="V27" s="21"/>
      <c r="W27" s="2"/>
      <c r="X27" s="2">
        <f t="shared" si="2"/>
        <v>-450.38000000000011</v>
      </c>
      <c r="Y27" s="2"/>
      <c r="Z27" s="21">
        <f t="shared" si="3"/>
        <v>0.25240280883449068</v>
      </c>
    </row>
    <row r="28" spans="1:26" s="24" customFormat="1" hidden="1" outlineLevel="1" x14ac:dyDescent="0.25">
      <c r="A28" s="50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-49848.66</f>
        <v>-49848.66</v>
      </c>
      <c r="E28" s="2"/>
      <c r="F28" s="21"/>
      <c r="G28" s="2"/>
      <c r="H28" s="2">
        <f>-9198.35</f>
        <v>-9198.35</v>
      </c>
      <c r="I28" s="2"/>
      <c r="J28" s="21"/>
      <c r="K28" s="2"/>
      <c r="L28" s="2">
        <f t="shared" si="0"/>
        <v>-40650.310000000005</v>
      </c>
      <c r="M28" s="2"/>
      <c r="N28" s="21">
        <f t="shared" si="1"/>
        <v>4.4193045491854521</v>
      </c>
      <c r="O28" s="11"/>
      <c r="P28" s="2">
        <f>-120189.72</f>
        <v>-120189.72</v>
      </c>
      <c r="Q28" s="2"/>
      <c r="R28" s="21"/>
      <c r="S28" s="2"/>
      <c r="T28" s="2">
        <f>-17349.35</f>
        <v>-17349.349999999999</v>
      </c>
      <c r="U28" s="2"/>
      <c r="V28" s="21"/>
      <c r="W28" s="2"/>
      <c r="X28" s="2">
        <f t="shared" si="2"/>
        <v>-102840.37</v>
      </c>
      <c r="Y28" s="2"/>
      <c r="Z28" s="21">
        <f t="shared" si="3"/>
        <v>5.927620919515717</v>
      </c>
    </row>
    <row r="29" spans="1:26" s="24" customFormat="1" hidden="1" outlineLevel="1" x14ac:dyDescent="0.25">
      <c r="A29" s="50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-503.89</f>
        <v>-503.89</v>
      </c>
      <c r="E29" s="2"/>
      <c r="F29" s="21"/>
      <c r="G29" s="2"/>
      <c r="H29" s="2">
        <f>-672.01</f>
        <v>-672.01</v>
      </c>
      <c r="I29" s="2"/>
      <c r="J29" s="21"/>
      <c r="K29" s="2"/>
      <c r="L29" s="2">
        <f t="shared" si="0"/>
        <v>168.12</v>
      </c>
      <c r="M29" s="2"/>
      <c r="N29" s="21">
        <f t="shared" si="1"/>
        <v>-0.2501748485885627</v>
      </c>
      <c r="O29" s="11"/>
      <c r="P29" s="2">
        <f>-730.69</f>
        <v>-730.69</v>
      </c>
      <c r="Q29" s="2"/>
      <c r="R29" s="21"/>
      <c r="S29" s="2"/>
      <c r="T29" s="2">
        <f>-879.91</f>
        <v>-879.91</v>
      </c>
      <c r="U29" s="2"/>
      <c r="V29" s="21"/>
      <c r="W29" s="2"/>
      <c r="X29" s="2">
        <f t="shared" si="2"/>
        <v>149.21999999999991</v>
      </c>
      <c r="Y29" s="2"/>
      <c r="Z29" s="21">
        <f t="shared" si="3"/>
        <v>-0.16958552579241049</v>
      </c>
    </row>
    <row r="30" spans="1:26" s="24" customFormat="1" hidden="1" outlineLevel="1" x14ac:dyDescent="0.25">
      <c r="A30" s="50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>-129</f>
        <v>-129</v>
      </c>
      <c r="E30" s="2"/>
      <c r="F30" s="21"/>
      <c r="G30" s="2"/>
      <c r="H30" s="2">
        <f t="shared" ref="H30:H31" si="5">0</f>
        <v>0</v>
      </c>
      <c r="I30" s="2"/>
      <c r="J30" s="21"/>
      <c r="K30" s="2"/>
      <c r="L30" s="2">
        <f t="shared" si="0"/>
        <v>-129</v>
      </c>
      <c r="M30" s="2"/>
      <c r="N30" s="21">
        <f t="shared" si="1"/>
        <v>0</v>
      </c>
      <c r="O30" s="11"/>
      <c r="P30" s="2">
        <f>-129</f>
        <v>-129</v>
      </c>
      <c r="Q30" s="2"/>
      <c r="R30" s="21"/>
      <c r="S30" s="2"/>
      <c r="T30" s="2">
        <f t="shared" ref="T30:T31" si="6">0</f>
        <v>0</v>
      </c>
      <c r="U30" s="2"/>
      <c r="V30" s="21"/>
      <c r="W30" s="2"/>
      <c r="X30" s="2">
        <f t="shared" si="2"/>
        <v>-129</v>
      </c>
      <c r="Y30" s="2"/>
      <c r="Z30" s="21">
        <f t="shared" si="3"/>
        <v>0</v>
      </c>
    </row>
    <row r="31" spans="1:26" s="24" customFormat="1" hidden="1" outlineLevel="1" x14ac:dyDescent="0.25">
      <c r="A31" s="50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>0</f>
        <v>0</v>
      </c>
      <c r="E31" s="2"/>
      <c r="F31" s="21"/>
      <c r="G31" s="2"/>
      <c r="H31" s="2">
        <f t="shared" si="5"/>
        <v>0</v>
      </c>
      <c r="I31" s="2"/>
      <c r="J31" s="21"/>
      <c r="K31" s="2"/>
      <c r="L31" s="2">
        <f t="shared" si="0"/>
        <v>0</v>
      </c>
      <c r="M31" s="2"/>
      <c r="N31" s="21">
        <f t="shared" si="1"/>
        <v>0</v>
      </c>
      <c r="O31" s="11"/>
      <c r="P31" s="2">
        <f>-406.99</f>
        <v>-406.99</v>
      </c>
      <c r="Q31" s="2"/>
      <c r="R31" s="21"/>
      <c r="S31" s="2"/>
      <c r="T31" s="2">
        <f t="shared" si="6"/>
        <v>0</v>
      </c>
      <c r="U31" s="2"/>
      <c r="V31" s="21"/>
      <c r="W31" s="2"/>
      <c r="X31" s="2">
        <f t="shared" si="2"/>
        <v>-406.99</v>
      </c>
      <c r="Y31" s="2"/>
      <c r="Z31" s="21">
        <f t="shared" si="3"/>
        <v>0</v>
      </c>
    </row>
    <row r="32" spans="1:26" s="24" customFormat="1" hidden="1" outlineLevel="1" x14ac:dyDescent="0.25">
      <c r="A32" s="50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-635.2</f>
        <v>-635.20000000000005</v>
      </c>
      <c r="E32" s="2"/>
      <c r="F32" s="21"/>
      <c r="G32" s="2"/>
      <c r="H32" s="2">
        <f>-826.29</f>
        <v>-826.29</v>
      </c>
      <c r="I32" s="2"/>
      <c r="J32" s="21"/>
      <c r="K32" s="2"/>
      <c r="L32" s="2">
        <f t="shared" si="0"/>
        <v>191.08999999999992</v>
      </c>
      <c r="M32" s="2"/>
      <c r="N32" s="21">
        <f t="shared" si="1"/>
        <v>-0.23126263176366643</v>
      </c>
      <c r="O32" s="11"/>
      <c r="P32" s="2">
        <f>-1181.15</f>
        <v>-1181.1500000000001</v>
      </c>
      <c r="Q32" s="2"/>
      <c r="R32" s="21"/>
      <c r="S32" s="2"/>
      <c r="T32" s="2">
        <f>-871.26</f>
        <v>-871.26</v>
      </c>
      <c r="U32" s="2"/>
      <c r="V32" s="21"/>
      <c r="W32" s="2"/>
      <c r="X32" s="2">
        <f t="shared" si="2"/>
        <v>-309.8900000000001</v>
      </c>
      <c r="Y32" s="2"/>
      <c r="Z32" s="21">
        <f t="shared" si="3"/>
        <v>0.35568027913596412</v>
      </c>
    </row>
    <row r="33" spans="1:26" s="24" customFormat="1" hidden="1" outlineLevel="1" x14ac:dyDescent="0.25">
      <c r="A33" s="50"/>
      <c r="B33" s="11" t="str">
        <f>CONCATENATE("          ", "4383", " - ", "SALES RETURN NON TAXABLE-COMPU")</f>
        <v xml:space="preserve">          4383 - SALES RETURN NON TAXABLE-COMPU</v>
      </c>
      <c r="C33" s="11"/>
      <c r="D33" s="2">
        <f>-24.99</f>
        <v>-24.99</v>
      </c>
      <c r="E33" s="2"/>
      <c r="F33" s="21"/>
      <c r="G33" s="2"/>
      <c r="H33" s="2">
        <f t="shared" ref="H33:H34" si="7">0</f>
        <v>0</v>
      </c>
      <c r="I33" s="2"/>
      <c r="J33" s="21"/>
      <c r="K33" s="2"/>
      <c r="L33" s="2">
        <f t="shared" si="0"/>
        <v>-24.99</v>
      </c>
      <c r="M33" s="2"/>
      <c r="N33" s="21">
        <f t="shared" si="1"/>
        <v>0</v>
      </c>
      <c r="O33" s="11"/>
      <c r="P33" s="2">
        <f>-24.99</f>
        <v>-24.99</v>
      </c>
      <c r="Q33" s="2"/>
      <c r="R33" s="21"/>
      <c r="S33" s="2"/>
      <c r="T33" s="2">
        <f t="shared" ref="T33:T34" si="8">0</f>
        <v>0</v>
      </c>
      <c r="U33" s="2"/>
      <c r="V33" s="21"/>
      <c r="W33" s="2"/>
      <c r="X33" s="2">
        <f t="shared" si="2"/>
        <v>-24.99</v>
      </c>
      <c r="Y33" s="2"/>
      <c r="Z33" s="21">
        <f t="shared" si="3"/>
        <v>0</v>
      </c>
    </row>
    <row r="34" spans="1:26" s="24" customFormat="1" hidden="1" outlineLevel="1" x14ac:dyDescent="0.25">
      <c r="A34" s="50"/>
      <c r="B34" s="11" t="str">
        <f>CONCATENATE("          ", "4386", " - ", "SALES RETURN NON TAXABLE-COMPU")</f>
        <v xml:space="preserve">          4386 - SALES RETURN NON TAXABLE-COMPU</v>
      </c>
      <c r="C34" s="11"/>
      <c r="D34" s="2">
        <f>-19.99</f>
        <v>-19.989999999999998</v>
      </c>
      <c r="E34" s="2"/>
      <c r="F34" s="21"/>
      <c r="G34" s="2"/>
      <c r="H34" s="2">
        <f t="shared" si="7"/>
        <v>0</v>
      </c>
      <c r="I34" s="2"/>
      <c r="J34" s="21"/>
      <c r="K34" s="2"/>
      <c r="L34" s="2">
        <f t="shared" si="0"/>
        <v>-19.989999999999998</v>
      </c>
      <c r="M34" s="2"/>
      <c r="N34" s="21">
        <f t="shared" si="1"/>
        <v>0</v>
      </c>
      <c r="O34" s="11"/>
      <c r="P34" s="2">
        <f>-19.99</f>
        <v>-19.989999999999998</v>
      </c>
      <c r="Q34" s="2"/>
      <c r="R34" s="21"/>
      <c r="S34" s="2"/>
      <c r="T34" s="2">
        <f t="shared" si="8"/>
        <v>0</v>
      </c>
      <c r="U34" s="2"/>
      <c r="V34" s="21"/>
      <c r="W34" s="2"/>
      <c r="X34" s="2">
        <f t="shared" si="2"/>
        <v>-19.989999999999998</v>
      </c>
      <c r="Y34" s="2"/>
      <c r="Z34" s="21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5" t="s">
        <v>8</v>
      </c>
      <c r="C36" s="10"/>
      <c r="D36" s="4">
        <f>SUM(OSRRefD16x_0)</f>
        <v>455074.88</v>
      </c>
      <c r="E36" s="4"/>
      <c r="F36" s="12">
        <f t="shared" ref="F36:F47" si="9">IF(D$12=0,0,D36/D$12)</f>
        <v>0.90740015604714608</v>
      </c>
      <c r="G36" s="4"/>
      <c r="H36" s="4">
        <f>SUM(OSRRefH16x_0)</f>
        <v>273284.78000000003</v>
      </c>
      <c r="I36" s="4"/>
      <c r="J36" s="12">
        <f t="shared" ref="J36:J47" si="10">IF(H$12=0,0,H36/H$12)</f>
        <v>0.8626676558382429</v>
      </c>
      <c r="K36" s="4"/>
      <c r="L36" s="4">
        <f t="shared" ref="L36:L47" si="11">+D36-H36</f>
        <v>181790.09999999998</v>
      </c>
      <c r="M36" s="4"/>
      <c r="N36" s="12">
        <f t="shared" ref="N36:N47" si="12">IF(H36=0,0,L36/H36)</f>
        <v>0.66520389463328311</v>
      </c>
      <c r="O36" s="10"/>
      <c r="P36" s="4">
        <f>SUM(OSRRefP16x_0)</f>
        <v>797395.07000000007</v>
      </c>
      <c r="Q36" s="4"/>
      <c r="R36" s="12">
        <f t="shared" ref="R36:R47" si="13">IF(P$12=0,0,P36/P$12)</f>
        <v>0.91459862469621722</v>
      </c>
      <c r="S36" s="4"/>
      <c r="T36" s="4">
        <f>SUM(OSRRefT16x_0)</f>
        <v>644112.28</v>
      </c>
      <c r="U36" s="4"/>
      <c r="V36" s="12">
        <f t="shared" ref="V36:V47" si="14">IF(T$12=0,0,T36/T$12)</f>
        <v>0.86691766108163038</v>
      </c>
      <c r="W36" s="4"/>
      <c r="X36" s="4">
        <f t="shared" ref="X36:X47" si="15">+P36-T36</f>
        <v>153282.79000000004</v>
      </c>
      <c r="Y36" s="4"/>
      <c r="Z36" s="12">
        <f t="shared" ref="Z36:Z47" si="16">IF(T36=0,0,X36/T36)</f>
        <v>0.23797526418841142</v>
      </c>
    </row>
    <row r="37" spans="1:26" s="24" customFormat="1" hidden="1" outlineLevel="1" x14ac:dyDescent="0.25">
      <c r="A37" s="50"/>
      <c r="B37" s="11" t="str">
        <f>CONCATENATE("          ", "5081", " - ", "PURCHASES @ COST-ELECTRONICS")</f>
        <v xml:space="preserve">          5081 - PURCHASES @ COST-ELECTRONICS</v>
      </c>
      <c r="C37" s="11"/>
      <c r="D37" s="2">
        <v>17400.329999999998</v>
      </c>
      <c r="E37" s="2"/>
      <c r="F37" s="21">
        <f t="shared" si="9"/>
        <v>3.4695525618271515E-2</v>
      </c>
      <c r="G37" s="2"/>
      <c r="H37" s="2">
        <v>31537.619999999995</v>
      </c>
      <c r="I37" s="2"/>
      <c r="J37" s="21">
        <f t="shared" si="10"/>
        <v>9.9553603812540456E-2</v>
      </c>
      <c r="K37" s="2"/>
      <c r="L37" s="2">
        <f t="shared" si="11"/>
        <v>-14137.289999999997</v>
      </c>
      <c r="M37" s="2"/>
      <c r="N37" s="21">
        <f t="shared" si="12"/>
        <v>-0.44826749767420621</v>
      </c>
      <c r="O37" s="11"/>
      <c r="P37" s="2">
        <v>83458.680000000008</v>
      </c>
      <c r="Q37" s="2"/>
      <c r="R37" s="21">
        <f t="shared" si="13"/>
        <v>9.5725690838497024E-2</v>
      </c>
      <c r="S37" s="2"/>
      <c r="T37" s="2">
        <v>88549.31</v>
      </c>
      <c r="U37" s="2"/>
      <c r="V37" s="21">
        <f t="shared" si="14"/>
        <v>0.11917947087671146</v>
      </c>
      <c r="W37" s="2"/>
      <c r="X37" s="2">
        <f t="shared" si="15"/>
        <v>-5090.6299999999901</v>
      </c>
      <c r="Y37" s="2"/>
      <c r="Z37" s="21">
        <f t="shared" si="16"/>
        <v>-5.7489211378383302E-2</v>
      </c>
    </row>
    <row r="38" spans="1:26" s="24" customFormat="1" hidden="1" outlineLevel="1" x14ac:dyDescent="0.25">
      <c r="A38" s="50"/>
      <c r="B38" s="11" t="str">
        <f>CONCATENATE("          ", "5082", " - ", "PURCHASES @ COST-COMPUTER HARD")</f>
        <v xml:space="preserve">          5082 - PURCHASES @ COST-COMPUTER HARD</v>
      </c>
      <c r="C38" s="11"/>
      <c r="D38" s="2">
        <v>317062.93</v>
      </c>
      <c r="E38" s="2"/>
      <c r="F38" s="21">
        <f t="shared" si="9"/>
        <v>0.63221013684333738</v>
      </c>
      <c r="G38" s="2"/>
      <c r="H38" s="2">
        <v>109084.24</v>
      </c>
      <c r="I38" s="2"/>
      <c r="J38" s="21">
        <f t="shared" si="10"/>
        <v>0.34434206548091073</v>
      </c>
      <c r="K38" s="2"/>
      <c r="L38" s="2">
        <f t="shared" si="11"/>
        <v>207978.69</v>
      </c>
      <c r="M38" s="2"/>
      <c r="N38" s="21">
        <f t="shared" si="12"/>
        <v>1.9065878810724628</v>
      </c>
      <c r="O38" s="11"/>
      <c r="P38" s="2">
        <v>673622.9</v>
      </c>
      <c r="Q38" s="2"/>
      <c r="R38" s="21">
        <f t="shared" si="13"/>
        <v>0.77263404438138483</v>
      </c>
      <c r="S38" s="2"/>
      <c r="T38" s="2">
        <v>404938.56</v>
      </c>
      <c r="U38" s="2"/>
      <c r="V38" s="21">
        <f t="shared" si="14"/>
        <v>0.5450111730783388</v>
      </c>
      <c r="W38" s="2"/>
      <c r="X38" s="2">
        <f t="shared" si="15"/>
        <v>268684.34000000003</v>
      </c>
      <c r="Y38" s="2"/>
      <c r="Z38" s="21">
        <f t="shared" si="16"/>
        <v>0.66351878171345313</v>
      </c>
    </row>
    <row r="39" spans="1:26" s="24" customFormat="1" hidden="1" outlineLevel="1" x14ac:dyDescent="0.25">
      <c r="A39" s="50"/>
      <c r="B39" s="11" t="str">
        <f>CONCATENATE("          ", "5083", " - ", "PURCHASES @ COST-COMPUTER EQUI")</f>
        <v xml:space="preserve">          5083 - PURCHASES @ COST-COMPUTER EQUI</v>
      </c>
      <c r="C39" s="11"/>
      <c r="D39" s="2">
        <v>9916.2999999999993</v>
      </c>
      <c r="E39" s="2"/>
      <c r="F39" s="21">
        <f t="shared" si="9"/>
        <v>1.9772684810487263E-2</v>
      </c>
      <c r="G39" s="2"/>
      <c r="H39" s="2">
        <v>7539.72</v>
      </c>
      <c r="I39" s="2"/>
      <c r="J39" s="21">
        <f t="shared" si="10"/>
        <v>2.3800346942397292E-2</v>
      </c>
      <c r="K39" s="2"/>
      <c r="L39" s="2">
        <f t="shared" si="11"/>
        <v>2376.579999999999</v>
      </c>
      <c r="M39" s="2"/>
      <c r="N39" s="21">
        <f t="shared" si="12"/>
        <v>0.31520799180871423</v>
      </c>
      <c r="O39" s="11"/>
      <c r="P39" s="2">
        <v>17192.439999999999</v>
      </c>
      <c r="Q39" s="2"/>
      <c r="R39" s="21">
        <f t="shared" si="13"/>
        <v>1.9719437165785624E-2</v>
      </c>
      <c r="S39" s="2"/>
      <c r="T39" s="2">
        <v>14422.32</v>
      </c>
      <c r="U39" s="2"/>
      <c r="V39" s="21">
        <f t="shared" si="14"/>
        <v>1.941115595835375E-2</v>
      </c>
      <c r="W39" s="2"/>
      <c r="X39" s="2">
        <f t="shared" si="15"/>
        <v>2770.119999999999</v>
      </c>
      <c r="Y39" s="2"/>
      <c r="Z39" s="21">
        <f t="shared" si="16"/>
        <v>0.19207173325789464</v>
      </c>
    </row>
    <row r="40" spans="1:26" s="24" customFormat="1" hidden="1" outlineLevel="1" x14ac:dyDescent="0.25">
      <c r="A40" s="50"/>
      <c r="B40" s="11" t="str">
        <f>CONCATENATE("          ", "5084", " - ", "PURCHASES @ COST-SOFTWARE LICE")</f>
        <v xml:space="preserve">          5084 - PURCHASES @ COST-SOFTWARE LICE</v>
      </c>
      <c r="C40" s="11"/>
      <c r="D40" s="2">
        <v>1522</v>
      </c>
      <c r="E40" s="2"/>
      <c r="F40" s="21">
        <f t="shared" si="9"/>
        <v>3.0348039371097704E-3</v>
      </c>
      <c r="G40" s="2"/>
      <c r="H40" s="2">
        <v>99</v>
      </c>
      <c r="I40" s="2"/>
      <c r="J40" s="21">
        <f t="shared" si="10"/>
        <v>3.1250952917314328E-4</v>
      </c>
      <c r="K40" s="2"/>
      <c r="L40" s="2">
        <f t="shared" si="11"/>
        <v>1423</v>
      </c>
      <c r="M40" s="2"/>
      <c r="N40" s="21">
        <f t="shared" si="12"/>
        <v>14.373737373737374</v>
      </c>
      <c r="O40" s="11"/>
      <c r="P40" s="2">
        <v>1522</v>
      </c>
      <c r="Q40" s="2"/>
      <c r="R40" s="21">
        <f t="shared" si="13"/>
        <v>1.7457081930386685E-3</v>
      </c>
      <c r="S40" s="2"/>
      <c r="T40" s="2">
        <v>99</v>
      </c>
      <c r="U40" s="2"/>
      <c r="V40" s="21">
        <f t="shared" si="14"/>
        <v>1.3324516720451503E-4</v>
      </c>
      <c r="W40" s="2"/>
      <c r="X40" s="2">
        <f t="shared" si="15"/>
        <v>1423</v>
      </c>
      <c r="Y40" s="2"/>
      <c r="Z40" s="21">
        <f t="shared" si="16"/>
        <v>14.373737373737374</v>
      </c>
    </row>
    <row r="41" spans="1:26" s="24" customFormat="1" hidden="1" outlineLevel="1" x14ac:dyDescent="0.25">
      <c r="A41" s="50"/>
      <c r="B41" s="11" t="str">
        <f>CONCATENATE("          ", "5085", " - ", "PURCHASES @ COST-SOFTWARE")</f>
        <v xml:space="preserve">          5085 - PURCHASES @ COST-SOFTWARE</v>
      </c>
      <c r="C41" s="11"/>
      <c r="D41" s="2">
        <v>3368</v>
      </c>
      <c r="E41" s="2"/>
      <c r="F41" s="21">
        <f t="shared" si="9"/>
        <v>6.7156502366528953E-3</v>
      </c>
      <c r="G41" s="2"/>
      <c r="H41" s="2">
        <v>2054.88</v>
      </c>
      <c r="I41" s="2"/>
      <c r="J41" s="21">
        <f t="shared" si="10"/>
        <v>6.4865614273465523E-3</v>
      </c>
      <c r="K41" s="2"/>
      <c r="L41" s="2">
        <f t="shared" si="11"/>
        <v>1313.12</v>
      </c>
      <c r="M41" s="2"/>
      <c r="N41" s="21">
        <f t="shared" si="12"/>
        <v>0.63902514988709791</v>
      </c>
      <c r="O41" s="11"/>
      <c r="P41" s="2">
        <v>3368</v>
      </c>
      <c r="Q41" s="2"/>
      <c r="R41" s="21">
        <f t="shared" si="13"/>
        <v>3.8630388923483806E-3</v>
      </c>
      <c r="S41" s="2"/>
      <c r="T41" s="2">
        <v>2054.88</v>
      </c>
      <c r="U41" s="2"/>
      <c r="V41" s="21">
        <f t="shared" si="14"/>
        <v>2.7656851432849888E-3</v>
      </c>
      <c r="W41" s="2"/>
      <c r="X41" s="2">
        <f t="shared" si="15"/>
        <v>1313.12</v>
      </c>
      <c r="Y41" s="2"/>
      <c r="Z41" s="21">
        <f t="shared" si="16"/>
        <v>0.63902514988709791</v>
      </c>
    </row>
    <row r="42" spans="1:26" s="24" customFormat="1" hidden="1" outlineLevel="1" x14ac:dyDescent="0.25">
      <c r="A42" s="50"/>
      <c r="B42" s="11" t="str">
        <f>CONCATENATE("          ", "5086", " - ", "PURCHASES @ COST-COMPUTER SUPP")</f>
        <v xml:space="preserve">          5086 - PURCHASES @ COST-COMPUTER SUPP</v>
      </c>
      <c r="C42" s="11"/>
      <c r="D42" s="2">
        <v>2779.81</v>
      </c>
      <c r="E42" s="2"/>
      <c r="F42" s="21">
        <f t="shared" si="9"/>
        <v>5.5428241343082199E-3</v>
      </c>
      <c r="G42" s="2"/>
      <c r="H42" s="2">
        <v>-390.81</v>
      </c>
      <c r="I42" s="2"/>
      <c r="J42" s="21">
        <f t="shared" si="10"/>
        <v>-1.2336550413753144E-3</v>
      </c>
      <c r="K42" s="2"/>
      <c r="L42" s="2">
        <f t="shared" si="11"/>
        <v>3170.62</v>
      </c>
      <c r="M42" s="2"/>
      <c r="N42" s="21">
        <f t="shared" si="12"/>
        <v>-8.1129449092909596</v>
      </c>
      <c r="O42" s="11"/>
      <c r="P42" s="2">
        <v>6206.88</v>
      </c>
      <c r="Q42" s="2"/>
      <c r="R42" s="21">
        <f t="shared" si="13"/>
        <v>7.1191861164309131E-3</v>
      </c>
      <c r="S42" s="2"/>
      <c r="T42" s="2">
        <v>6111.51</v>
      </c>
      <c r="U42" s="2"/>
      <c r="V42" s="21">
        <f t="shared" si="14"/>
        <v>8.2255471901218763E-3</v>
      </c>
      <c r="W42" s="2"/>
      <c r="X42" s="2">
        <f t="shared" si="15"/>
        <v>95.369999999999891</v>
      </c>
      <c r="Y42" s="2"/>
      <c r="Z42" s="21">
        <f t="shared" si="16"/>
        <v>1.5604981420303638E-2</v>
      </c>
    </row>
    <row r="43" spans="1:26" s="24" customFormat="1" hidden="1" outlineLevel="1" x14ac:dyDescent="0.25">
      <c r="A43" s="50"/>
      <c r="B43" s="11" t="str">
        <f>CONCATENATE("          ", "5088", " - ", "PURCHASES @ COST-MUSIC")</f>
        <v xml:space="preserve">          5088 - PURCHASES @ COST-MUSIC</v>
      </c>
      <c r="C43" s="11"/>
      <c r="D43" s="2"/>
      <c r="E43" s="2"/>
      <c r="F43" s="21">
        <f t="shared" si="9"/>
        <v>0</v>
      </c>
      <c r="G43" s="2"/>
      <c r="H43" s="2">
        <v>-160.12</v>
      </c>
      <c r="I43" s="2"/>
      <c r="J43" s="21">
        <f t="shared" si="10"/>
        <v>-5.0544470516367373E-4</v>
      </c>
      <c r="K43" s="2"/>
      <c r="L43" s="2">
        <f t="shared" si="11"/>
        <v>160.12</v>
      </c>
      <c r="M43" s="2"/>
      <c r="N43" s="21">
        <f t="shared" si="12"/>
        <v>-1</v>
      </c>
      <c r="O43" s="11"/>
      <c r="P43" s="2">
        <v>82</v>
      </c>
      <c r="Q43" s="2"/>
      <c r="R43" s="21">
        <f t="shared" si="13"/>
        <v>9.4052609611807364E-5</v>
      </c>
      <c r="S43" s="2"/>
      <c r="T43" s="2">
        <v>84.74</v>
      </c>
      <c r="U43" s="2"/>
      <c r="V43" s="21">
        <f t="shared" si="14"/>
        <v>1.1405247948394549E-4</v>
      </c>
      <c r="W43" s="2"/>
      <c r="X43" s="2">
        <f t="shared" si="15"/>
        <v>-2.7399999999999949</v>
      </c>
      <c r="Y43" s="2"/>
      <c r="Z43" s="21">
        <f t="shared" si="16"/>
        <v>-3.2334198725513276E-2</v>
      </c>
    </row>
    <row r="44" spans="1:26" s="24" customFormat="1" hidden="1" outlineLevel="1" x14ac:dyDescent="0.25">
      <c r="A44" s="50"/>
      <c r="B44" s="11" t="str">
        <f>CONCATENATE("          ", "5200", " - ", "PURCHASES OFFSET")</f>
        <v xml:space="preserve">          5200 - PURCHASES OFFSET</v>
      </c>
      <c r="C44" s="11"/>
      <c r="D44" s="2">
        <v>-352082</v>
      </c>
      <c r="E44" s="2"/>
      <c r="F44" s="21">
        <f t="shared" si="9"/>
        <v>-0.70203668842672939</v>
      </c>
      <c r="G44" s="2"/>
      <c r="H44" s="2">
        <v>-149801</v>
      </c>
      <c r="I44" s="2"/>
      <c r="J44" s="21">
        <f t="shared" si="10"/>
        <v>-0.47287111090571754</v>
      </c>
      <c r="K44" s="2"/>
      <c r="L44" s="2">
        <f t="shared" si="11"/>
        <v>-202281</v>
      </c>
      <c r="M44" s="2"/>
      <c r="N44" s="21">
        <f t="shared" si="12"/>
        <v>1.3503314397100152</v>
      </c>
      <c r="O44" s="11"/>
      <c r="P44" s="2">
        <v>-785522</v>
      </c>
      <c r="Q44" s="2"/>
      <c r="R44" s="21">
        <f t="shared" si="13"/>
        <v>-0.90098041472544077</v>
      </c>
      <c r="S44" s="2"/>
      <c r="T44" s="2">
        <v>-516318</v>
      </c>
      <c r="U44" s="2"/>
      <c r="V44" s="21">
        <f t="shared" si="14"/>
        <v>-0.69491796202728073</v>
      </c>
      <c r="W44" s="2"/>
      <c r="X44" s="2">
        <f t="shared" si="15"/>
        <v>-269204</v>
      </c>
      <c r="Y44" s="2"/>
      <c r="Z44" s="21">
        <f t="shared" si="16"/>
        <v>0.52139185540693911</v>
      </c>
    </row>
    <row r="45" spans="1:26" s="24" customFormat="1" hidden="1" outlineLevel="1" x14ac:dyDescent="0.25">
      <c r="A45" s="50"/>
      <c r="B45" s="11" t="str">
        <f>CONCATENATE("          ", "5300", " - ", "COG$ OFFSET")</f>
        <v xml:space="preserve">          5300 - COG$ OFFSET</v>
      </c>
      <c r="C45" s="11"/>
      <c r="D45" s="2">
        <v>455074</v>
      </c>
      <c r="E45" s="2"/>
      <c r="F45" s="21">
        <f t="shared" si="9"/>
        <v>0.90739840136418637</v>
      </c>
      <c r="G45" s="2"/>
      <c r="H45" s="2">
        <v>273285</v>
      </c>
      <c r="I45" s="2"/>
      <c r="J45" s="21">
        <f t="shared" si="10"/>
        <v>0.86266835030386324</v>
      </c>
      <c r="K45" s="2"/>
      <c r="L45" s="2">
        <f t="shared" si="11"/>
        <v>181789</v>
      </c>
      <c r="M45" s="2"/>
      <c r="N45" s="21">
        <f t="shared" si="12"/>
        <v>0.66519933402857823</v>
      </c>
      <c r="O45" s="11"/>
      <c r="P45" s="2">
        <v>797394</v>
      </c>
      <c r="Q45" s="2"/>
      <c r="R45" s="21">
        <f t="shared" si="13"/>
        <v>0.91459739742435997</v>
      </c>
      <c r="S45" s="2"/>
      <c r="T45" s="2">
        <v>644113</v>
      </c>
      <c r="U45" s="2"/>
      <c r="V45" s="21">
        <f t="shared" si="14"/>
        <v>0.8669186301373919</v>
      </c>
      <c r="W45" s="2"/>
      <c r="X45" s="2">
        <f t="shared" si="15"/>
        <v>153281</v>
      </c>
      <c r="Y45" s="2"/>
      <c r="Z45" s="21">
        <f t="shared" si="16"/>
        <v>0.23797221916030262</v>
      </c>
    </row>
    <row r="46" spans="1:26" s="24" customFormat="1" hidden="1" outlineLevel="1" x14ac:dyDescent="0.25">
      <c r="A46" s="50"/>
      <c r="B46" s="11" t="str">
        <f>CONCATENATE("          ", "5583", " - ", "FREIGHT-IN-COMPUTER EQUIPMENT")</f>
        <v xml:space="preserve">          5583 - FREIGHT-IN-COMPUTER EQUIPMENT</v>
      </c>
      <c r="C46" s="11"/>
      <c r="D46" s="2">
        <v>26.15</v>
      </c>
      <c r="E46" s="2"/>
      <c r="F46" s="21">
        <f t="shared" si="9"/>
        <v>5.2141999313679692E-5</v>
      </c>
      <c r="G46" s="2"/>
      <c r="H46" s="2">
        <v>8.27</v>
      </c>
      <c r="I46" s="2"/>
      <c r="J46" s="21">
        <f t="shared" si="10"/>
        <v>2.6105594002645402E-5</v>
      </c>
      <c r="K46" s="2"/>
      <c r="L46" s="2">
        <f t="shared" si="11"/>
        <v>17.88</v>
      </c>
      <c r="M46" s="2"/>
      <c r="N46" s="21">
        <f t="shared" si="12"/>
        <v>2.1620314389359128</v>
      </c>
      <c r="O46" s="11"/>
      <c r="P46" s="2">
        <v>33.14</v>
      </c>
      <c r="Q46" s="2"/>
      <c r="R46" s="21">
        <f t="shared" si="13"/>
        <v>3.8011018079698734E-5</v>
      </c>
      <c r="S46" s="2"/>
      <c r="T46" s="2">
        <v>8.27</v>
      </c>
      <c r="U46" s="2"/>
      <c r="V46" s="21">
        <f t="shared" si="14"/>
        <v>1.1130682149306458E-5</v>
      </c>
      <c r="W46" s="2"/>
      <c r="X46" s="2">
        <f t="shared" si="15"/>
        <v>24.87</v>
      </c>
      <c r="Y46" s="2"/>
      <c r="Z46" s="21">
        <f t="shared" si="16"/>
        <v>3.0072551390568321</v>
      </c>
    </row>
    <row r="47" spans="1:26" s="24" customFormat="1" hidden="1" outlineLevel="1" x14ac:dyDescent="0.25">
      <c r="A47" s="50"/>
      <c r="B47" s="11" t="str">
        <f>CONCATENATE("          ", "5586", " - ", "FREIGHT-IN-COMPUTER SUPPLIES")</f>
        <v xml:space="preserve">          5586 - FREIGHT-IN-COMPUTER SUPPLIES</v>
      </c>
      <c r="C47" s="11"/>
      <c r="D47" s="2">
        <v>7.36</v>
      </c>
      <c r="E47" s="2"/>
      <c r="F47" s="21">
        <f t="shared" si="9"/>
        <v>1.4675530208362623E-5</v>
      </c>
      <c r="G47" s="2"/>
      <c r="H47" s="2">
        <v>27.98</v>
      </c>
      <c r="I47" s="2"/>
      <c r="J47" s="21">
        <f t="shared" si="10"/>
        <v>8.8323400265298473E-5</v>
      </c>
      <c r="K47" s="2"/>
      <c r="L47" s="2">
        <f t="shared" si="11"/>
        <v>-20.62</v>
      </c>
      <c r="M47" s="2"/>
      <c r="N47" s="21">
        <f t="shared" si="12"/>
        <v>-0.73695496783416725</v>
      </c>
      <c r="O47" s="11"/>
      <c r="P47" s="2">
        <v>37.03</v>
      </c>
      <c r="Q47" s="2"/>
      <c r="R47" s="21">
        <f t="shared" si="13"/>
        <v>4.247278212103935E-5</v>
      </c>
      <c r="S47" s="2"/>
      <c r="T47" s="2">
        <v>48.69</v>
      </c>
      <c r="U47" s="2"/>
      <c r="V47" s="21">
        <f t="shared" si="14"/>
        <v>6.5532395870584206E-5</v>
      </c>
      <c r="W47" s="2"/>
      <c r="X47" s="2">
        <f t="shared" si="15"/>
        <v>-11.659999999999997</v>
      </c>
      <c r="Y47" s="2"/>
      <c r="Z47" s="21">
        <f t="shared" si="16"/>
        <v>-0.23947422468679394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6" t="s">
        <v>6</v>
      </c>
      <c r="C49" s="26"/>
      <c r="D49" s="20">
        <f>D12-D36</f>
        <v>46440.219999999914</v>
      </c>
      <c r="E49" s="13"/>
      <c r="F49" s="19">
        <f>IF(D$12=0,0,D49/D$12)</f>
        <v>9.2599843952853908E-2</v>
      </c>
      <c r="G49" s="13"/>
      <c r="H49" s="20">
        <f>H12-H36</f>
        <v>43505.560000000056</v>
      </c>
      <c r="I49" s="13"/>
      <c r="J49" s="19">
        <f>IF(H$12=0,0,H49/H$12)</f>
        <v>0.1373323441617571</v>
      </c>
      <c r="K49" s="15"/>
      <c r="L49" s="20">
        <f>+D49-H49</f>
        <v>2934.659999999858</v>
      </c>
      <c r="M49" s="15"/>
      <c r="N49" s="19">
        <f>IF(H49=0,0,L49/H49)</f>
        <v>6.7454826463556702E-2</v>
      </c>
      <c r="O49" s="25"/>
      <c r="P49" s="20">
        <f>P12-P36</f>
        <v>74457.400000000023</v>
      </c>
      <c r="Q49" s="13"/>
      <c r="R49" s="19">
        <f>IF(P$12=0,0,P49/P$12)</f>
        <v>8.5401375303782778E-2</v>
      </c>
      <c r="S49" s="13"/>
      <c r="T49" s="20">
        <f>T12-T36</f>
        <v>98879.020000000019</v>
      </c>
      <c r="U49" s="13"/>
      <c r="V49" s="19">
        <f>IF(T$12=0,0,T49/T$12)</f>
        <v>0.1330823389183696</v>
      </c>
      <c r="W49" s="15"/>
      <c r="X49" s="20">
        <f>+P49-T49</f>
        <v>-24421.619999999995</v>
      </c>
      <c r="Y49" s="15"/>
      <c r="Z49" s="19">
        <f>IF(T49=0,0,X49/T49)</f>
        <v>-0.24698485078027665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5" t="s">
        <v>9</v>
      </c>
      <c r="C51" s="10"/>
      <c r="D51" s="22">
        <f>SUM(OSRRefD22x_0)</f>
        <v>64865.639999999992</v>
      </c>
      <c r="E51" s="22"/>
      <c r="F51" s="33">
        <f t="shared" ref="F51:F61" si="17">IF(D$12=0,0,D51/D$12)</f>
        <v>0.12933935588380091</v>
      </c>
      <c r="G51" s="22"/>
      <c r="H51" s="22">
        <f>SUM(OSRRefH22x_0)</f>
        <v>52056.92</v>
      </c>
      <c r="I51" s="22"/>
      <c r="J51" s="33">
        <f t="shared" ref="J51:J61" si="18">IF(H$12=0,0,H51/H$12)</f>
        <v>0.1643260965596362</v>
      </c>
      <c r="K51" s="4"/>
      <c r="L51" s="22">
        <f t="shared" ref="L51:L61" si="19">+D51-H51</f>
        <v>12808.719999999994</v>
      </c>
      <c r="M51" s="4"/>
      <c r="N51" s="33">
        <f t="shared" ref="N51:N61" si="20">IF(H51=0,0,L51/H51)</f>
        <v>0.24605220593150717</v>
      </c>
      <c r="O51" s="10"/>
      <c r="P51" s="22">
        <f>SUM(OSRRefP22x_0)</f>
        <v>89894.57</v>
      </c>
      <c r="Q51" s="22"/>
      <c r="R51" s="33">
        <f t="shared" ref="R51:R61" si="21">IF(P$12=0,0,P51/P$12)</f>
        <v>0.10310754754184501</v>
      </c>
      <c r="S51" s="22"/>
      <c r="T51" s="22">
        <f>SUM(OSRRefT22x_0)</f>
        <v>77455.67</v>
      </c>
      <c r="U51" s="22"/>
      <c r="V51" s="33">
        <f t="shared" ref="V51:V61" si="22">IF(T$12=0,0,T51/T$12)</f>
        <v>0.10424842121300747</v>
      </c>
      <c r="W51" s="4"/>
      <c r="X51" s="22">
        <f t="shared" ref="X51:X61" si="23">+P51-T51</f>
        <v>12438.900000000009</v>
      </c>
      <c r="Y51" s="4"/>
      <c r="Z51" s="33">
        <f t="shared" ref="Z51:Z61" si="24">IF(T51=0,0,X51/T51)</f>
        <v>0.16059379513468813</v>
      </c>
    </row>
    <row r="52" spans="1:26" s="27" customFormat="1" outlineLevel="1" collapsed="1" x14ac:dyDescent="0.25">
      <c r="A52" s="28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2410.7799999999997</v>
      </c>
      <c r="E52" s="1"/>
      <c r="F52" s="5">
        <f t="shared" si="17"/>
        <v>4.8069938472440812E-3</v>
      </c>
      <c r="G52" s="1"/>
      <c r="H52" s="1">
        <f>SUM(OSRRefH22_0x_0)</f>
        <v>2639.81</v>
      </c>
      <c r="I52" s="1"/>
      <c r="J52" s="5">
        <f t="shared" si="18"/>
        <v>8.3329876788540945E-3</v>
      </c>
      <c r="K52" s="1"/>
      <c r="L52" s="1">
        <f t="shared" si="19"/>
        <v>-229.0300000000002</v>
      </c>
      <c r="M52" s="1"/>
      <c r="N52" s="5">
        <f t="shared" si="20"/>
        <v>-8.6760031971998067E-2</v>
      </c>
      <c r="O52" s="14"/>
      <c r="P52" s="1">
        <f>SUM(OSRRefP22_0x_0)</f>
        <v>5129.54</v>
      </c>
      <c r="Q52" s="1"/>
      <c r="R52" s="5">
        <f t="shared" si="21"/>
        <v>5.8834954037579306E-3</v>
      </c>
      <c r="S52" s="1"/>
      <c r="T52" s="1">
        <f>SUM(OSRRefT22_0x_0)</f>
        <v>4956.5400000000009</v>
      </c>
      <c r="U52" s="1"/>
      <c r="V52" s="5">
        <f t="shared" si="22"/>
        <v>6.6710606167259302E-3</v>
      </c>
      <c r="W52" s="1"/>
      <c r="X52" s="1">
        <f t="shared" si="23"/>
        <v>172.99999999999909</v>
      </c>
      <c r="Y52" s="1"/>
      <c r="Z52" s="5">
        <f t="shared" si="24"/>
        <v>3.4903380180528971E-2</v>
      </c>
    </row>
    <row r="53" spans="1:26" s="24" customFormat="1" hidden="1" outlineLevel="2" x14ac:dyDescent="0.25">
      <c r="A53" s="29"/>
      <c r="B53" s="11" t="str">
        <f>CONCATENATE("          ", "6111", " - ", "F.I.C.A.")</f>
        <v xml:space="preserve">          6111 - F.I.C.A.</v>
      </c>
      <c r="C53" s="11"/>
      <c r="D53" s="7">
        <v>577.69000000000005</v>
      </c>
      <c r="E53" s="2"/>
      <c r="F53" s="6">
        <f t="shared" si="17"/>
        <v>1.1518895443028538E-3</v>
      </c>
      <c r="G53" s="2"/>
      <c r="H53" s="7">
        <v>726.92</v>
      </c>
      <c r="I53" s="2"/>
      <c r="J53" s="6">
        <f t="shared" si="18"/>
        <v>2.2946406762276899E-3</v>
      </c>
      <c r="K53" s="2"/>
      <c r="L53" s="7">
        <f t="shared" si="19"/>
        <v>-149.2299999999999</v>
      </c>
      <c r="M53" s="2"/>
      <c r="N53" s="6">
        <f t="shared" si="20"/>
        <v>-0.20529081604578209</v>
      </c>
      <c r="O53" s="11"/>
      <c r="P53" s="7">
        <v>1075.54</v>
      </c>
      <c r="Q53" s="2"/>
      <c r="R53" s="6">
        <f t="shared" si="21"/>
        <v>1.2336261431936987E-3</v>
      </c>
      <c r="S53" s="2"/>
      <c r="T53" s="7">
        <v>1328.22</v>
      </c>
      <c r="U53" s="2"/>
      <c r="V53" s="6">
        <f t="shared" si="22"/>
        <v>1.7876656160038481E-3</v>
      </c>
      <c r="W53" s="2"/>
      <c r="X53" s="7">
        <f t="shared" si="23"/>
        <v>-252.68000000000006</v>
      </c>
      <c r="Y53" s="2"/>
      <c r="Z53" s="6">
        <f t="shared" si="24"/>
        <v>-0.19023956874614151</v>
      </c>
    </row>
    <row r="54" spans="1:26" s="24" customFormat="1" hidden="1" outlineLevel="2" x14ac:dyDescent="0.25">
      <c r="A54" s="29"/>
      <c r="B54" s="11" t="str">
        <f>CONCATENATE("          ", "6112", " - ", "COMPENSATION INSURANCE")</f>
        <v xml:space="preserve">          6112 - COMPENSATION INSURANCE</v>
      </c>
      <c r="C54" s="11"/>
      <c r="D54" s="7">
        <v>133.99</v>
      </c>
      <c r="E54" s="2"/>
      <c r="F54" s="6">
        <f t="shared" si="17"/>
        <v>2.6717042019273207E-4</v>
      </c>
      <c r="G54" s="2"/>
      <c r="H54" s="7">
        <v>113.88</v>
      </c>
      <c r="I54" s="2"/>
      <c r="J54" s="6">
        <f t="shared" si="18"/>
        <v>3.5948065840643996E-4</v>
      </c>
      <c r="K54" s="2"/>
      <c r="L54" s="7">
        <f t="shared" si="19"/>
        <v>20.110000000000014</v>
      </c>
      <c r="M54" s="2"/>
      <c r="N54" s="6">
        <f t="shared" si="20"/>
        <v>0.17658939234281712</v>
      </c>
      <c r="O54" s="11"/>
      <c r="P54" s="7">
        <v>257.64</v>
      </c>
      <c r="Q54" s="2"/>
      <c r="R54" s="6">
        <f t="shared" si="21"/>
        <v>2.9550871146812252E-4</v>
      </c>
      <c r="S54" s="2"/>
      <c r="T54" s="7">
        <v>261.2</v>
      </c>
      <c r="U54" s="2"/>
      <c r="V54" s="6">
        <f t="shared" si="22"/>
        <v>3.515518956951447E-4</v>
      </c>
      <c r="W54" s="2"/>
      <c r="X54" s="7">
        <f t="shared" si="23"/>
        <v>-3.5600000000000023</v>
      </c>
      <c r="Y54" s="2"/>
      <c r="Z54" s="6">
        <f t="shared" si="24"/>
        <v>-1.3629402756508433E-2</v>
      </c>
    </row>
    <row r="55" spans="1:26" s="24" customFormat="1" hidden="1" outlineLevel="2" x14ac:dyDescent="0.25">
      <c r="A55" s="29"/>
      <c r="B55" s="11" t="str">
        <f>CONCATENATE("          ", "6113", " - ", "GROUP INSURANCE")</f>
        <v xml:space="preserve">          6113 - GROUP INSURANCE</v>
      </c>
      <c r="C55" s="11"/>
      <c r="D55" s="7">
        <v>964.88</v>
      </c>
      <c r="E55" s="2"/>
      <c r="F55" s="6">
        <f t="shared" si="17"/>
        <v>1.9239301069897997E-3</v>
      </c>
      <c r="G55" s="2"/>
      <c r="H55" s="7">
        <v>1029.08</v>
      </c>
      <c r="I55" s="2"/>
      <c r="J55" s="6">
        <f t="shared" si="18"/>
        <v>3.2484576392070529E-3</v>
      </c>
      <c r="K55" s="2"/>
      <c r="L55" s="7">
        <f t="shared" si="19"/>
        <v>-64.199999999999932</v>
      </c>
      <c r="M55" s="2"/>
      <c r="N55" s="6">
        <f t="shared" si="20"/>
        <v>-6.2385820344385216E-2</v>
      </c>
      <c r="O55" s="11"/>
      <c r="P55" s="7">
        <v>1929.76</v>
      </c>
      <c r="Q55" s="2"/>
      <c r="R55" s="6">
        <f t="shared" si="21"/>
        <v>2.2134019990790411E-3</v>
      </c>
      <c r="S55" s="2"/>
      <c r="T55" s="7">
        <v>1422.34</v>
      </c>
      <c r="U55" s="2"/>
      <c r="V55" s="6">
        <f t="shared" si="22"/>
        <v>1.9143427386027264E-3</v>
      </c>
      <c r="W55" s="2"/>
      <c r="X55" s="7">
        <f t="shared" si="23"/>
        <v>507.42000000000007</v>
      </c>
      <c r="Y55" s="2"/>
      <c r="Z55" s="6">
        <f t="shared" si="24"/>
        <v>0.35675014412868944</v>
      </c>
    </row>
    <row r="56" spans="1:26" s="24" customFormat="1" hidden="1" outlineLevel="2" x14ac:dyDescent="0.25">
      <c r="A56" s="29"/>
      <c r="B56" s="11" t="str">
        <f>CONCATENATE("          ", "6114", " - ", "STATE UNEMPLOYMENT INSURANCE")</f>
        <v xml:space="preserve">          6114 - STATE UNEMPLOYMENT INSURANCE</v>
      </c>
      <c r="C56" s="11"/>
      <c r="D56" s="7">
        <v>18.34</v>
      </c>
      <c r="E56" s="2"/>
      <c r="F56" s="6">
        <f t="shared" si="17"/>
        <v>3.656918804638186E-5</v>
      </c>
      <c r="G56" s="2"/>
      <c r="H56" s="7">
        <v>24.88</v>
      </c>
      <c r="I56" s="2"/>
      <c r="J56" s="6">
        <f t="shared" si="18"/>
        <v>7.8537748341694992E-5</v>
      </c>
      <c r="K56" s="2"/>
      <c r="L56" s="7">
        <f t="shared" si="19"/>
        <v>-6.5399999999999991</v>
      </c>
      <c r="M56" s="2"/>
      <c r="N56" s="6">
        <f t="shared" si="20"/>
        <v>-0.26286173633440513</v>
      </c>
      <c r="O56" s="11"/>
      <c r="P56" s="7">
        <v>35.26</v>
      </c>
      <c r="Q56" s="2"/>
      <c r="R56" s="6">
        <f t="shared" si="21"/>
        <v>4.0442622133077162E-5</v>
      </c>
      <c r="S56" s="2"/>
      <c r="T56" s="7">
        <v>57.07</v>
      </c>
      <c r="U56" s="2"/>
      <c r="V56" s="6">
        <f t="shared" si="22"/>
        <v>7.6811128205673461E-5</v>
      </c>
      <c r="W56" s="2"/>
      <c r="X56" s="7">
        <f t="shared" si="23"/>
        <v>-21.810000000000002</v>
      </c>
      <c r="Y56" s="2"/>
      <c r="Z56" s="6">
        <f t="shared" si="24"/>
        <v>-0.38216225687751887</v>
      </c>
    </row>
    <row r="57" spans="1:26" s="24" customFormat="1" hidden="1" outlineLevel="2" x14ac:dyDescent="0.25">
      <c r="A57" s="29"/>
      <c r="B57" s="11" t="str">
        <f>CONCATENATE("          ", "6115", " - ", "P.E.R.S.")</f>
        <v xml:space="preserve">          6115 - P.E.R.S.</v>
      </c>
      <c r="C57" s="11"/>
      <c r="D57" s="7">
        <v>183.4</v>
      </c>
      <c r="E57" s="2"/>
      <c r="F57" s="6">
        <f t="shared" si="17"/>
        <v>3.6569188046381863E-4</v>
      </c>
      <c r="G57" s="2"/>
      <c r="H57" s="7">
        <v>174.42</v>
      </c>
      <c r="I57" s="2"/>
      <c r="J57" s="6">
        <f t="shared" si="18"/>
        <v>5.5058497048868324E-4</v>
      </c>
      <c r="K57" s="2"/>
      <c r="L57" s="7">
        <f t="shared" si="19"/>
        <v>8.9800000000000182</v>
      </c>
      <c r="M57" s="2"/>
      <c r="N57" s="6">
        <f t="shared" si="20"/>
        <v>5.1484921453961809E-2</v>
      </c>
      <c r="O57" s="11"/>
      <c r="P57" s="7">
        <v>366.8</v>
      </c>
      <c r="Q57" s="2"/>
      <c r="R57" s="6">
        <f t="shared" si="21"/>
        <v>4.2071338055623103E-4</v>
      </c>
      <c r="S57" s="2"/>
      <c r="T57" s="7">
        <v>433.51</v>
      </c>
      <c r="U57" s="2"/>
      <c r="V57" s="6">
        <f t="shared" si="22"/>
        <v>5.8346578216999308E-4</v>
      </c>
      <c r="W57" s="2"/>
      <c r="X57" s="7">
        <f t="shared" si="23"/>
        <v>-66.70999999999998</v>
      </c>
      <c r="Y57" s="2"/>
      <c r="Z57" s="6">
        <f t="shared" si="24"/>
        <v>-0.15388341676085898</v>
      </c>
    </row>
    <row r="58" spans="1:26" s="24" customFormat="1" hidden="1" outlineLevel="2" x14ac:dyDescent="0.25">
      <c r="A58" s="29"/>
      <c r="B58" s="11" t="str">
        <f>CONCATENATE("          ", "6117", " - ", "RETIREMENT STAFF HOURLY")</f>
        <v xml:space="preserve">          6117 - RETIREMENT STAFF HOURLY</v>
      </c>
      <c r="C58" s="11"/>
      <c r="D58" s="7">
        <v>110.86</v>
      </c>
      <c r="E58" s="2"/>
      <c r="F58" s="6">
        <f t="shared" si="17"/>
        <v>2.2105017376346199E-4</v>
      </c>
      <c r="G58" s="2"/>
      <c r="H58" s="7">
        <v>156.15</v>
      </c>
      <c r="I58" s="2"/>
      <c r="J58" s="6">
        <f t="shared" si="18"/>
        <v>4.9291275737763963E-4</v>
      </c>
      <c r="K58" s="2"/>
      <c r="L58" s="7">
        <f t="shared" si="19"/>
        <v>-45.290000000000006</v>
      </c>
      <c r="M58" s="2"/>
      <c r="N58" s="6">
        <f t="shared" si="20"/>
        <v>-0.29004162664105032</v>
      </c>
      <c r="O58" s="11"/>
      <c r="P58" s="7">
        <v>250.98</v>
      </c>
      <c r="Q58" s="2"/>
      <c r="R58" s="6">
        <f t="shared" si="21"/>
        <v>2.8786980439477329E-4</v>
      </c>
      <c r="S58" s="2"/>
      <c r="T58" s="7">
        <v>307.25</v>
      </c>
      <c r="U58" s="2"/>
      <c r="V58" s="6">
        <f t="shared" si="22"/>
        <v>4.1353108710694185E-4</v>
      </c>
      <c r="W58" s="2"/>
      <c r="X58" s="7">
        <f t="shared" si="23"/>
        <v>-56.27000000000001</v>
      </c>
      <c r="Y58" s="2"/>
      <c r="Z58" s="6">
        <f t="shared" si="24"/>
        <v>-0.18314076484947114</v>
      </c>
    </row>
    <row r="59" spans="1:26" s="24" customFormat="1" hidden="1" outlineLevel="2" x14ac:dyDescent="0.25">
      <c r="A59" s="29"/>
      <c r="B59" s="11" t="str">
        <f>CONCATENATE("          ", "6118", " - ", "VACATION")</f>
        <v xml:space="preserve">          6118 - VACATION</v>
      </c>
      <c r="C59" s="11"/>
      <c r="D59" s="7">
        <v>151.31</v>
      </c>
      <c r="E59" s="2"/>
      <c r="F59" s="6">
        <f t="shared" si="17"/>
        <v>3.0170577117219407E-4</v>
      </c>
      <c r="G59" s="2"/>
      <c r="H59" s="7">
        <v>146.9</v>
      </c>
      <c r="I59" s="2"/>
      <c r="J59" s="6">
        <f t="shared" si="18"/>
        <v>4.6371363470237121E-4</v>
      </c>
      <c r="K59" s="2"/>
      <c r="L59" s="7">
        <f t="shared" si="19"/>
        <v>4.4099999999999966</v>
      </c>
      <c r="M59" s="2"/>
      <c r="N59" s="6">
        <f t="shared" si="20"/>
        <v>3.0020422055820263E-2</v>
      </c>
      <c r="O59" s="11"/>
      <c r="P59" s="7">
        <v>464.63</v>
      </c>
      <c r="Q59" s="2"/>
      <c r="R59" s="6">
        <f t="shared" si="21"/>
        <v>5.3292273175529331E-4</v>
      </c>
      <c r="S59" s="2"/>
      <c r="T59" s="7">
        <v>443.72</v>
      </c>
      <c r="U59" s="2"/>
      <c r="V59" s="6">
        <f t="shared" si="22"/>
        <v>5.9720753123219613E-4</v>
      </c>
      <c r="W59" s="2"/>
      <c r="X59" s="7">
        <f t="shared" si="23"/>
        <v>20.909999999999968</v>
      </c>
      <c r="Y59" s="2"/>
      <c r="Z59" s="6">
        <f t="shared" si="24"/>
        <v>4.7124312629586149E-2</v>
      </c>
    </row>
    <row r="60" spans="1:26" s="24" customFormat="1" hidden="1" outlineLevel="2" x14ac:dyDescent="0.25">
      <c r="A60" s="29"/>
      <c r="B60" s="11" t="str">
        <f>CONCATENATE("          ", "6119", " - ", "SICK LEAVE")</f>
        <v xml:space="preserve">          6119 - SICK LEAVE</v>
      </c>
      <c r="C60" s="11"/>
      <c r="D60" s="7">
        <v>121.11</v>
      </c>
      <c r="E60" s="2"/>
      <c r="F60" s="6">
        <f t="shared" si="17"/>
        <v>2.4148824232809744E-4</v>
      </c>
      <c r="G60" s="2"/>
      <c r="H60" s="7">
        <v>117.58</v>
      </c>
      <c r="I60" s="2"/>
      <c r="J60" s="6">
        <f t="shared" si="18"/>
        <v>3.7116030747654731E-4</v>
      </c>
      <c r="K60" s="2"/>
      <c r="L60" s="7">
        <f t="shared" si="19"/>
        <v>3.5300000000000011</v>
      </c>
      <c r="M60" s="2"/>
      <c r="N60" s="6">
        <f t="shared" si="20"/>
        <v>3.0022112604184394E-2</v>
      </c>
      <c r="O60" s="11"/>
      <c r="P60" s="7">
        <v>449.73</v>
      </c>
      <c r="Q60" s="2"/>
      <c r="R60" s="6">
        <f t="shared" si="21"/>
        <v>5.1583268439900159E-4</v>
      </c>
      <c r="S60" s="2"/>
      <c r="T60" s="7">
        <v>403.23</v>
      </c>
      <c r="U60" s="2"/>
      <c r="V60" s="6">
        <f t="shared" si="22"/>
        <v>5.427116037563293E-4</v>
      </c>
      <c r="W60" s="2"/>
      <c r="X60" s="7">
        <f t="shared" si="23"/>
        <v>46.5</v>
      </c>
      <c r="Y60" s="2"/>
      <c r="Z60" s="6">
        <f t="shared" si="24"/>
        <v>0.11531880068447288</v>
      </c>
    </row>
    <row r="61" spans="1:26" s="24" customFormat="1" hidden="1" outlineLevel="2" x14ac:dyDescent="0.25">
      <c r="A61" s="29"/>
      <c r="B61" s="11" t="str">
        <f>CONCATENATE("          ", "6156", " - ", "EMPLOYEE MEALS")</f>
        <v xml:space="preserve">          6156 - EMPLOYEE MEALS</v>
      </c>
      <c r="C61" s="11"/>
      <c r="D61" s="7">
        <v>149.19999999999999</v>
      </c>
      <c r="E61" s="2"/>
      <c r="F61" s="6">
        <f t="shared" si="17"/>
        <v>2.9749851998474227E-4</v>
      </c>
      <c r="G61" s="2"/>
      <c r="H61" s="7">
        <v>150</v>
      </c>
      <c r="I61" s="2"/>
      <c r="J61" s="6">
        <f t="shared" si="18"/>
        <v>4.7349928662597464E-4</v>
      </c>
      <c r="K61" s="2"/>
      <c r="L61" s="7">
        <f t="shared" si="19"/>
        <v>-0.80000000000001137</v>
      </c>
      <c r="M61" s="2"/>
      <c r="N61" s="6">
        <f t="shared" si="20"/>
        <v>-5.3333333333334095E-3</v>
      </c>
      <c r="O61" s="11"/>
      <c r="P61" s="7">
        <v>299.2</v>
      </c>
      <c r="Q61" s="2"/>
      <c r="R61" s="6">
        <f t="shared" si="21"/>
        <v>3.4317732677869222E-4</v>
      </c>
      <c r="S61" s="2"/>
      <c r="T61" s="7">
        <v>300</v>
      </c>
      <c r="U61" s="2"/>
      <c r="V61" s="6">
        <f t="shared" si="22"/>
        <v>4.0377323395307589E-4</v>
      </c>
      <c r="W61" s="2"/>
      <c r="X61" s="7">
        <f t="shared" si="23"/>
        <v>-0.80000000000001137</v>
      </c>
      <c r="Y61" s="2"/>
      <c r="Z61" s="6">
        <f t="shared" si="24"/>
        <v>-2.6666666666667047E-3</v>
      </c>
    </row>
    <row r="62" spans="1:26" s="27" customFormat="1" outlineLevel="1" collapsed="1" x14ac:dyDescent="0.25">
      <c r="A62" s="28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9374.5400000000009</v>
      </c>
      <c r="E62" s="1"/>
      <c r="F62" s="5">
        <f t="shared" ref="F62:F66" si="25">IF(D$12=0,0,D62/D$12)</f>
        <v>1.8692438173845617E-2</v>
      </c>
      <c r="G62" s="1"/>
      <c r="H62" s="1">
        <f>SUM(OSRRefH22_1x_0)</f>
        <v>10713.1</v>
      </c>
      <c r="I62" s="1"/>
      <c r="J62" s="5">
        <f t="shared" ref="J62:J66" si="26">IF(H$12=0,0,H62/H$12)</f>
        <v>3.3817634717018194E-2</v>
      </c>
      <c r="K62" s="1"/>
      <c r="L62" s="1">
        <f t="shared" ref="L62:L66" si="27">+D62-H62</f>
        <v>-1338.5599999999995</v>
      </c>
      <c r="M62" s="1"/>
      <c r="N62" s="5">
        <f t="shared" ref="N62:N66" si="28">IF(H62=0,0,L62/H62)</f>
        <v>-0.12494609403440642</v>
      </c>
      <c r="O62" s="14"/>
      <c r="P62" s="1">
        <f>SUM(OSRRefP22_1x_0)</f>
        <v>17288.080000000002</v>
      </c>
      <c r="Q62" s="1"/>
      <c r="R62" s="5">
        <f t="shared" ref="R62:R66" si="29">IF(P$12=0,0,P62/P$12)</f>
        <v>1.9829134624118231E-2</v>
      </c>
      <c r="S62" s="1"/>
      <c r="T62" s="1">
        <f>SUM(OSRRefT22_1x_0)</f>
        <v>20242.120000000003</v>
      </c>
      <c r="U62" s="1"/>
      <c r="V62" s="5">
        <f t="shared" ref="V62:V66" si="30">IF(T$12=0,0,T62/T$12)</f>
        <v>2.7244087514887456E-2</v>
      </c>
      <c r="W62" s="1"/>
      <c r="X62" s="1">
        <f t="shared" ref="X62:X66" si="31">+P62-T62</f>
        <v>-2954.0400000000009</v>
      </c>
      <c r="Y62" s="1"/>
      <c r="Z62" s="5">
        <f t="shared" ref="Z62:Z66" si="32">IF(T62=0,0,X62/T62)</f>
        <v>-0.14593530717138326</v>
      </c>
    </row>
    <row r="63" spans="1:26" s="24" customFormat="1" hidden="1" outlineLevel="2" x14ac:dyDescent="0.25">
      <c r="A63" s="29"/>
      <c r="B63" s="11" t="str">
        <f>CONCATENATE("          ", "6002", " - ", "STAFF SALARIES")</f>
        <v xml:space="preserve">          6002 - STAFF SALARIES</v>
      </c>
      <c r="C63" s="11"/>
      <c r="D63" s="7">
        <v>2624.68</v>
      </c>
      <c r="E63" s="2"/>
      <c r="F63" s="6">
        <f t="shared" si="25"/>
        <v>5.2335014439246199E-3</v>
      </c>
      <c r="G63" s="2"/>
      <c r="H63" s="7">
        <v>2549.1999999999998</v>
      </c>
      <c r="I63" s="2"/>
      <c r="J63" s="6">
        <f t="shared" si="26"/>
        <v>8.0469625431128962E-3</v>
      </c>
      <c r="K63" s="2"/>
      <c r="L63" s="7">
        <f t="shared" si="27"/>
        <v>75.480000000000018</v>
      </c>
      <c r="M63" s="2"/>
      <c r="N63" s="6">
        <f t="shared" si="28"/>
        <v>2.9609289188765112E-2</v>
      </c>
      <c r="O63" s="11"/>
      <c r="P63" s="7">
        <v>5776.08</v>
      </c>
      <c r="Q63" s="2"/>
      <c r="R63" s="6">
        <f t="shared" si="29"/>
        <v>6.6250658210557107E-3</v>
      </c>
      <c r="S63" s="2"/>
      <c r="T63" s="7">
        <v>5098.1000000000004</v>
      </c>
      <c r="U63" s="2"/>
      <c r="V63" s="6">
        <f t="shared" si="30"/>
        <v>6.8615877467205879E-3</v>
      </c>
      <c r="W63" s="2"/>
      <c r="X63" s="7">
        <f t="shared" si="31"/>
        <v>677.97999999999956</v>
      </c>
      <c r="Y63" s="2"/>
      <c r="Z63" s="6">
        <f t="shared" si="32"/>
        <v>0.13298679900355026</v>
      </c>
    </row>
    <row r="64" spans="1:26" s="24" customFormat="1" hidden="1" outlineLevel="2" x14ac:dyDescent="0.25">
      <c r="A64" s="29"/>
      <c r="B64" s="11" t="str">
        <f>CONCATENATE("          ", "6005", " - ", "TEMPORARY WAGES-HOURLY")</f>
        <v xml:space="preserve">          6005 - TEMPORARY WAGES-HOURLY</v>
      </c>
      <c r="C64" s="11"/>
      <c r="D64" s="7">
        <v>2707.17</v>
      </c>
      <c r="E64" s="2"/>
      <c r="F64" s="6">
        <f t="shared" si="25"/>
        <v>5.3979830318169894E-3</v>
      </c>
      <c r="G64" s="2"/>
      <c r="H64" s="7">
        <v>3229.57</v>
      </c>
      <c r="I64" s="2"/>
      <c r="J64" s="6">
        <f t="shared" si="26"/>
        <v>1.0194660607390993E-2</v>
      </c>
      <c r="K64" s="2"/>
      <c r="L64" s="7">
        <f t="shared" si="27"/>
        <v>-522.40000000000009</v>
      </c>
      <c r="M64" s="2"/>
      <c r="N64" s="6">
        <f t="shared" si="28"/>
        <v>-0.1617552801146902</v>
      </c>
      <c r="O64" s="11"/>
      <c r="P64" s="7">
        <v>5140.87</v>
      </c>
      <c r="Q64" s="2"/>
      <c r="R64" s="6">
        <f t="shared" si="29"/>
        <v>5.8964907216469773E-3</v>
      </c>
      <c r="S64" s="2"/>
      <c r="T64" s="7">
        <v>6254.68</v>
      </c>
      <c r="U64" s="2"/>
      <c r="V64" s="6">
        <f t="shared" si="30"/>
        <v>8.4182412364720832E-3</v>
      </c>
      <c r="W64" s="2"/>
      <c r="X64" s="7">
        <f t="shared" si="31"/>
        <v>-1113.8100000000004</v>
      </c>
      <c r="Y64" s="2"/>
      <c r="Z64" s="6">
        <f t="shared" si="32"/>
        <v>-0.1780762564991335</v>
      </c>
    </row>
    <row r="65" spans="1:26" s="24" customFormat="1" hidden="1" outlineLevel="2" x14ac:dyDescent="0.25">
      <c r="A65" s="29"/>
      <c r="B65" s="11" t="str">
        <f>CONCATENATE("          ", "6006", " - ", "TEMPORARY PART TIME")</f>
        <v xml:space="preserve">          6006 - TEMPORARY PART TIME</v>
      </c>
      <c r="C65" s="11"/>
      <c r="D65" s="7">
        <v>1503.38</v>
      </c>
      <c r="E65" s="2"/>
      <c r="F65" s="6">
        <f t="shared" si="25"/>
        <v>2.9976764408489402E-3</v>
      </c>
      <c r="G65" s="2"/>
      <c r="H65" s="7"/>
      <c r="I65" s="2"/>
      <c r="J65" s="6">
        <f t="shared" si="26"/>
        <v>0</v>
      </c>
      <c r="K65" s="2"/>
      <c r="L65" s="7">
        <f t="shared" si="27"/>
        <v>1503.38</v>
      </c>
      <c r="M65" s="2"/>
      <c r="N65" s="6">
        <f t="shared" si="28"/>
        <v>0</v>
      </c>
      <c r="O65" s="11"/>
      <c r="P65" s="7">
        <v>2951.82</v>
      </c>
      <c r="Q65" s="2"/>
      <c r="R65" s="6">
        <f t="shared" si="29"/>
        <v>3.3856874890771369E-3</v>
      </c>
      <c r="S65" s="2"/>
      <c r="T65" s="7"/>
      <c r="U65" s="2"/>
      <c r="V65" s="6">
        <f t="shared" si="30"/>
        <v>0</v>
      </c>
      <c r="W65" s="2"/>
      <c r="X65" s="7">
        <f t="shared" si="31"/>
        <v>2951.82</v>
      </c>
      <c r="Y65" s="2"/>
      <c r="Z65" s="6">
        <f t="shared" si="32"/>
        <v>0</v>
      </c>
    </row>
    <row r="66" spans="1:26" s="24" customFormat="1" hidden="1" outlineLevel="2" x14ac:dyDescent="0.25">
      <c r="A66" s="29"/>
      <c r="B66" s="11" t="str">
        <f>CONCATENATE("          ", "6007", " - ", "STUDENT HOURLY")</f>
        <v xml:space="preserve">          6007 - STUDENT HOURLY</v>
      </c>
      <c r="C66" s="11"/>
      <c r="D66" s="7">
        <v>2539.31</v>
      </c>
      <c r="E66" s="2"/>
      <c r="F66" s="6">
        <f t="shared" si="25"/>
        <v>5.0632772572550668E-3</v>
      </c>
      <c r="G66" s="2"/>
      <c r="H66" s="7">
        <v>4934.33</v>
      </c>
      <c r="I66" s="2"/>
      <c r="J66" s="6">
        <f t="shared" si="26"/>
        <v>1.5576011566514303E-2</v>
      </c>
      <c r="K66" s="2"/>
      <c r="L66" s="7">
        <f t="shared" si="27"/>
        <v>-2395.02</v>
      </c>
      <c r="M66" s="2"/>
      <c r="N66" s="6">
        <f t="shared" si="28"/>
        <v>-0.48537896735727037</v>
      </c>
      <c r="O66" s="11"/>
      <c r="P66" s="7">
        <v>3419.31</v>
      </c>
      <c r="Q66" s="2"/>
      <c r="R66" s="6">
        <f t="shared" si="29"/>
        <v>3.9218905923384031E-3</v>
      </c>
      <c r="S66" s="2"/>
      <c r="T66" s="7">
        <v>8889.34</v>
      </c>
      <c r="U66" s="2"/>
      <c r="V66" s="6">
        <f t="shared" si="30"/>
        <v>1.1964258531694786E-2</v>
      </c>
      <c r="W66" s="2"/>
      <c r="X66" s="7">
        <f t="shared" si="31"/>
        <v>-5470.0300000000007</v>
      </c>
      <c r="Y66" s="2"/>
      <c r="Z66" s="6">
        <f t="shared" si="32"/>
        <v>-0.61534714613233388</v>
      </c>
    </row>
    <row r="67" spans="1:26" s="27" customFormat="1" outlineLevel="1" collapsed="1" x14ac:dyDescent="0.25">
      <c r="A67" s="28"/>
      <c r="B67" s="14" t="str">
        <f>CONCATENATE("     ","Advertising/Promo                                 ")</f>
        <v xml:space="preserve">     Advertising/Promo                                 </v>
      </c>
      <c r="C67" s="14"/>
      <c r="D67" s="1">
        <f>SUM(OSRRefD22_2x_0)</f>
        <v>343.09</v>
      </c>
      <c r="E67" s="1"/>
      <c r="F67" s="5">
        <f t="shared" ref="F67:F83" si="33">IF(D$12=0,0,D67/D$12)</f>
        <v>6.8410701891129504E-4</v>
      </c>
      <c r="G67" s="1"/>
      <c r="H67" s="1">
        <f>SUM(OSRRefH22_2x_0)</f>
        <v>86.68</v>
      </c>
      <c r="I67" s="1"/>
      <c r="J67" s="5">
        <f t="shared" ref="J67:J83" si="34">IF(H$12=0,0,H67/H$12)</f>
        <v>2.7361945443159658E-4</v>
      </c>
      <c r="K67" s="1"/>
      <c r="L67" s="1">
        <f t="shared" ref="L67:L83" si="35">+D67-H67</f>
        <v>256.40999999999997</v>
      </c>
      <c r="M67" s="1"/>
      <c r="N67" s="5">
        <f t="shared" ref="N67:N83" si="36">IF(H67=0,0,L67/H67)</f>
        <v>2.9581218274111669</v>
      </c>
      <c r="O67" s="14"/>
      <c r="P67" s="1">
        <f>SUM(OSRRefP22_2x_0)</f>
        <v>702.16</v>
      </c>
      <c r="Q67" s="1"/>
      <c r="R67" s="5">
        <f t="shared" ref="R67:R83" si="37">IF(P$12=0,0,P67/P$12)</f>
        <v>8.0536561420764216E-4</v>
      </c>
      <c r="S67" s="1"/>
      <c r="T67" s="1">
        <f>SUM(OSRRefT22_2x_0)</f>
        <v>326.74</v>
      </c>
      <c r="U67" s="1"/>
      <c r="V67" s="5">
        <f t="shared" ref="V67:V83" si="38">IF(T$12=0,0,T67/T$12)</f>
        <v>4.3976288820609337E-4</v>
      </c>
      <c r="W67" s="1"/>
      <c r="X67" s="1">
        <f t="shared" ref="X67:X83" si="39">+P67-T67</f>
        <v>375.41999999999996</v>
      </c>
      <c r="Y67" s="1"/>
      <c r="Z67" s="5">
        <f t="shared" ref="Z67:Z83" si="40">IF(T67=0,0,X67/T67)</f>
        <v>1.1489869621105464</v>
      </c>
    </row>
    <row r="68" spans="1:26" s="24" customFormat="1" hidden="1" outlineLevel="2" x14ac:dyDescent="0.25">
      <c r="A68" s="29"/>
      <c r="B68" s="11" t="str">
        <f>CONCATENATE("          ", "6362", " - ", "ADVERTISING EXPENSE")</f>
        <v xml:space="preserve">          6362 - ADVERTISING EXPENSE</v>
      </c>
      <c r="C68" s="11"/>
      <c r="D68" s="7">
        <v>343.09</v>
      </c>
      <c r="E68" s="2"/>
      <c r="F68" s="6">
        <f t="shared" si="33"/>
        <v>6.8410701891129504E-4</v>
      </c>
      <c r="G68" s="2"/>
      <c r="H68" s="7">
        <v>86.68</v>
      </c>
      <c r="I68" s="2"/>
      <c r="J68" s="6">
        <f t="shared" si="34"/>
        <v>2.7361945443159658E-4</v>
      </c>
      <c r="K68" s="2"/>
      <c r="L68" s="7">
        <f t="shared" si="35"/>
        <v>256.40999999999997</v>
      </c>
      <c r="M68" s="2"/>
      <c r="N68" s="6">
        <f t="shared" si="36"/>
        <v>2.9581218274111669</v>
      </c>
      <c r="O68" s="11"/>
      <c r="P68" s="7">
        <v>702.16</v>
      </c>
      <c r="Q68" s="2"/>
      <c r="R68" s="6">
        <f t="shared" si="37"/>
        <v>8.0536561420764216E-4</v>
      </c>
      <c r="S68" s="2"/>
      <c r="T68" s="7">
        <v>326.74</v>
      </c>
      <c r="U68" s="2"/>
      <c r="V68" s="6">
        <f t="shared" si="38"/>
        <v>4.3976288820609337E-4</v>
      </c>
      <c r="W68" s="2"/>
      <c r="X68" s="7">
        <f t="shared" si="39"/>
        <v>375.41999999999996</v>
      </c>
      <c r="Y68" s="2"/>
      <c r="Z68" s="6">
        <f t="shared" si="40"/>
        <v>1.1489869621105464</v>
      </c>
    </row>
    <row r="69" spans="1:26" s="27" customFormat="1" outlineLevel="1" collapsed="1" x14ac:dyDescent="0.25">
      <c r="A69" s="28"/>
      <c r="B69" s="14" t="str">
        <f>CONCATENATE("     ","Depreciation                                      ")</f>
        <v xml:space="preserve">     Depreciation                                      </v>
      </c>
      <c r="C69" s="14"/>
      <c r="D69" s="1">
        <f>SUM(OSRRefD22_3x_0)</f>
        <v>280.44</v>
      </c>
      <c r="E69" s="1"/>
      <c r="F69" s="5">
        <f t="shared" si="33"/>
        <v>5.5918555592842582E-4</v>
      </c>
      <c r="G69" s="1"/>
      <c r="H69" s="1">
        <f>SUM(OSRRefH22_3x_0)</f>
        <v>280.44</v>
      </c>
      <c r="I69" s="1"/>
      <c r="J69" s="5">
        <f t="shared" si="34"/>
        <v>8.8525426627592213E-4</v>
      </c>
      <c r="K69" s="1"/>
      <c r="L69" s="1">
        <f t="shared" si="35"/>
        <v>0</v>
      </c>
      <c r="M69" s="1"/>
      <c r="N69" s="5">
        <f t="shared" si="36"/>
        <v>0</v>
      </c>
      <c r="O69" s="14"/>
      <c r="P69" s="1">
        <f>SUM(OSRRefP22_3x_0)</f>
        <v>560.88</v>
      </c>
      <c r="Q69" s="1"/>
      <c r="R69" s="5">
        <f t="shared" si="37"/>
        <v>6.4331984974476235E-4</v>
      </c>
      <c r="S69" s="1"/>
      <c r="T69" s="1">
        <f>SUM(OSRRefT22_3x_0)</f>
        <v>560.88</v>
      </c>
      <c r="U69" s="1"/>
      <c r="V69" s="5">
        <f t="shared" si="38"/>
        <v>7.5489443819867069E-4</v>
      </c>
      <c r="W69" s="1"/>
      <c r="X69" s="1">
        <f t="shared" si="39"/>
        <v>0</v>
      </c>
      <c r="Y69" s="1"/>
      <c r="Z69" s="5">
        <f t="shared" si="40"/>
        <v>0</v>
      </c>
    </row>
    <row r="70" spans="1:26" s="24" customFormat="1" hidden="1" outlineLevel="2" x14ac:dyDescent="0.25">
      <c r="A70" s="29"/>
      <c r="B70" s="11" t="str">
        <f>CONCATENATE("          ", "6322", " - ", "EQUIPMENT DEPRECIATION EXPENSE")</f>
        <v xml:space="preserve">          6322 - EQUIPMENT DEPRECIATION EXPENSE</v>
      </c>
      <c r="C70" s="11"/>
      <c r="D70" s="7">
        <v>280.44</v>
      </c>
      <c r="E70" s="2"/>
      <c r="F70" s="6">
        <f t="shared" si="33"/>
        <v>5.5918555592842582E-4</v>
      </c>
      <c r="G70" s="2"/>
      <c r="H70" s="7">
        <v>280.44</v>
      </c>
      <c r="I70" s="2"/>
      <c r="J70" s="6">
        <f t="shared" si="34"/>
        <v>8.8525426627592213E-4</v>
      </c>
      <c r="K70" s="2"/>
      <c r="L70" s="7">
        <f t="shared" si="35"/>
        <v>0</v>
      </c>
      <c r="M70" s="2"/>
      <c r="N70" s="6">
        <f t="shared" si="36"/>
        <v>0</v>
      </c>
      <c r="O70" s="11"/>
      <c r="P70" s="7">
        <v>560.88</v>
      </c>
      <c r="Q70" s="2"/>
      <c r="R70" s="6">
        <f t="shared" si="37"/>
        <v>6.4331984974476235E-4</v>
      </c>
      <c r="S70" s="2"/>
      <c r="T70" s="7">
        <v>560.88</v>
      </c>
      <c r="U70" s="2"/>
      <c r="V70" s="6">
        <f t="shared" si="38"/>
        <v>7.5489443819867069E-4</v>
      </c>
      <c r="W70" s="2"/>
      <c r="X70" s="7">
        <f t="shared" si="39"/>
        <v>0</v>
      </c>
      <c r="Y70" s="2"/>
      <c r="Z70" s="6">
        <f t="shared" si="40"/>
        <v>0</v>
      </c>
    </row>
    <row r="71" spans="1:26" s="27" customFormat="1" outlineLevel="1" collapsed="1" x14ac:dyDescent="0.25">
      <c r="A71" s="28"/>
      <c r="B71" s="14" t="str">
        <f>CONCATENATE("     ","Discounts and Markdowns                           ")</f>
        <v xml:space="preserve">     Discounts and Markdowns                           </v>
      </c>
      <c r="C71" s="14"/>
      <c r="D71" s="1">
        <f>SUM(OSRRefD22_4x_0)</f>
        <v>57114.36</v>
      </c>
      <c r="E71" s="1"/>
      <c r="F71" s="5">
        <f t="shared" si="33"/>
        <v>0.11388362982490459</v>
      </c>
      <c r="G71" s="1"/>
      <c r="H71" s="1">
        <f>SUM(OSRRefH22_4x_0)</f>
        <v>36289.800000000003</v>
      </c>
      <c r="I71" s="1"/>
      <c r="J71" s="5">
        <f t="shared" si="34"/>
        <v>0.1145546294119953</v>
      </c>
      <c r="K71" s="1"/>
      <c r="L71" s="1">
        <f t="shared" si="35"/>
        <v>20824.559999999998</v>
      </c>
      <c r="M71" s="1"/>
      <c r="N71" s="5">
        <f t="shared" si="36"/>
        <v>0.57384058330439947</v>
      </c>
      <c r="O71" s="14"/>
      <c r="P71" s="1">
        <f>SUM(OSRRefP22_4x_0)</f>
        <v>70019.17</v>
      </c>
      <c r="Q71" s="1"/>
      <c r="R71" s="5">
        <f t="shared" si="37"/>
        <v>8.0310800748204555E-2</v>
      </c>
      <c r="S71" s="1"/>
      <c r="T71" s="1">
        <f>SUM(OSRRefT22_4x_0)</f>
        <v>46943.38</v>
      </c>
      <c r="U71" s="1"/>
      <c r="V71" s="5">
        <f t="shared" si="38"/>
        <v>6.3181601184293806E-2</v>
      </c>
      <c r="W71" s="1"/>
      <c r="X71" s="1">
        <f t="shared" si="39"/>
        <v>23075.79</v>
      </c>
      <c r="Y71" s="1"/>
      <c r="Z71" s="5">
        <f t="shared" si="40"/>
        <v>0.49156643599161376</v>
      </c>
    </row>
    <row r="72" spans="1:26" s="24" customFormat="1" hidden="1" outlineLevel="2" x14ac:dyDescent="0.25">
      <c r="A72" s="29"/>
      <c r="B72" s="11" t="str">
        <f>CONCATENATE("          ", "6382", " - ", "DISCOUNTS/MARK DOWNS")</f>
        <v xml:space="preserve">          6382 - DISCOUNTS/MARK DOWNS</v>
      </c>
      <c r="C72" s="11"/>
      <c r="D72" s="7">
        <v>57114.36</v>
      </c>
      <c r="E72" s="2"/>
      <c r="F72" s="6">
        <f t="shared" si="33"/>
        <v>0.11388362982490459</v>
      </c>
      <c r="G72" s="2"/>
      <c r="H72" s="7">
        <v>36289.800000000003</v>
      </c>
      <c r="I72" s="2"/>
      <c r="J72" s="6">
        <f t="shared" si="34"/>
        <v>0.1145546294119953</v>
      </c>
      <c r="K72" s="2"/>
      <c r="L72" s="7">
        <f t="shared" si="35"/>
        <v>20824.559999999998</v>
      </c>
      <c r="M72" s="2"/>
      <c r="N72" s="6">
        <f t="shared" si="36"/>
        <v>0.57384058330439947</v>
      </c>
      <c r="O72" s="11"/>
      <c r="P72" s="7">
        <v>70019.17</v>
      </c>
      <c r="Q72" s="2"/>
      <c r="R72" s="6">
        <f t="shared" si="37"/>
        <v>8.0310800748204555E-2</v>
      </c>
      <c r="S72" s="2"/>
      <c r="T72" s="7">
        <v>46943.38</v>
      </c>
      <c r="U72" s="2"/>
      <c r="V72" s="6">
        <f t="shared" si="38"/>
        <v>6.3181601184293806E-2</v>
      </c>
      <c r="W72" s="2"/>
      <c r="X72" s="7">
        <f t="shared" si="39"/>
        <v>23075.79</v>
      </c>
      <c r="Y72" s="2"/>
      <c r="Z72" s="6">
        <f t="shared" si="40"/>
        <v>0.49156643599161376</v>
      </c>
    </row>
    <row r="73" spans="1:26" s="27" customFormat="1" outlineLevel="1" collapsed="1" x14ac:dyDescent="0.25">
      <c r="A73" s="28"/>
      <c r="B73" s="14" t="str">
        <f>CONCATENATE("     ","Employees' Appreciation                           ")</f>
        <v xml:space="preserve">     Employees' Appreciation                           </v>
      </c>
      <c r="C73" s="14"/>
      <c r="D73" s="1">
        <f>SUM(OSRRefD22_5x_0)</f>
        <v>0</v>
      </c>
      <c r="E73" s="1"/>
      <c r="F73" s="5">
        <f t="shared" si="33"/>
        <v>0</v>
      </c>
      <c r="G73" s="1"/>
      <c r="H73" s="1">
        <f>SUM(OSRRefH22_5x_0)</f>
        <v>0</v>
      </c>
      <c r="I73" s="1"/>
      <c r="J73" s="5">
        <f t="shared" si="34"/>
        <v>0</v>
      </c>
      <c r="K73" s="1"/>
      <c r="L73" s="1">
        <f t="shared" si="35"/>
        <v>0</v>
      </c>
      <c r="M73" s="1"/>
      <c r="N73" s="5">
        <f t="shared" si="36"/>
        <v>0</v>
      </c>
      <c r="O73" s="14"/>
      <c r="P73" s="1">
        <f>SUM(OSRRefP22_5x_0)</f>
        <v>0</v>
      </c>
      <c r="Q73" s="1"/>
      <c r="R73" s="5">
        <f t="shared" si="37"/>
        <v>0</v>
      </c>
      <c r="S73" s="1"/>
      <c r="T73" s="1">
        <f>SUM(OSRRefT22_5x_0)</f>
        <v>84.31</v>
      </c>
      <c r="U73" s="1"/>
      <c r="V73" s="5">
        <f t="shared" si="38"/>
        <v>1.1347373784861276E-4</v>
      </c>
      <c r="W73" s="1"/>
      <c r="X73" s="1">
        <f t="shared" si="39"/>
        <v>-84.31</v>
      </c>
      <c r="Y73" s="1"/>
      <c r="Z73" s="5">
        <f t="shared" si="40"/>
        <v>-1</v>
      </c>
    </row>
    <row r="74" spans="1:26" s="24" customFormat="1" hidden="1" outlineLevel="2" x14ac:dyDescent="0.25">
      <c r="A74" s="29"/>
      <c r="B74" s="11" t="str">
        <f>CONCATENATE("          ", "6277", " - ", "EMPLOYEE APPRECIATION")</f>
        <v xml:space="preserve">          6277 - EMPLOYEE APPRECIATION</v>
      </c>
      <c r="C74" s="11"/>
      <c r="D74" s="7"/>
      <c r="E74" s="2"/>
      <c r="F74" s="6">
        <f t="shared" si="33"/>
        <v>0</v>
      </c>
      <c r="G74" s="2"/>
      <c r="H74" s="7"/>
      <c r="I74" s="2"/>
      <c r="J74" s="6">
        <f t="shared" si="34"/>
        <v>0</v>
      </c>
      <c r="K74" s="2"/>
      <c r="L74" s="7">
        <f t="shared" si="35"/>
        <v>0</v>
      </c>
      <c r="M74" s="2"/>
      <c r="N74" s="6">
        <f t="shared" si="36"/>
        <v>0</v>
      </c>
      <c r="O74" s="11"/>
      <c r="P74" s="7"/>
      <c r="Q74" s="2"/>
      <c r="R74" s="6">
        <f t="shared" si="37"/>
        <v>0</v>
      </c>
      <c r="S74" s="2"/>
      <c r="T74" s="7">
        <v>84.31</v>
      </c>
      <c r="U74" s="2"/>
      <c r="V74" s="6">
        <f t="shared" si="38"/>
        <v>1.1347373784861276E-4</v>
      </c>
      <c r="W74" s="2"/>
      <c r="X74" s="7">
        <f t="shared" si="39"/>
        <v>-84.31</v>
      </c>
      <c r="Y74" s="2"/>
      <c r="Z74" s="6">
        <f t="shared" si="40"/>
        <v>-1</v>
      </c>
    </row>
    <row r="75" spans="1:26" s="27" customFormat="1" outlineLevel="1" collapsed="1" x14ac:dyDescent="0.25">
      <c r="A75" s="28"/>
      <c r="B75" s="14" t="str">
        <f>CONCATENATE("     ","Freight out/Postage                               ")</f>
        <v xml:space="preserve">     Freight out/Postage                               </v>
      </c>
      <c r="C75" s="14"/>
      <c r="D75" s="1">
        <f>SUM(OSRRefD22_6x_0)</f>
        <v>0</v>
      </c>
      <c r="E75" s="1"/>
      <c r="F75" s="5">
        <f t="shared" si="33"/>
        <v>0</v>
      </c>
      <c r="G75" s="1"/>
      <c r="H75" s="1">
        <f>SUM(OSRRefH22_6x_0)</f>
        <v>3.7</v>
      </c>
      <c r="I75" s="1"/>
      <c r="J75" s="5">
        <f t="shared" si="34"/>
        <v>1.1679649070107375E-5</v>
      </c>
      <c r="K75" s="1"/>
      <c r="L75" s="1">
        <f t="shared" si="35"/>
        <v>-3.7</v>
      </c>
      <c r="M75" s="1"/>
      <c r="N75" s="5">
        <f t="shared" si="36"/>
        <v>-1</v>
      </c>
      <c r="O75" s="14"/>
      <c r="P75" s="1">
        <f>SUM(OSRRefP22_6x_0)</f>
        <v>0</v>
      </c>
      <c r="Q75" s="1"/>
      <c r="R75" s="5">
        <f t="shared" si="37"/>
        <v>0</v>
      </c>
      <c r="S75" s="1"/>
      <c r="T75" s="1">
        <f>SUM(OSRRefT22_6x_0)</f>
        <v>32.659999999999997</v>
      </c>
      <c r="U75" s="1"/>
      <c r="V75" s="5">
        <f t="shared" si="38"/>
        <v>4.3957446069691519E-5</v>
      </c>
      <c r="W75" s="1"/>
      <c r="X75" s="1">
        <f t="shared" si="39"/>
        <v>-32.659999999999997</v>
      </c>
      <c r="Y75" s="1"/>
      <c r="Z75" s="5">
        <f t="shared" si="40"/>
        <v>-1</v>
      </c>
    </row>
    <row r="76" spans="1:26" s="24" customFormat="1" hidden="1" outlineLevel="2" x14ac:dyDescent="0.25">
      <c r="A76" s="29"/>
      <c r="B76" s="11" t="str">
        <f>CONCATENATE("          ", "6305", " - ", "FREIGHT OUT")</f>
        <v xml:space="preserve">          6305 - FREIGHT OUT</v>
      </c>
      <c r="C76" s="11"/>
      <c r="D76" s="7"/>
      <c r="E76" s="2"/>
      <c r="F76" s="6">
        <f t="shared" si="33"/>
        <v>0</v>
      </c>
      <c r="G76" s="2"/>
      <c r="H76" s="7">
        <v>3.7</v>
      </c>
      <c r="I76" s="2"/>
      <c r="J76" s="6">
        <f t="shared" si="34"/>
        <v>1.1679649070107375E-5</v>
      </c>
      <c r="K76" s="2"/>
      <c r="L76" s="7">
        <f t="shared" si="35"/>
        <v>-3.7</v>
      </c>
      <c r="M76" s="2"/>
      <c r="N76" s="6">
        <f t="shared" si="36"/>
        <v>-1</v>
      </c>
      <c r="O76" s="11"/>
      <c r="P76" s="7"/>
      <c r="Q76" s="2"/>
      <c r="R76" s="6">
        <f t="shared" si="37"/>
        <v>0</v>
      </c>
      <c r="S76" s="2"/>
      <c r="T76" s="7">
        <v>32.659999999999997</v>
      </c>
      <c r="U76" s="2"/>
      <c r="V76" s="6">
        <f t="shared" si="38"/>
        <v>4.3957446069691519E-5</v>
      </c>
      <c r="W76" s="2"/>
      <c r="X76" s="7">
        <f t="shared" si="39"/>
        <v>-32.659999999999997</v>
      </c>
      <c r="Y76" s="2"/>
      <c r="Z76" s="6">
        <f t="shared" si="40"/>
        <v>-1</v>
      </c>
    </row>
    <row r="77" spans="1:26" s="27" customFormat="1" outlineLevel="1" collapsed="1" x14ac:dyDescent="0.25">
      <c r="A77" s="28"/>
      <c r="B77" s="14" t="str">
        <f>CONCATENATE("     ","Inventory Adjustment                              ")</f>
        <v xml:space="preserve">     Inventory Adjustment                              </v>
      </c>
      <c r="C77" s="14"/>
      <c r="D77" s="1">
        <f>SUM(OSRRefD22_7x_0)</f>
        <v>0</v>
      </c>
      <c r="E77" s="1"/>
      <c r="F77" s="5">
        <f t="shared" si="33"/>
        <v>0</v>
      </c>
      <c r="G77" s="1"/>
      <c r="H77" s="1">
        <f>SUM(OSRRefH22_7x_0)</f>
        <v>1250</v>
      </c>
      <c r="I77" s="1"/>
      <c r="J77" s="5">
        <f t="shared" si="34"/>
        <v>3.9458273885497885E-3</v>
      </c>
      <c r="K77" s="1"/>
      <c r="L77" s="1">
        <f t="shared" si="35"/>
        <v>-1250</v>
      </c>
      <c r="M77" s="1"/>
      <c r="N77" s="5">
        <f t="shared" si="36"/>
        <v>-1</v>
      </c>
      <c r="O77" s="14"/>
      <c r="P77" s="1">
        <f>SUM(OSRRefP22_7x_0)</f>
        <v>0</v>
      </c>
      <c r="Q77" s="1"/>
      <c r="R77" s="5">
        <f t="shared" si="37"/>
        <v>0</v>
      </c>
      <c r="S77" s="1"/>
      <c r="T77" s="1">
        <f>SUM(OSRRefT22_7x_0)</f>
        <v>2500</v>
      </c>
      <c r="U77" s="1"/>
      <c r="V77" s="5">
        <f t="shared" si="38"/>
        <v>3.3647769496089656E-3</v>
      </c>
      <c r="W77" s="1"/>
      <c r="X77" s="1">
        <f t="shared" si="39"/>
        <v>-2500</v>
      </c>
      <c r="Y77" s="1"/>
      <c r="Z77" s="5">
        <f t="shared" si="40"/>
        <v>-1</v>
      </c>
    </row>
    <row r="78" spans="1:26" s="24" customFormat="1" hidden="1" outlineLevel="2" x14ac:dyDescent="0.25">
      <c r="A78" s="29"/>
      <c r="B78" s="11" t="str">
        <f>CONCATENATE("          ", "6408", " - ", "INVENTORY ADJUSTMENT")</f>
        <v xml:space="preserve">          6408 - INVENTORY ADJUSTMENT</v>
      </c>
      <c r="C78" s="11"/>
      <c r="D78" s="7"/>
      <c r="E78" s="2"/>
      <c r="F78" s="6">
        <f t="shared" si="33"/>
        <v>0</v>
      </c>
      <c r="G78" s="2"/>
      <c r="H78" s="7">
        <v>1250</v>
      </c>
      <c r="I78" s="2"/>
      <c r="J78" s="6">
        <f t="shared" si="34"/>
        <v>3.9458273885497885E-3</v>
      </c>
      <c r="K78" s="2"/>
      <c r="L78" s="7">
        <f t="shared" si="35"/>
        <v>-1250</v>
      </c>
      <c r="M78" s="2"/>
      <c r="N78" s="6">
        <f t="shared" si="36"/>
        <v>-1</v>
      </c>
      <c r="O78" s="11"/>
      <c r="P78" s="7"/>
      <c r="Q78" s="2"/>
      <c r="R78" s="6">
        <f t="shared" si="37"/>
        <v>0</v>
      </c>
      <c r="S78" s="2"/>
      <c r="T78" s="7">
        <v>2500</v>
      </c>
      <c r="U78" s="2"/>
      <c r="V78" s="6">
        <f t="shared" si="38"/>
        <v>3.3647769496089656E-3</v>
      </c>
      <c r="W78" s="2"/>
      <c r="X78" s="7">
        <f t="shared" si="39"/>
        <v>-2500</v>
      </c>
      <c r="Y78" s="2"/>
      <c r="Z78" s="6">
        <f t="shared" si="40"/>
        <v>-1</v>
      </c>
    </row>
    <row r="79" spans="1:26" s="27" customFormat="1" outlineLevel="1" collapsed="1" x14ac:dyDescent="0.25">
      <c r="A79" s="28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SUM(OSRRefD22_8x_0)</f>
        <v>-5000</v>
      </c>
      <c r="E79" s="1"/>
      <c r="F79" s="5">
        <f t="shared" si="33"/>
        <v>-9.9697895437246067E-3</v>
      </c>
      <c r="G79" s="1"/>
      <c r="H79" s="1">
        <f>SUM(OSRRefH22_8x_0)</f>
        <v>0</v>
      </c>
      <c r="I79" s="1"/>
      <c r="J79" s="5">
        <f t="shared" si="34"/>
        <v>0</v>
      </c>
      <c r="K79" s="1"/>
      <c r="L79" s="1">
        <f t="shared" si="35"/>
        <v>-5000</v>
      </c>
      <c r="M79" s="1"/>
      <c r="N79" s="5">
        <f t="shared" si="36"/>
        <v>0</v>
      </c>
      <c r="O79" s="14"/>
      <c r="P79" s="1">
        <f>SUM(OSRRefP22_8x_0)</f>
        <v>-5000</v>
      </c>
      <c r="Q79" s="1"/>
      <c r="R79" s="5">
        <f t="shared" si="37"/>
        <v>-5.7349152202321564E-3</v>
      </c>
      <c r="S79" s="1"/>
      <c r="T79" s="1">
        <f>SUM(OSRRefT22_8x_0)</f>
        <v>0</v>
      </c>
      <c r="U79" s="1"/>
      <c r="V79" s="5">
        <f t="shared" si="38"/>
        <v>0</v>
      </c>
      <c r="W79" s="1"/>
      <c r="X79" s="1">
        <f t="shared" si="39"/>
        <v>-5000</v>
      </c>
      <c r="Y79" s="1"/>
      <c r="Z79" s="5">
        <f t="shared" si="40"/>
        <v>0</v>
      </c>
    </row>
    <row r="80" spans="1:26" s="24" customFormat="1" hidden="1" outlineLevel="2" x14ac:dyDescent="0.25">
      <c r="A80" s="29"/>
      <c r="B80" s="11" t="str">
        <f>CONCATENATE("          ", "6258", " - ", "MEMBERSHIP DUES")</f>
        <v xml:space="preserve">          6258 - MEMBERSHIP DUES</v>
      </c>
      <c r="C80" s="11"/>
      <c r="D80" s="7">
        <v>-5000</v>
      </c>
      <c r="E80" s="2"/>
      <c r="F80" s="6">
        <f t="shared" si="33"/>
        <v>-9.9697895437246067E-3</v>
      </c>
      <c r="G80" s="2"/>
      <c r="H80" s="7"/>
      <c r="I80" s="2"/>
      <c r="J80" s="6">
        <f t="shared" si="34"/>
        <v>0</v>
      </c>
      <c r="K80" s="2"/>
      <c r="L80" s="7">
        <f t="shared" si="35"/>
        <v>-5000</v>
      </c>
      <c r="M80" s="2"/>
      <c r="N80" s="6">
        <f t="shared" si="36"/>
        <v>0</v>
      </c>
      <c r="O80" s="11"/>
      <c r="P80" s="7">
        <v>-5000</v>
      </c>
      <c r="Q80" s="2"/>
      <c r="R80" s="6">
        <f t="shared" si="37"/>
        <v>-5.7349152202321564E-3</v>
      </c>
      <c r="S80" s="2"/>
      <c r="T80" s="7"/>
      <c r="U80" s="2"/>
      <c r="V80" s="6">
        <f t="shared" si="38"/>
        <v>0</v>
      </c>
      <c r="W80" s="2"/>
      <c r="X80" s="7">
        <f t="shared" si="39"/>
        <v>-5000</v>
      </c>
      <c r="Y80" s="2"/>
      <c r="Z80" s="6">
        <f t="shared" si="40"/>
        <v>0</v>
      </c>
    </row>
    <row r="81" spans="1:26" s="27" customFormat="1" outlineLevel="1" collapsed="1" x14ac:dyDescent="0.25">
      <c r="A81" s="28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SUM(OSRRefD22_9x_0)</f>
        <v>88.18</v>
      </c>
      <c r="E81" s="1"/>
      <c r="F81" s="5">
        <f t="shared" si="33"/>
        <v>1.758272083931272E-4</v>
      </c>
      <c r="G81" s="1"/>
      <c r="H81" s="1">
        <f>SUM(OSRRefH22_9x_0)</f>
        <v>551.94000000000005</v>
      </c>
      <c r="I81" s="1"/>
      <c r="J81" s="5">
        <f t="shared" si="34"/>
        <v>1.7422879750689365E-3</v>
      </c>
      <c r="K81" s="1"/>
      <c r="L81" s="1">
        <f t="shared" si="35"/>
        <v>-463.76000000000005</v>
      </c>
      <c r="M81" s="1"/>
      <c r="N81" s="5">
        <f t="shared" si="36"/>
        <v>-0.84023625756422804</v>
      </c>
      <c r="O81" s="14"/>
      <c r="P81" s="1">
        <f>SUM(OSRRefP22_9x_0)</f>
        <v>763.44</v>
      </c>
      <c r="Q81" s="1"/>
      <c r="R81" s="5">
        <f t="shared" si="37"/>
        <v>8.7565273514680756E-4</v>
      </c>
      <c r="S81" s="1"/>
      <c r="T81" s="1">
        <f>SUM(OSRRefT22_9x_0)</f>
        <v>856.49</v>
      </c>
      <c r="U81" s="1"/>
      <c r="V81" s="5">
        <f t="shared" si="38"/>
        <v>1.1527591238282332E-3</v>
      </c>
      <c r="W81" s="1"/>
      <c r="X81" s="1">
        <f t="shared" si="39"/>
        <v>-93.049999999999955</v>
      </c>
      <c r="Y81" s="1"/>
      <c r="Z81" s="5">
        <f t="shared" si="40"/>
        <v>-0.10864108162383677</v>
      </c>
    </row>
    <row r="82" spans="1:26" s="24" customFormat="1" hidden="1" outlineLevel="2" x14ac:dyDescent="0.25">
      <c r="A82" s="29"/>
      <c r="B82" s="11" t="str">
        <f>CONCATENATE("          ", "6241", " - ", "OFFICE EXPENSE")</f>
        <v xml:space="preserve">          6241 - OFFICE EXPENSE</v>
      </c>
      <c r="C82" s="11"/>
      <c r="D82" s="7">
        <v>88.18</v>
      </c>
      <c r="E82" s="2"/>
      <c r="F82" s="6">
        <f t="shared" si="33"/>
        <v>1.758272083931272E-4</v>
      </c>
      <c r="G82" s="2"/>
      <c r="H82" s="7">
        <v>551.94000000000005</v>
      </c>
      <c r="I82" s="2"/>
      <c r="J82" s="6">
        <f t="shared" si="34"/>
        <v>1.7422879750689365E-3</v>
      </c>
      <c r="K82" s="2"/>
      <c r="L82" s="7">
        <f t="shared" si="35"/>
        <v>-463.76000000000005</v>
      </c>
      <c r="M82" s="2"/>
      <c r="N82" s="6">
        <f t="shared" si="36"/>
        <v>-0.84023625756422804</v>
      </c>
      <c r="O82" s="11"/>
      <c r="P82" s="7">
        <v>181</v>
      </c>
      <c r="Q82" s="2"/>
      <c r="R82" s="6">
        <f t="shared" si="37"/>
        <v>2.0760393097240406E-4</v>
      </c>
      <c r="S82" s="2"/>
      <c r="T82" s="7">
        <v>724.81</v>
      </c>
      <c r="U82" s="2"/>
      <c r="V82" s="6">
        <f t="shared" si="38"/>
        <v>9.7552959233842965E-4</v>
      </c>
      <c r="W82" s="2"/>
      <c r="X82" s="7">
        <f t="shared" si="39"/>
        <v>-543.80999999999995</v>
      </c>
      <c r="Y82" s="2"/>
      <c r="Z82" s="6">
        <f t="shared" si="40"/>
        <v>-0.75027938356258883</v>
      </c>
    </row>
    <row r="83" spans="1:26" s="24" customFormat="1" hidden="1" outlineLevel="2" x14ac:dyDescent="0.25">
      <c r="A83" s="29"/>
      <c r="B83" s="11" t="str">
        <f>CONCATENATE("          ", "6247", " - ", "STORE SUPPLIES")</f>
        <v xml:space="preserve">          6247 - STORE SUPPLIES</v>
      </c>
      <c r="C83" s="11"/>
      <c r="D83" s="7"/>
      <c r="E83" s="2"/>
      <c r="F83" s="6">
        <f t="shared" si="33"/>
        <v>0</v>
      </c>
      <c r="G83" s="2"/>
      <c r="H83" s="7"/>
      <c r="I83" s="2"/>
      <c r="J83" s="6">
        <f t="shared" si="34"/>
        <v>0</v>
      </c>
      <c r="K83" s="2"/>
      <c r="L83" s="7">
        <f t="shared" si="35"/>
        <v>0</v>
      </c>
      <c r="M83" s="2"/>
      <c r="N83" s="6">
        <f t="shared" si="36"/>
        <v>0</v>
      </c>
      <c r="O83" s="11"/>
      <c r="P83" s="7">
        <v>582.44000000000005</v>
      </c>
      <c r="Q83" s="2"/>
      <c r="R83" s="6">
        <f t="shared" si="37"/>
        <v>6.6804880417440347E-4</v>
      </c>
      <c r="S83" s="2"/>
      <c r="T83" s="7">
        <v>131.68</v>
      </c>
      <c r="U83" s="2"/>
      <c r="V83" s="6">
        <f t="shared" si="38"/>
        <v>1.7722953148980344E-4</v>
      </c>
      <c r="W83" s="2"/>
      <c r="X83" s="7">
        <f t="shared" si="39"/>
        <v>450.76000000000005</v>
      </c>
      <c r="Y83" s="2"/>
      <c r="Z83" s="6">
        <f t="shared" si="40"/>
        <v>3.4231470230862699</v>
      </c>
    </row>
    <row r="84" spans="1:26" s="27" customFormat="1" outlineLevel="1" collapsed="1" x14ac:dyDescent="0.25">
      <c r="A84" s="28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SUM(OSRRefD22_10x_0)</f>
        <v>254.25</v>
      </c>
      <c r="E84" s="1"/>
      <c r="F84" s="5">
        <f t="shared" ref="F84:F85" si="41">IF(D$12=0,0,D84/D$12)</f>
        <v>5.0696379829839628E-4</v>
      </c>
      <c r="G84" s="1"/>
      <c r="H84" s="1">
        <f>SUM(OSRRefH22_10x_0)</f>
        <v>241.45</v>
      </c>
      <c r="I84" s="1"/>
      <c r="J84" s="5">
        <f t="shared" ref="J84:J85" si="42">IF(H$12=0,0,H84/H$12)</f>
        <v>7.6217601837227716E-4</v>
      </c>
      <c r="K84" s="1"/>
      <c r="L84" s="1">
        <f t="shared" ref="L84:L85" si="43">+D84-H84</f>
        <v>12.800000000000011</v>
      </c>
      <c r="M84" s="1"/>
      <c r="N84" s="5">
        <f t="shared" ref="N84:N85" si="44">IF(H84=0,0,L84/H84)</f>
        <v>5.3013046179333244E-2</v>
      </c>
      <c r="O84" s="14"/>
      <c r="P84" s="1">
        <f>SUM(OSRRefP22_10x_0)</f>
        <v>431.3</v>
      </c>
      <c r="Q84" s="1"/>
      <c r="R84" s="5">
        <f t="shared" ref="R84:R85" si="45">IF(P$12=0,0,P84/P$12)</f>
        <v>4.9469378689722581E-4</v>
      </c>
      <c r="S84" s="1"/>
      <c r="T84" s="1">
        <f>SUM(OSRRefT22_10x_0)</f>
        <v>952.55</v>
      </c>
      <c r="U84" s="1"/>
      <c r="V84" s="5">
        <f t="shared" ref="V84:V85" si="46">IF(T$12=0,0,T84/T$12)</f>
        <v>1.2820473133400079E-3</v>
      </c>
      <c r="W84" s="1"/>
      <c r="X84" s="1">
        <f t="shared" ref="X84:X85" si="47">+P84-T84</f>
        <v>-521.25</v>
      </c>
      <c r="Y84" s="1"/>
      <c r="Z84" s="5">
        <f t="shared" ref="Z84:Z85" si="48">IF(T84=0,0,X84/T84)</f>
        <v>-0.54721536927195424</v>
      </c>
    </row>
    <row r="85" spans="1:26" s="24" customFormat="1" hidden="1" outlineLevel="2" x14ac:dyDescent="0.25">
      <c r="A85" s="29"/>
      <c r="B85" s="11" t="str">
        <f>CONCATENATE("          ", "6309", " - ", "TELEPHONE")</f>
        <v xml:space="preserve">          6309 - TELEPHONE</v>
      </c>
      <c r="C85" s="11"/>
      <c r="D85" s="7">
        <v>254.25</v>
      </c>
      <c r="E85" s="2"/>
      <c r="F85" s="6">
        <f t="shared" si="41"/>
        <v>5.0696379829839628E-4</v>
      </c>
      <c r="G85" s="2"/>
      <c r="H85" s="7">
        <v>241.45</v>
      </c>
      <c r="I85" s="2"/>
      <c r="J85" s="6">
        <f t="shared" si="42"/>
        <v>7.6217601837227716E-4</v>
      </c>
      <c r="K85" s="2"/>
      <c r="L85" s="7">
        <f t="shared" si="43"/>
        <v>12.800000000000011</v>
      </c>
      <c r="M85" s="2"/>
      <c r="N85" s="6">
        <f t="shared" si="44"/>
        <v>5.3013046179333244E-2</v>
      </c>
      <c r="O85" s="11"/>
      <c r="P85" s="7">
        <v>431.3</v>
      </c>
      <c r="Q85" s="2"/>
      <c r="R85" s="6">
        <f t="shared" si="45"/>
        <v>4.9469378689722581E-4</v>
      </c>
      <c r="S85" s="2"/>
      <c r="T85" s="7">
        <v>952.55</v>
      </c>
      <c r="U85" s="2"/>
      <c r="V85" s="6">
        <f t="shared" si="46"/>
        <v>1.2820473133400079E-3</v>
      </c>
      <c r="W85" s="2"/>
      <c r="X85" s="7">
        <f t="shared" si="47"/>
        <v>-521.25</v>
      </c>
      <c r="Y85" s="2"/>
      <c r="Z85" s="6">
        <f t="shared" si="48"/>
        <v>-0.54721536927195424</v>
      </c>
    </row>
    <row r="86" spans="1:26" s="62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5" t="s">
        <v>0</v>
      </c>
      <c r="C87" s="10"/>
      <c r="D87" s="4">
        <f>SUM(OSRRefD25x_0)</f>
        <v>-3027.34</v>
      </c>
      <c r="E87" s="4"/>
      <c r="F87" s="12">
        <f t="shared" ref="F87:F90" si="49">IF(D$12=0,0,D87/D$12)</f>
        <v>-6.0363885354598511E-3</v>
      </c>
      <c r="G87" s="4"/>
      <c r="H87" s="4">
        <f>SUM(OSRRefH25x_0)</f>
        <v>273.41999999999996</v>
      </c>
      <c r="I87" s="4"/>
      <c r="J87" s="12">
        <f t="shared" ref="J87:J90" si="50">IF(H$12=0,0,H87/H$12)</f>
        <v>8.6309449966182647E-4</v>
      </c>
      <c r="K87" s="4"/>
      <c r="L87" s="4">
        <f t="shared" ref="L87:L90" si="51">+D87-H87</f>
        <v>-3300.76</v>
      </c>
      <c r="M87" s="4"/>
      <c r="N87" s="12">
        <f t="shared" ref="N87:N90" si="52">IF(H87=0,0,L87/H87)</f>
        <v>-12.072123473045135</v>
      </c>
      <c r="O87" s="10"/>
      <c r="P87" s="4">
        <f>SUM(OSRRefP25x_0)</f>
        <v>-3009.54</v>
      </c>
      <c r="Q87" s="4"/>
      <c r="R87" s="12">
        <f t="shared" ref="R87:R90" si="53">IF(P$12=0,0,P87/P$12)</f>
        <v>-3.4518913503794966E-3</v>
      </c>
      <c r="S87" s="4"/>
      <c r="T87" s="4">
        <f>SUM(OSRRefT25x_0)</f>
        <v>249.49999999999994</v>
      </c>
      <c r="U87" s="4"/>
      <c r="V87" s="12">
        <f t="shared" ref="V87:V90" si="54">IF(T$12=0,0,T87/T$12)</f>
        <v>3.3580473957097471E-4</v>
      </c>
      <c r="W87" s="4"/>
      <c r="X87" s="4">
        <f t="shared" ref="X87:X90" si="55">+P87-T87</f>
        <v>-3259.04</v>
      </c>
      <c r="Y87" s="4"/>
      <c r="Z87" s="12">
        <f t="shared" ref="Z87:Z90" si="56">IF(T87=0,0,X87/T87)</f>
        <v>-13.06228456913828</v>
      </c>
    </row>
    <row r="88" spans="1:26" s="24" customFormat="1" hidden="1" outlineLevel="1" x14ac:dyDescent="0.25">
      <c r="A88" s="50"/>
      <c r="B88" s="11" t="str">
        <f>CONCATENATE("          ", "4187", " - ", "NON-TAXABLE SALES-COMPUTER REP")</f>
        <v xml:space="preserve">          4187 - NON-TAXABLE SALES-COMPUTER REP</v>
      </c>
      <c r="C88" s="11"/>
      <c r="D88" s="2">
        <f>--1700.37</f>
        <v>1700.37</v>
      </c>
      <c r="E88" s="2"/>
      <c r="F88" s="21">
        <f t="shared" si="49"/>
        <v>3.3904662092926019E-3</v>
      </c>
      <c r="G88" s="2"/>
      <c r="H88" s="2">
        <f>--433.95</f>
        <v>433.95</v>
      </c>
      <c r="I88" s="2"/>
      <c r="J88" s="21">
        <f t="shared" si="50"/>
        <v>1.3698334362089446E-3</v>
      </c>
      <c r="K88" s="2"/>
      <c r="L88" s="2">
        <f t="shared" si="51"/>
        <v>1266.4199999999998</v>
      </c>
      <c r="M88" s="2"/>
      <c r="N88" s="21">
        <f t="shared" si="52"/>
        <v>2.918354649153128</v>
      </c>
      <c r="O88" s="11"/>
      <c r="P88" s="2">
        <f>--2482.26</f>
        <v>2482.2600000000002</v>
      </c>
      <c r="Q88" s="2"/>
      <c r="R88" s="21">
        <f t="shared" si="53"/>
        <v>2.8471101309146948E-3</v>
      </c>
      <c r="S88" s="2"/>
      <c r="T88" s="2">
        <f>--748.68</f>
        <v>748.68</v>
      </c>
      <c r="U88" s="2"/>
      <c r="V88" s="21">
        <f t="shared" si="54"/>
        <v>1.007656482653296E-3</v>
      </c>
      <c r="W88" s="2"/>
      <c r="X88" s="2">
        <f t="shared" si="55"/>
        <v>1733.5800000000004</v>
      </c>
      <c r="Y88" s="2"/>
      <c r="Z88" s="21">
        <f t="shared" si="56"/>
        <v>2.3155153069402155</v>
      </c>
    </row>
    <row r="89" spans="1:26" s="24" customFormat="1" hidden="1" outlineLevel="1" x14ac:dyDescent="0.25">
      <c r="A89" s="50"/>
      <c r="B89" s="11" t="str">
        <f>CONCATENATE("          ", "4387", " - ", "SALES RETURN NON TAXABLE-COMPU")</f>
        <v xml:space="preserve">          4387 - SALES RETURN NON TAXABLE-COMPU</v>
      </c>
      <c r="C89" s="11"/>
      <c r="D89" s="2">
        <f>-2820.7</f>
        <v>-2820.7</v>
      </c>
      <c r="E89" s="2"/>
      <c r="F89" s="21">
        <f t="shared" si="49"/>
        <v>-5.6243570731967993E-3</v>
      </c>
      <c r="G89" s="2"/>
      <c r="H89" s="2">
        <f>0</f>
        <v>0</v>
      </c>
      <c r="I89" s="2"/>
      <c r="J89" s="21">
        <f t="shared" si="50"/>
        <v>0</v>
      </c>
      <c r="K89" s="2"/>
      <c r="L89" s="2">
        <f t="shared" si="51"/>
        <v>-2820.7</v>
      </c>
      <c r="M89" s="2"/>
      <c r="N89" s="21">
        <f t="shared" si="52"/>
        <v>0</v>
      </c>
      <c r="O89" s="11"/>
      <c r="P89" s="2">
        <f>-3451.5</f>
        <v>-3451.5</v>
      </c>
      <c r="Q89" s="2"/>
      <c r="R89" s="21">
        <f t="shared" si="53"/>
        <v>-3.9588119765262579E-3</v>
      </c>
      <c r="S89" s="2"/>
      <c r="T89" s="2">
        <f>0</f>
        <v>0</v>
      </c>
      <c r="U89" s="2"/>
      <c r="V89" s="21">
        <f t="shared" si="54"/>
        <v>0</v>
      </c>
      <c r="W89" s="2"/>
      <c r="X89" s="2">
        <f t="shared" si="55"/>
        <v>-3451.5</v>
      </c>
      <c r="Y89" s="2"/>
      <c r="Z89" s="21">
        <f t="shared" si="56"/>
        <v>0</v>
      </c>
    </row>
    <row r="90" spans="1:26" s="24" customFormat="1" hidden="1" outlineLevel="1" x14ac:dyDescent="0.25">
      <c r="A90" s="50"/>
      <c r="B90" s="11" t="str">
        <f>CONCATENATE("          ", "9150", " - ", "MISC. INCOME")</f>
        <v xml:space="preserve">          9150 - MISC. INCOME</v>
      </c>
      <c r="C90" s="11"/>
      <c r="D90" s="2">
        <f>-1907.01</f>
        <v>-1907.01</v>
      </c>
      <c r="E90" s="2"/>
      <c r="F90" s="21">
        <f t="shared" si="49"/>
        <v>-3.8024976715556528E-3</v>
      </c>
      <c r="G90" s="2"/>
      <c r="H90" s="2">
        <f>-160.53</f>
        <v>-160.53</v>
      </c>
      <c r="I90" s="2"/>
      <c r="J90" s="21">
        <f t="shared" si="50"/>
        <v>-5.0673893654711803E-4</v>
      </c>
      <c r="K90" s="2"/>
      <c r="L90" s="2">
        <f t="shared" si="51"/>
        <v>-1746.48</v>
      </c>
      <c r="M90" s="2"/>
      <c r="N90" s="21">
        <f t="shared" si="52"/>
        <v>10.879461782844329</v>
      </c>
      <c r="O90" s="11"/>
      <c r="P90" s="2">
        <f>-2040.3</f>
        <v>-2040.3</v>
      </c>
      <c r="Q90" s="2"/>
      <c r="R90" s="21">
        <f t="shared" si="53"/>
        <v>-2.3401895047679335E-3</v>
      </c>
      <c r="S90" s="2"/>
      <c r="T90" s="2">
        <f>-499.18</f>
        <v>-499.18</v>
      </c>
      <c r="U90" s="2"/>
      <c r="V90" s="21">
        <f t="shared" si="54"/>
        <v>-6.7185174308232137E-4</v>
      </c>
      <c r="W90" s="2"/>
      <c r="X90" s="2">
        <f t="shared" si="55"/>
        <v>-1541.12</v>
      </c>
      <c r="Y90" s="2"/>
      <c r="Z90" s="21">
        <f t="shared" si="56"/>
        <v>3.0873031772106252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6" t="s">
        <v>3</v>
      </c>
      <c r="C92" s="26"/>
      <c r="D92" s="20">
        <f>+D49-D51+D87</f>
        <v>-21452.760000000078</v>
      </c>
      <c r="E92" s="13"/>
      <c r="F92" s="19">
        <f>IF(D$12=0,0,D92/D$12)</f>
        <v>-4.2775900466406856E-2</v>
      </c>
      <c r="G92" s="13"/>
      <c r="H92" s="20">
        <f>+H49-H51+H87</f>
        <v>-8277.9399999999423</v>
      </c>
      <c r="I92" s="13"/>
      <c r="J92" s="19">
        <f>IF(H$12=0,0,H92/H$12)</f>
        <v>-2.6130657898217287E-2</v>
      </c>
      <c r="K92" s="15"/>
      <c r="L92" s="20">
        <f>+D92-H92</f>
        <v>-13174.820000000136</v>
      </c>
      <c r="M92" s="15"/>
      <c r="N92" s="19">
        <f>IF(H92=0,0,L92/H92)</f>
        <v>1.5915578030283173</v>
      </c>
      <c r="O92" s="25"/>
      <c r="P92" s="20">
        <f>+P49-P51+P87</f>
        <v>-18446.709999999985</v>
      </c>
      <c r="Q92" s="13"/>
      <c r="R92" s="19">
        <f>IF(P$12=0,0,P92/P$12)</f>
        <v>-2.1158063588441727E-2</v>
      </c>
      <c r="S92" s="13"/>
      <c r="T92" s="20">
        <f>+T49-T51+T87</f>
        <v>21672.85000000002</v>
      </c>
      <c r="U92" s="13"/>
      <c r="V92" s="19">
        <f>IF(T$12=0,0,T92/T$12)</f>
        <v>2.9169722444933096E-2</v>
      </c>
      <c r="W92" s="15"/>
      <c r="X92" s="20">
        <f>+P92-T92</f>
        <v>-40119.560000000005</v>
      </c>
      <c r="Y92" s="15"/>
      <c r="Z92" s="19">
        <f>IF(T92=0,0,X92/T92)</f>
        <v>-1.8511437120637095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>
        <v>31700.05</v>
      </c>
      <c r="E94" s="4"/>
      <c r="F94" s="12">
        <f>IF(D$12=0,0,D94/D$12)</f>
        <v>6.320856540510944E-2</v>
      </c>
      <c r="G94" s="4"/>
      <c r="H94" s="4">
        <v>-11643.42</v>
      </c>
      <c r="I94" s="4"/>
      <c r="J94" s="12">
        <f>IF(H$12=0,0,H94/H$12)</f>
        <v>-3.6754340425910706E-2</v>
      </c>
      <c r="K94" s="4"/>
      <c r="L94" s="4">
        <f>+D94-H94</f>
        <v>43343.47</v>
      </c>
      <c r="M94" s="4"/>
      <c r="N94" s="12">
        <f>IF(H94=0,0,L94/H94)</f>
        <v>-3.7225720621604306</v>
      </c>
      <c r="O94" s="10"/>
      <c r="P94" s="4">
        <v>108704.09999999999</v>
      </c>
      <c r="Q94" s="4"/>
      <c r="R94" s="12">
        <f>IF(P$12=0,0,P94/P$12)</f>
        <v>0.12468175951832766</v>
      </c>
      <c r="S94" s="4"/>
      <c r="T94" s="4">
        <v>75855.91</v>
      </c>
      <c r="U94" s="4"/>
      <c r="V94" s="12">
        <f>IF(T$12=0,0,T94/T$12)</f>
        <v>0.1020952869838449</v>
      </c>
      <c r="W94" s="4"/>
      <c r="X94" s="4">
        <f>+P94-T94</f>
        <v>32848.189999999988</v>
      </c>
      <c r="Y94" s="4"/>
      <c r="Z94" s="12">
        <f>IF(T94=0,0,X94/T94)</f>
        <v>0.43303402463960933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4</v>
      </c>
      <c r="C96" s="26"/>
      <c r="D96" s="31">
        <f>+D92-D94</f>
        <v>-53152.810000000078</v>
      </c>
      <c r="E96" s="13"/>
      <c r="F96" s="36">
        <f>IF(D$12=0,0,D96/D$12)</f>
        <v>-0.1059844658715163</v>
      </c>
      <c r="G96" s="13"/>
      <c r="H96" s="31">
        <f>+H92-H94</f>
        <v>3365.4800000000578</v>
      </c>
      <c r="I96" s="13"/>
      <c r="J96" s="36">
        <f>IF(H$12=0,0,H96/H$12)</f>
        <v>1.0623682527693417E-2</v>
      </c>
      <c r="K96" s="15"/>
      <c r="L96" s="31">
        <f>D96-H96</f>
        <v>-56518.290000000139</v>
      </c>
      <c r="M96" s="15"/>
      <c r="N96" s="36">
        <f>IF(H96=0,0,L96/H96)</f>
        <v>-16.79353019480109</v>
      </c>
      <c r="O96" s="25"/>
      <c r="P96" s="31">
        <f>+P92-P94</f>
        <v>-127150.80999999997</v>
      </c>
      <c r="Q96" s="13"/>
      <c r="R96" s="36">
        <f>IF(P$12=0,0,P96/P$12)</f>
        <v>-0.14583982310676938</v>
      </c>
      <c r="S96" s="13"/>
      <c r="T96" s="31">
        <f>+T92-T94</f>
        <v>-54183.059999999983</v>
      </c>
      <c r="U96" s="13"/>
      <c r="V96" s="36">
        <f>IF(T$12=0,0,T96/T$12)</f>
        <v>-7.2925564538911802E-2</v>
      </c>
      <c r="W96" s="15"/>
      <c r="X96" s="31">
        <f>P96-T96</f>
        <v>-72967.749999999985</v>
      </c>
      <c r="Y96" s="15"/>
      <c r="Z96" s="36">
        <f>IF(T96=0,0,X96/T96)</f>
        <v>1.3466893527238957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5</v>
      </c>
      <c r="C99" s="26"/>
      <c r="D99" s="32">
        <f>SUM(D96:D98)</f>
        <v>-53152.810000000078</v>
      </c>
      <c r="E99" s="13"/>
      <c r="F99" s="30">
        <f>IF(D$12=0,0,D99/D$12)</f>
        <v>-0.1059844658715163</v>
      </c>
      <c r="G99" s="13"/>
      <c r="H99" s="32">
        <f>SUM(H96:H98)</f>
        <v>3365.4800000000578</v>
      </c>
      <c r="I99" s="13"/>
      <c r="J99" s="30">
        <f>IF(H$12=0,0,H99/H$12)</f>
        <v>1.0623682527693417E-2</v>
      </c>
      <c r="K99" s="15"/>
      <c r="L99" s="32">
        <f>+D99-H99</f>
        <v>-56518.290000000139</v>
      </c>
      <c r="M99" s="15"/>
      <c r="N99" s="30">
        <f>IF(H99=0,0,L99/H99)</f>
        <v>-16.79353019480109</v>
      </c>
      <c r="O99" s="25"/>
      <c r="P99" s="32">
        <f>SUM(P96:P98)</f>
        <v>-127150.80999999997</v>
      </c>
      <c r="Q99" s="13"/>
      <c r="R99" s="30">
        <f>IF(P$12=0,0,P99/P$12)</f>
        <v>-0.14583982310676938</v>
      </c>
      <c r="S99" s="13"/>
      <c r="T99" s="32">
        <f>SUM(T96:T98)</f>
        <v>-54183.059999999983</v>
      </c>
      <c r="U99" s="13"/>
      <c r="V99" s="30">
        <f>IF(T$12=0,0,T99/T$12)</f>
        <v>-7.2925564538911802E-2</v>
      </c>
      <c r="W99" s="15"/>
      <c r="X99" s="32">
        <f>+P99-T99</f>
        <v>-72967.749999999985</v>
      </c>
      <c r="Y99" s="15"/>
      <c r="Z99" s="30">
        <f>IF(T99=0,0,X99/T99)</f>
        <v>1.3466893527238957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7">
        <v>43732.709785150466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0" t="s">
        <v>313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6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128718.36000000002</v>
      </c>
      <c r="E12" s="4"/>
      <c r="F12" s="12"/>
      <c r="G12" s="4"/>
      <c r="H12" s="4">
        <f>SUM(OSRRefH13x_0)</f>
        <v>133918.08000000002</v>
      </c>
      <c r="I12" s="4"/>
      <c r="J12" s="12"/>
      <c r="K12" s="4"/>
      <c r="L12" s="4">
        <f t="shared" ref="L12:L21" si="0">+D12-H12</f>
        <v>-5199.7200000000012</v>
      </c>
      <c r="M12" s="4"/>
      <c r="N12" s="12">
        <f t="shared" ref="N12:N21" si="1">IF(H12=0,0,L12/H12)</f>
        <v>-3.8827617600252336E-2</v>
      </c>
      <c r="O12" s="10"/>
      <c r="P12" s="4">
        <f>SUM(OSRRefP13x_0)</f>
        <v>187543.3</v>
      </c>
      <c r="Q12" s="4"/>
      <c r="R12" s="12"/>
      <c r="S12" s="4"/>
      <c r="T12" s="4">
        <f>SUM(OSRRefT13x_0)</f>
        <v>192849.45</v>
      </c>
      <c r="U12" s="4"/>
      <c r="V12" s="12"/>
      <c r="W12" s="4"/>
      <c r="X12" s="4">
        <f t="shared" ref="X12:X21" si="2">+P12-T12</f>
        <v>-5306.1500000000233</v>
      </c>
      <c r="Y12" s="4"/>
      <c r="Z12" s="12">
        <f t="shared" ref="Z12:Z21" si="3">IF(T12=0,0,X12/T12)</f>
        <v>-2.7514467891923067E-2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2">
        <f>--17869.12</f>
        <v>17869.12</v>
      </c>
      <c r="E13" s="2"/>
      <c r="F13" s="21"/>
      <c r="G13" s="2"/>
      <c r="H13" s="2">
        <f>--18991.07</f>
        <v>18991.07</v>
      </c>
      <c r="I13" s="2"/>
      <c r="J13" s="21"/>
      <c r="K13" s="2"/>
      <c r="L13" s="2">
        <f t="shared" si="0"/>
        <v>-1121.9500000000007</v>
      </c>
      <c r="M13" s="2"/>
      <c r="N13" s="21">
        <f t="shared" si="1"/>
        <v>-5.9077766550278674E-2</v>
      </c>
      <c r="O13" s="11"/>
      <c r="P13" s="2">
        <f>--24749.38</f>
        <v>24749.38</v>
      </c>
      <c r="Q13" s="2"/>
      <c r="R13" s="21"/>
      <c r="S13" s="2"/>
      <c r="T13" s="2">
        <f>--26212.81</f>
        <v>26212.81</v>
      </c>
      <c r="U13" s="2"/>
      <c r="V13" s="21"/>
      <c r="W13" s="2"/>
      <c r="X13" s="2">
        <f t="shared" si="2"/>
        <v>-1463.4300000000003</v>
      </c>
      <c r="Y13" s="2"/>
      <c r="Z13" s="21">
        <f t="shared" si="3"/>
        <v>-5.5828810417501984E-2</v>
      </c>
    </row>
    <row r="14" spans="1:26" s="24" customFormat="1" hidden="1" outlineLevel="1" x14ac:dyDescent="0.25">
      <c r="A14" s="50"/>
      <c r="B14" s="11" t="str">
        <f>CONCATENATE("          ", "4034", " - ", "TAXABLE SALES-SODA")</f>
        <v xml:space="preserve">          4034 - TAXABLE SALES-SODA</v>
      </c>
      <c r="C14" s="11"/>
      <c r="D14" s="2">
        <f>--357.65</f>
        <v>357.65</v>
      </c>
      <c r="E14" s="2"/>
      <c r="F14" s="21"/>
      <c r="G14" s="2"/>
      <c r="H14" s="2">
        <f>--296.31</f>
        <v>296.31</v>
      </c>
      <c r="I14" s="2"/>
      <c r="J14" s="21"/>
      <c r="K14" s="2"/>
      <c r="L14" s="2">
        <f t="shared" si="0"/>
        <v>61.339999999999975</v>
      </c>
      <c r="M14" s="2"/>
      <c r="N14" s="21">
        <f t="shared" si="1"/>
        <v>0.20701292565218851</v>
      </c>
      <c r="O14" s="11"/>
      <c r="P14" s="2">
        <f>--646.4</f>
        <v>646.4</v>
      </c>
      <c r="Q14" s="2"/>
      <c r="R14" s="21"/>
      <c r="S14" s="2"/>
      <c r="T14" s="2">
        <f>--496.86</f>
        <v>496.86</v>
      </c>
      <c r="U14" s="2"/>
      <c r="V14" s="21"/>
      <c r="W14" s="2"/>
      <c r="X14" s="2">
        <f t="shared" si="2"/>
        <v>149.53999999999996</v>
      </c>
      <c r="Y14" s="2"/>
      <c r="Z14" s="21">
        <f t="shared" si="3"/>
        <v>0.30097009217888332</v>
      </c>
    </row>
    <row r="15" spans="1:26" s="24" customFormat="1" hidden="1" outlineLevel="1" x14ac:dyDescent="0.25">
      <c r="A15" s="50"/>
      <c r="B15" s="11" t="str">
        <f>CONCATENATE("          ", "4051", " - ", "TAXABLE SALES-FOOD")</f>
        <v xml:space="preserve">          4051 - TAXABLE SALES-FOOD</v>
      </c>
      <c r="C15" s="11"/>
      <c r="D15" s="2">
        <f>--7439.21</f>
        <v>7439.21</v>
      </c>
      <c r="E15" s="2"/>
      <c r="F15" s="21"/>
      <c r="G15" s="2"/>
      <c r="H15" s="2">
        <f>--9908.89</f>
        <v>9908.89</v>
      </c>
      <c r="I15" s="2"/>
      <c r="J15" s="21"/>
      <c r="K15" s="2"/>
      <c r="L15" s="2">
        <f t="shared" si="0"/>
        <v>-2469.6799999999994</v>
      </c>
      <c r="M15" s="2"/>
      <c r="N15" s="21">
        <f t="shared" si="1"/>
        <v>-0.24923881484202565</v>
      </c>
      <c r="O15" s="11"/>
      <c r="P15" s="2">
        <f>--11166.88</f>
        <v>11166.88</v>
      </c>
      <c r="Q15" s="2"/>
      <c r="R15" s="21"/>
      <c r="S15" s="2"/>
      <c r="T15" s="2">
        <f>--14103.72</f>
        <v>14103.72</v>
      </c>
      <c r="U15" s="2"/>
      <c r="V15" s="21"/>
      <c r="W15" s="2"/>
      <c r="X15" s="2">
        <f t="shared" si="2"/>
        <v>-2936.84</v>
      </c>
      <c r="Y15" s="2"/>
      <c r="Z15" s="21">
        <f t="shared" si="3"/>
        <v>-0.20823158712736783</v>
      </c>
    </row>
    <row r="16" spans="1:26" s="24" customFormat="1" hidden="1" outlineLevel="1" x14ac:dyDescent="0.25">
      <c r="A16" s="50"/>
      <c r="B16" s="11" t="str">
        <f>CONCATENATE("          ", "4132", " - ", "NON-TAXABLE SALES-JUICE")</f>
        <v xml:space="preserve">          4132 - NON-TAXABLE SALES-JUICE</v>
      </c>
      <c r="C16" s="11"/>
      <c r="D16" s="2">
        <f>--61911.21</f>
        <v>61911.21</v>
      </c>
      <c r="E16" s="2"/>
      <c r="F16" s="21"/>
      <c r="G16" s="2"/>
      <c r="H16" s="2">
        <f>--63826.19</f>
        <v>63826.19</v>
      </c>
      <c r="I16" s="2"/>
      <c r="J16" s="21"/>
      <c r="K16" s="2"/>
      <c r="L16" s="2">
        <f t="shared" si="0"/>
        <v>-1914.9800000000032</v>
      </c>
      <c r="M16" s="2"/>
      <c r="N16" s="21">
        <f t="shared" si="1"/>
        <v>-3.0003044204894622E-2</v>
      </c>
      <c r="O16" s="11"/>
      <c r="P16" s="2">
        <f>--93998.84</f>
        <v>93998.84</v>
      </c>
      <c r="Q16" s="2"/>
      <c r="R16" s="21"/>
      <c r="S16" s="2"/>
      <c r="T16" s="2">
        <f>--92860.87</f>
        <v>92860.87</v>
      </c>
      <c r="U16" s="2"/>
      <c r="V16" s="21"/>
      <c r="W16" s="2"/>
      <c r="X16" s="2">
        <f t="shared" si="2"/>
        <v>1137.9700000000012</v>
      </c>
      <c r="Y16" s="2"/>
      <c r="Z16" s="21">
        <f t="shared" si="3"/>
        <v>1.2254569658888628E-2</v>
      </c>
    </row>
    <row r="17" spans="1:26" s="24" customFormat="1" hidden="1" outlineLevel="1" x14ac:dyDescent="0.25">
      <c r="A17" s="50"/>
      <c r="B17" s="11" t="str">
        <f>CONCATENATE("          ", "4134", " - ", "NON-TAXABLE SALES-SODA")</f>
        <v xml:space="preserve">          4134 - NON-TAXABLE SALES-SODA</v>
      </c>
      <c r="C17" s="11"/>
      <c r="D17" s="2">
        <f>0</f>
        <v>0</v>
      </c>
      <c r="E17" s="2"/>
      <c r="F17" s="21"/>
      <c r="G17" s="2"/>
      <c r="H17" s="2">
        <f>--31.24</f>
        <v>31.24</v>
      </c>
      <c r="I17" s="2"/>
      <c r="J17" s="21"/>
      <c r="K17" s="2"/>
      <c r="L17" s="2">
        <f t="shared" si="0"/>
        <v>-31.24</v>
      </c>
      <c r="M17" s="2"/>
      <c r="N17" s="21">
        <f t="shared" si="1"/>
        <v>-1</v>
      </c>
      <c r="O17" s="11"/>
      <c r="P17" s="2">
        <f>-3.39</f>
        <v>-3.39</v>
      </c>
      <c r="Q17" s="2"/>
      <c r="R17" s="21"/>
      <c r="S17" s="2"/>
      <c r="T17" s="2">
        <f>--48.74</f>
        <v>48.74</v>
      </c>
      <c r="U17" s="2"/>
      <c r="V17" s="21"/>
      <c r="W17" s="2"/>
      <c r="X17" s="2">
        <f t="shared" si="2"/>
        <v>-52.13</v>
      </c>
      <c r="Y17" s="2"/>
      <c r="Z17" s="21">
        <f t="shared" si="3"/>
        <v>-1.0695527287648749</v>
      </c>
    </row>
    <row r="18" spans="1:26" s="24" customFormat="1" hidden="1" outlineLevel="1" x14ac:dyDescent="0.25">
      <c r="A18" s="50"/>
      <c r="B18" s="11" t="str">
        <f>CONCATENATE("          ", "4137", " - ", "NON-TAXABLE SALES-WATER")</f>
        <v xml:space="preserve">          4137 - NON-TAXABLE SALES-WATER</v>
      </c>
      <c r="C18" s="11"/>
      <c r="D18" s="2">
        <f>--173.02</f>
        <v>173.02</v>
      </c>
      <c r="E18" s="2"/>
      <c r="F18" s="21"/>
      <c r="G18" s="2"/>
      <c r="H18" s="2">
        <f>--349.04</f>
        <v>349.04</v>
      </c>
      <c r="I18" s="2"/>
      <c r="J18" s="21"/>
      <c r="K18" s="2"/>
      <c r="L18" s="2">
        <f t="shared" si="0"/>
        <v>-176.02</v>
      </c>
      <c r="M18" s="2"/>
      <c r="N18" s="21">
        <f t="shared" si="1"/>
        <v>-0.50429750171900067</v>
      </c>
      <c r="O18" s="11"/>
      <c r="P18" s="2">
        <f>--383.52</f>
        <v>383.52</v>
      </c>
      <c r="Q18" s="2"/>
      <c r="R18" s="21"/>
      <c r="S18" s="2"/>
      <c r="T18" s="2">
        <f>--535.72</f>
        <v>535.72</v>
      </c>
      <c r="U18" s="2"/>
      <c r="V18" s="21"/>
      <c r="W18" s="2"/>
      <c r="X18" s="2">
        <f t="shared" si="2"/>
        <v>-152.20000000000005</v>
      </c>
      <c r="Y18" s="2"/>
      <c r="Z18" s="21">
        <f t="shared" si="3"/>
        <v>-0.28410363622788032</v>
      </c>
    </row>
    <row r="19" spans="1:26" s="24" customFormat="1" hidden="1" outlineLevel="1" x14ac:dyDescent="0.25">
      <c r="A19" s="50"/>
      <c r="B19" s="11" t="str">
        <f>CONCATENATE("          ", "4151", " - ", "NON-TAXABLE SALES-FOOD")</f>
        <v xml:space="preserve">          4151 - NON-TAXABLE SALES-FOOD</v>
      </c>
      <c r="C19" s="11"/>
      <c r="D19" s="2">
        <f>--40740.65</f>
        <v>40740.65</v>
      </c>
      <c r="E19" s="2"/>
      <c r="F19" s="21"/>
      <c r="G19" s="2"/>
      <c r="H19" s="2">
        <f>--40176.78</f>
        <v>40176.78</v>
      </c>
      <c r="I19" s="2"/>
      <c r="J19" s="21"/>
      <c r="K19" s="2"/>
      <c r="L19" s="2">
        <f t="shared" si="0"/>
        <v>563.87000000000262</v>
      </c>
      <c r="M19" s="2"/>
      <c r="N19" s="21">
        <f t="shared" si="1"/>
        <v>1.4034723539318049E-2</v>
      </c>
      <c r="O19" s="11"/>
      <c r="P19" s="2">
        <f>--56137.17</f>
        <v>56137.17</v>
      </c>
      <c r="Q19" s="2"/>
      <c r="R19" s="21"/>
      <c r="S19" s="2"/>
      <c r="T19" s="2">
        <f>--58091.92</f>
        <v>58091.92</v>
      </c>
      <c r="U19" s="2"/>
      <c r="V19" s="21"/>
      <c r="W19" s="2"/>
      <c r="X19" s="2">
        <f t="shared" si="2"/>
        <v>-1954.75</v>
      </c>
      <c r="Y19" s="2"/>
      <c r="Z19" s="21">
        <f t="shared" si="3"/>
        <v>-3.3649257934666305E-2</v>
      </c>
    </row>
    <row r="20" spans="1:26" s="24" customFormat="1" hidden="1" outlineLevel="1" x14ac:dyDescent="0.25">
      <c r="A20" s="50"/>
      <c r="B20" s="11" t="str">
        <f>CONCATENATE("          ", "4153", " - ", "NON-TAXABLE SALES-FOOD")</f>
        <v xml:space="preserve">          4153 - NON-TAXABLE SALES-FOOD</v>
      </c>
      <c r="C20" s="11"/>
      <c r="D20" s="2">
        <f>--227.5</f>
        <v>227.5</v>
      </c>
      <c r="E20" s="2"/>
      <c r="F20" s="21"/>
      <c r="G20" s="2"/>
      <c r="H20" s="2">
        <f>--340.25</f>
        <v>340.25</v>
      </c>
      <c r="I20" s="2"/>
      <c r="J20" s="21"/>
      <c r="K20" s="2"/>
      <c r="L20" s="2">
        <f t="shared" si="0"/>
        <v>-112.75</v>
      </c>
      <c r="M20" s="2"/>
      <c r="N20" s="21">
        <f t="shared" si="1"/>
        <v>-0.331373989713446</v>
      </c>
      <c r="O20" s="11"/>
      <c r="P20" s="2">
        <f>--464.5</f>
        <v>464.5</v>
      </c>
      <c r="Q20" s="2"/>
      <c r="R20" s="21"/>
      <c r="S20" s="2"/>
      <c r="T20" s="2">
        <f>--500.5</f>
        <v>500.5</v>
      </c>
      <c r="U20" s="2"/>
      <c r="V20" s="21"/>
      <c r="W20" s="2"/>
      <c r="X20" s="2">
        <f t="shared" si="2"/>
        <v>-36</v>
      </c>
      <c r="Y20" s="2"/>
      <c r="Z20" s="21">
        <f t="shared" si="3"/>
        <v>-7.1928071928071935E-2</v>
      </c>
    </row>
    <row r="21" spans="1:26" s="24" customFormat="1" hidden="1" outlineLevel="1" x14ac:dyDescent="0.25">
      <c r="A21" s="50"/>
      <c r="B21" s="11" t="str">
        <f>CONCATENATE("          ", "4233", " - ", "SALES RETURN TAXABLE-CANDY")</f>
        <v xml:space="preserve">          4233 - SALES RETURN TAXABLE-CANDY</v>
      </c>
      <c r="C21" s="11"/>
      <c r="D21" s="2">
        <f>0</f>
        <v>0</v>
      </c>
      <c r="E21" s="2"/>
      <c r="F21" s="21"/>
      <c r="G21" s="2"/>
      <c r="H21" s="2">
        <f>-1.69</f>
        <v>-1.69</v>
      </c>
      <c r="I21" s="2"/>
      <c r="J21" s="21"/>
      <c r="K21" s="2"/>
      <c r="L21" s="2">
        <f t="shared" si="0"/>
        <v>1.69</v>
      </c>
      <c r="M21" s="2"/>
      <c r="N21" s="21">
        <f t="shared" si="1"/>
        <v>-1</v>
      </c>
      <c r="O21" s="11"/>
      <c r="P21" s="2">
        <f>0</f>
        <v>0</v>
      </c>
      <c r="Q21" s="2"/>
      <c r="R21" s="21"/>
      <c r="S21" s="2"/>
      <c r="T21" s="2">
        <f>-1.69</f>
        <v>-1.69</v>
      </c>
      <c r="U21" s="2"/>
      <c r="V21" s="21"/>
      <c r="W21" s="2"/>
      <c r="X21" s="2">
        <f t="shared" si="2"/>
        <v>1.69</v>
      </c>
      <c r="Y21" s="2"/>
      <c r="Z21" s="21">
        <f t="shared" si="3"/>
        <v>-1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5" t="s">
        <v>8</v>
      </c>
      <c r="C23" s="10"/>
      <c r="D23" s="4">
        <f>SUM(OSRRefD16x_0)</f>
        <v>66198.5</v>
      </c>
      <c r="E23" s="4"/>
      <c r="F23" s="12">
        <f t="shared" ref="F23:F25" si="4">IF(D$12=0,0,D23/D$12)</f>
        <v>0.51428949219054676</v>
      </c>
      <c r="G23" s="4"/>
      <c r="H23" s="4">
        <f>SUM(OSRRefH16x_0)</f>
        <v>70667.759999999995</v>
      </c>
      <c r="I23" s="4"/>
      <c r="J23" s="12">
        <f t="shared" ref="J23:J25" si="5">IF(H$12=0,0,H23/H$12)</f>
        <v>0.52769394543290937</v>
      </c>
      <c r="K23" s="4"/>
      <c r="L23" s="4">
        <f t="shared" ref="L23:L25" si="6">+D23-H23</f>
        <v>-4469.2599999999948</v>
      </c>
      <c r="M23" s="4"/>
      <c r="N23" s="12">
        <f t="shared" ref="N23:N25" si="7">IF(H23=0,0,L23/H23)</f>
        <v>-6.3243266802287146E-2</v>
      </c>
      <c r="O23" s="10"/>
      <c r="P23" s="4">
        <f>SUM(OSRRefP16x_0)</f>
        <v>91464.82</v>
      </c>
      <c r="Q23" s="4"/>
      <c r="R23" s="12">
        <f t="shared" ref="R23:R25" si="8">IF(P$12=0,0,P23/P$12)</f>
        <v>0.4876997472050455</v>
      </c>
      <c r="S23" s="4"/>
      <c r="T23" s="4">
        <f>SUM(OSRRefT16x_0)</f>
        <v>83180.719999999987</v>
      </c>
      <c r="U23" s="4"/>
      <c r="V23" s="12">
        <f t="shared" ref="V23:V25" si="9">IF(T$12=0,0,T23/T$12)</f>
        <v>0.43132464209776061</v>
      </c>
      <c r="W23" s="4"/>
      <c r="X23" s="4">
        <f t="shared" ref="X23:X25" si="10">+P23-T23</f>
        <v>8284.1000000000204</v>
      </c>
      <c r="Y23" s="4"/>
      <c r="Z23" s="12">
        <f t="shared" ref="Z23:Z25" si="11">IF(T23=0,0,X23/T23)</f>
        <v>9.9591588050692778E-2</v>
      </c>
    </row>
    <row r="24" spans="1:26" s="24" customFormat="1" hidden="1" outlineLevel="1" x14ac:dyDescent="0.25">
      <c r="A24" s="50"/>
      <c r="B24" s="11" t="str">
        <f>CONCATENATE("          ", "5053", " - ", "PURCHASES @ COST-FOOD")</f>
        <v xml:space="preserve">          5053 - PURCHASES @ COST-FOOD</v>
      </c>
      <c r="C24" s="11"/>
      <c r="D24" s="2">
        <v>95948.59</v>
      </c>
      <c r="E24" s="2"/>
      <c r="F24" s="21">
        <f t="shared" si="4"/>
        <v>0.74541495090521648</v>
      </c>
      <c r="G24" s="2"/>
      <c r="H24" s="2">
        <v>101504.65</v>
      </c>
      <c r="I24" s="2"/>
      <c r="J24" s="21">
        <f t="shared" si="5"/>
        <v>0.75796076228094056</v>
      </c>
      <c r="K24" s="2"/>
      <c r="L24" s="2">
        <f t="shared" si="6"/>
        <v>-5556.0599999999977</v>
      </c>
      <c r="M24" s="2"/>
      <c r="N24" s="21">
        <f t="shared" si="7"/>
        <v>-5.4736999733509727E-2</v>
      </c>
      <c r="O24" s="11"/>
      <c r="P24" s="2">
        <v>137505.66</v>
      </c>
      <c r="Q24" s="2"/>
      <c r="R24" s="21">
        <f t="shared" si="8"/>
        <v>0.73319420101917798</v>
      </c>
      <c r="S24" s="2"/>
      <c r="T24" s="2">
        <v>135173.54999999999</v>
      </c>
      <c r="U24" s="2"/>
      <c r="V24" s="21">
        <f t="shared" si="9"/>
        <v>0.70092784812194164</v>
      </c>
      <c r="W24" s="2"/>
      <c r="X24" s="2">
        <f t="shared" si="10"/>
        <v>2332.1100000000151</v>
      </c>
      <c r="Y24" s="2"/>
      <c r="Z24" s="21">
        <f t="shared" si="11"/>
        <v>1.7252709572250009E-2</v>
      </c>
    </row>
    <row r="25" spans="1:26" s="24" customFormat="1" hidden="1" outlineLevel="1" x14ac:dyDescent="0.25">
      <c r="A25" s="50"/>
      <c r="B25" s="11" t="str">
        <f>CONCATENATE("          ", "5059", " - ", "PURCHASES @ COST-FOOD")</f>
        <v xml:space="preserve">          5059 - PURCHASES @ COST-FOOD</v>
      </c>
      <c r="C25" s="11"/>
      <c r="D25" s="2">
        <v>-29750.09</v>
      </c>
      <c r="E25" s="2"/>
      <c r="F25" s="21">
        <f t="shared" si="4"/>
        <v>-0.23112545871466975</v>
      </c>
      <c r="G25" s="2"/>
      <c r="H25" s="2">
        <v>-30836.89</v>
      </c>
      <c r="I25" s="2"/>
      <c r="J25" s="21">
        <f t="shared" si="5"/>
        <v>-0.23026681684803124</v>
      </c>
      <c r="K25" s="2"/>
      <c r="L25" s="2">
        <f t="shared" si="6"/>
        <v>1086.7999999999993</v>
      </c>
      <c r="M25" s="2"/>
      <c r="N25" s="21">
        <f t="shared" si="7"/>
        <v>-3.5243502181964502E-2</v>
      </c>
      <c r="O25" s="11"/>
      <c r="P25" s="2">
        <v>-46040.84</v>
      </c>
      <c r="Q25" s="2"/>
      <c r="R25" s="21">
        <f t="shared" si="8"/>
        <v>-0.24549445381413251</v>
      </c>
      <c r="S25" s="2"/>
      <c r="T25" s="2">
        <v>-51992.83</v>
      </c>
      <c r="U25" s="2"/>
      <c r="V25" s="21">
        <f t="shared" si="9"/>
        <v>-0.26960320602418103</v>
      </c>
      <c r="W25" s="2"/>
      <c r="X25" s="2">
        <f t="shared" si="10"/>
        <v>5951.9900000000052</v>
      </c>
      <c r="Y25" s="2"/>
      <c r="Z25" s="21">
        <f t="shared" si="11"/>
        <v>-0.11447713078899542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6</v>
      </c>
      <c r="C27" s="26"/>
      <c r="D27" s="20">
        <f>D12-D23</f>
        <v>62519.860000000015</v>
      </c>
      <c r="E27" s="13"/>
      <c r="F27" s="19">
        <f>IF(D$12=0,0,D27/D$12)</f>
        <v>0.48571050780945318</v>
      </c>
      <c r="G27" s="13"/>
      <c r="H27" s="20">
        <f>H12-H23</f>
        <v>63250.320000000022</v>
      </c>
      <c r="I27" s="13"/>
      <c r="J27" s="19">
        <f>IF(H$12=0,0,H27/H$12)</f>
        <v>0.47230605456709068</v>
      </c>
      <c r="K27" s="15"/>
      <c r="L27" s="20">
        <f>+D27-H27</f>
        <v>-730.4600000000064</v>
      </c>
      <c r="M27" s="15"/>
      <c r="N27" s="19">
        <f>IF(H27=0,0,L27/H27)</f>
        <v>-1.1548716275269535E-2</v>
      </c>
      <c r="O27" s="25"/>
      <c r="P27" s="20">
        <f>P12-P23</f>
        <v>96078.479999999981</v>
      </c>
      <c r="Q27" s="13"/>
      <c r="R27" s="19">
        <f>IF(P$12=0,0,P27/P$12)</f>
        <v>0.5123002527949545</v>
      </c>
      <c r="S27" s="13"/>
      <c r="T27" s="20">
        <f>T12-T23</f>
        <v>109668.73000000003</v>
      </c>
      <c r="U27" s="13"/>
      <c r="V27" s="19">
        <f>IF(T$12=0,0,T27/T$12)</f>
        <v>0.56867535790223933</v>
      </c>
      <c r="W27" s="15"/>
      <c r="X27" s="20">
        <f>+P27-T27</f>
        <v>-13590.250000000044</v>
      </c>
      <c r="Y27" s="15"/>
      <c r="Z27" s="19">
        <f>IF(T27=0,0,X27/T27)</f>
        <v>-0.12392092075836057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9</v>
      </c>
      <c r="C29" s="10"/>
      <c r="D29" s="22">
        <f>SUM(OSRRefD22x_0)</f>
        <v>87745.76999999999</v>
      </c>
      <c r="E29" s="22"/>
      <c r="F29" s="33">
        <f t="shared" ref="F29:F38" si="12">IF(D$12=0,0,D29/D$12)</f>
        <v>0.68168806687717265</v>
      </c>
      <c r="G29" s="22"/>
      <c r="H29" s="22">
        <f>SUM(OSRRefH22x_0)</f>
        <v>91897.800000000017</v>
      </c>
      <c r="I29" s="22"/>
      <c r="J29" s="33">
        <f t="shared" ref="J29:J38" si="13">IF(H$12=0,0,H29/H$12)</f>
        <v>0.68622399604295403</v>
      </c>
      <c r="K29" s="4"/>
      <c r="L29" s="22">
        <f t="shared" ref="L29:L38" si="14">+D29-H29</f>
        <v>-4152.0300000000279</v>
      </c>
      <c r="M29" s="4"/>
      <c r="N29" s="33">
        <f t="shared" ref="N29:N38" si="15">IF(H29=0,0,L29/H29)</f>
        <v>-4.5180951012973404E-2</v>
      </c>
      <c r="O29" s="10"/>
      <c r="P29" s="22">
        <f>SUM(OSRRefP22x_0)</f>
        <v>172469.44999999995</v>
      </c>
      <c r="Q29" s="22"/>
      <c r="R29" s="33">
        <f t="shared" ref="R29:R38" si="16">IF(P$12=0,0,P29/P$12)</f>
        <v>0.91962469467051056</v>
      </c>
      <c r="S29" s="22"/>
      <c r="T29" s="22">
        <f>SUM(OSRRefT22x_0)</f>
        <v>162593.15000000005</v>
      </c>
      <c r="U29" s="22"/>
      <c r="V29" s="33">
        <f t="shared" ref="V29:V38" si="17">IF(T$12=0,0,T29/T$12)</f>
        <v>0.84310922328272153</v>
      </c>
      <c r="W29" s="4"/>
      <c r="X29" s="22">
        <f t="shared" ref="X29:X38" si="18">+P29-T29</f>
        <v>9876.299999999901</v>
      </c>
      <c r="Y29" s="4"/>
      <c r="Z29" s="33">
        <f t="shared" ref="Z29:Z38" si="19">IF(T29=0,0,X29/T29)</f>
        <v>6.0742411350047022E-2</v>
      </c>
    </row>
    <row r="30" spans="1:26" s="27" customFormat="1" outlineLevel="1" collapsed="1" x14ac:dyDescent="0.25">
      <c r="A30" s="28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13737.33</v>
      </c>
      <c r="E30" s="1"/>
      <c r="F30" s="5">
        <f t="shared" si="12"/>
        <v>0.10672393588606939</v>
      </c>
      <c r="G30" s="1"/>
      <c r="H30" s="1">
        <f>SUM(OSRRefH22_0x_0)</f>
        <v>13286.010000000002</v>
      </c>
      <c r="I30" s="1"/>
      <c r="J30" s="5">
        <f t="shared" si="13"/>
        <v>9.9209979712970797E-2</v>
      </c>
      <c r="K30" s="1"/>
      <c r="L30" s="1">
        <f t="shared" si="14"/>
        <v>451.31999999999789</v>
      </c>
      <c r="M30" s="1"/>
      <c r="N30" s="5">
        <f t="shared" si="15"/>
        <v>3.3969566483842618E-2</v>
      </c>
      <c r="O30" s="14"/>
      <c r="P30" s="1">
        <f>SUM(OSRRefP22_0x_0)</f>
        <v>28188.079999999998</v>
      </c>
      <c r="Q30" s="1"/>
      <c r="R30" s="5">
        <f t="shared" si="16"/>
        <v>0.1503017169901564</v>
      </c>
      <c r="S30" s="1"/>
      <c r="T30" s="1">
        <f>SUM(OSRRefT22_0x_0)</f>
        <v>23594.93</v>
      </c>
      <c r="U30" s="1"/>
      <c r="V30" s="5">
        <f t="shared" si="17"/>
        <v>0.1223489618456262</v>
      </c>
      <c r="W30" s="1"/>
      <c r="X30" s="1">
        <f t="shared" si="18"/>
        <v>4593.1499999999978</v>
      </c>
      <c r="Y30" s="1"/>
      <c r="Z30" s="5">
        <f t="shared" si="19"/>
        <v>0.19466682037200356</v>
      </c>
    </row>
    <row r="31" spans="1:26" s="24" customFormat="1" hidden="1" outlineLevel="2" x14ac:dyDescent="0.25">
      <c r="A31" s="29"/>
      <c r="B31" s="11" t="str">
        <f>CONCATENATE("          ", "6111", " - ", "F.I.C.A.")</f>
        <v xml:space="preserve">          6111 - F.I.C.A.</v>
      </c>
      <c r="C31" s="11"/>
      <c r="D31" s="7">
        <v>2537.65</v>
      </c>
      <c r="E31" s="2"/>
      <c r="F31" s="6">
        <f t="shared" si="12"/>
        <v>1.9714747764033039E-2</v>
      </c>
      <c r="G31" s="2"/>
      <c r="H31" s="7">
        <v>2415.5700000000002</v>
      </c>
      <c r="I31" s="2"/>
      <c r="J31" s="6">
        <f t="shared" si="13"/>
        <v>1.8037668998838692E-2</v>
      </c>
      <c r="K31" s="2"/>
      <c r="L31" s="7">
        <f t="shared" si="14"/>
        <v>122.07999999999993</v>
      </c>
      <c r="M31" s="2"/>
      <c r="N31" s="6">
        <f t="shared" si="15"/>
        <v>5.0538796226149485E-2</v>
      </c>
      <c r="O31" s="11"/>
      <c r="P31" s="7">
        <v>4745.0600000000004</v>
      </c>
      <c r="Q31" s="2"/>
      <c r="R31" s="6">
        <f t="shared" si="16"/>
        <v>2.5301143789194284E-2</v>
      </c>
      <c r="S31" s="2"/>
      <c r="T31" s="7">
        <v>4508.54</v>
      </c>
      <c r="U31" s="2"/>
      <c r="V31" s="6">
        <f t="shared" si="17"/>
        <v>2.3378547359092804E-2</v>
      </c>
      <c r="W31" s="2"/>
      <c r="X31" s="7">
        <f t="shared" si="18"/>
        <v>236.52000000000044</v>
      </c>
      <c r="Y31" s="2"/>
      <c r="Z31" s="6">
        <f t="shared" si="19"/>
        <v>5.2460441739454557E-2</v>
      </c>
    </row>
    <row r="32" spans="1:26" s="24" customFormat="1" hidden="1" outlineLevel="2" x14ac:dyDescent="0.25">
      <c r="A32" s="29"/>
      <c r="B32" s="11" t="str">
        <f>CONCATENATE("          ", "6112", " - ", "COMPENSATION INSURANCE")</f>
        <v xml:space="preserve">          6112 - COMPENSATION INSURANCE</v>
      </c>
      <c r="C32" s="11"/>
      <c r="D32" s="7">
        <v>791.53</v>
      </c>
      <c r="E32" s="2"/>
      <c r="F32" s="6">
        <f t="shared" si="12"/>
        <v>6.1493170049711629E-3</v>
      </c>
      <c r="G32" s="2"/>
      <c r="H32" s="7">
        <v>477.31</v>
      </c>
      <c r="I32" s="2"/>
      <c r="J32" s="6">
        <f t="shared" si="13"/>
        <v>3.5641938713577731E-3</v>
      </c>
      <c r="K32" s="2"/>
      <c r="L32" s="7">
        <f t="shared" si="14"/>
        <v>314.21999999999997</v>
      </c>
      <c r="M32" s="2"/>
      <c r="N32" s="6">
        <f t="shared" si="15"/>
        <v>0.65831430307347416</v>
      </c>
      <c r="O32" s="11"/>
      <c r="P32" s="7">
        <v>1489.12</v>
      </c>
      <c r="Q32" s="2"/>
      <c r="R32" s="6">
        <f t="shared" si="16"/>
        <v>7.9401396904074956E-3</v>
      </c>
      <c r="S32" s="2"/>
      <c r="T32" s="7">
        <v>1123.3</v>
      </c>
      <c r="U32" s="2"/>
      <c r="V32" s="6">
        <f t="shared" si="17"/>
        <v>5.8247508613584317E-3</v>
      </c>
      <c r="W32" s="2"/>
      <c r="X32" s="7">
        <f t="shared" si="18"/>
        <v>365.81999999999994</v>
      </c>
      <c r="Y32" s="2"/>
      <c r="Z32" s="6">
        <f t="shared" si="19"/>
        <v>0.32566545001335345</v>
      </c>
    </row>
    <row r="33" spans="1:26" s="24" customFormat="1" hidden="1" outlineLevel="2" x14ac:dyDescent="0.25">
      <c r="A33" s="29"/>
      <c r="B33" s="11" t="str">
        <f>CONCATENATE("          ", "6113", " - ", "GROUP INSURANCE")</f>
        <v xml:space="preserve">          6113 - GROUP INSURANCE</v>
      </c>
      <c r="C33" s="11"/>
      <c r="D33" s="7">
        <v>6378.17</v>
      </c>
      <c r="E33" s="2"/>
      <c r="F33" s="6">
        <f t="shared" si="12"/>
        <v>4.9551361592860561E-2</v>
      </c>
      <c r="G33" s="2"/>
      <c r="H33" s="7">
        <v>6724.22</v>
      </c>
      <c r="I33" s="2"/>
      <c r="J33" s="6">
        <f t="shared" si="13"/>
        <v>5.0211442696908436E-2</v>
      </c>
      <c r="K33" s="2"/>
      <c r="L33" s="7">
        <f t="shared" si="14"/>
        <v>-346.05000000000018</v>
      </c>
      <c r="M33" s="2"/>
      <c r="N33" s="6">
        <f t="shared" si="15"/>
        <v>-5.1463218038672168E-2</v>
      </c>
      <c r="O33" s="11"/>
      <c r="P33" s="7">
        <v>13223.99</v>
      </c>
      <c r="Q33" s="2"/>
      <c r="R33" s="6">
        <f t="shared" si="16"/>
        <v>7.0511663173251193E-2</v>
      </c>
      <c r="S33" s="2"/>
      <c r="T33" s="7">
        <v>9212.14</v>
      </c>
      <c r="U33" s="2"/>
      <c r="V33" s="6">
        <f t="shared" si="17"/>
        <v>4.7768557286525834E-2</v>
      </c>
      <c r="W33" s="2"/>
      <c r="X33" s="7">
        <f t="shared" si="18"/>
        <v>4011.8500000000004</v>
      </c>
      <c r="Y33" s="2"/>
      <c r="Z33" s="6">
        <f t="shared" si="19"/>
        <v>0.43549598681739538</v>
      </c>
    </row>
    <row r="34" spans="1:26" s="24" customFormat="1" hidden="1" outlineLevel="2" x14ac:dyDescent="0.25">
      <c r="A34" s="29"/>
      <c r="B34" s="11" t="str">
        <f>CONCATENATE("          ", "6114", " - ", "STATE UNEMPLOYMENT INSURANCE")</f>
        <v xml:space="preserve">          6114 - STATE UNEMPLOYMENT INSURANCE</v>
      </c>
      <c r="C34" s="11"/>
      <c r="D34" s="7">
        <v>87.97</v>
      </c>
      <c r="E34" s="2"/>
      <c r="F34" s="6">
        <f t="shared" si="12"/>
        <v>6.8343008720745031E-4</v>
      </c>
      <c r="G34" s="2"/>
      <c r="H34" s="7">
        <v>92.03</v>
      </c>
      <c r="I34" s="2"/>
      <c r="J34" s="6">
        <f t="shared" si="13"/>
        <v>6.8721116670728845E-4</v>
      </c>
      <c r="K34" s="2"/>
      <c r="L34" s="7">
        <f t="shared" si="14"/>
        <v>-4.0600000000000023</v>
      </c>
      <c r="M34" s="2"/>
      <c r="N34" s="6">
        <f t="shared" si="15"/>
        <v>-4.4116049114419235E-2</v>
      </c>
      <c r="O34" s="11"/>
      <c r="P34" s="7">
        <v>166.4</v>
      </c>
      <c r="Q34" s="2"/>
      <c r="R34" s="6">
        <f t="shared" si="16"/>
        <v>8.8726176834896266E-4</v>
      </c>
      <c r="S34" s="2"/>
      <c r="T34" s="7">
        <v>215.04</v>
      </c>
      <c r="U34" s="2"/>
      <c r="V34" s="6">
        <f t="shared" si="17"/>
        <v>1.1150667009939617E-3</v>
      </c>
      <c r="W34" s="2"/>
      <c r="X34" s="7">
        <f t="shared" si="18"/>
        <v>-48.639999999999986</v>
      </c>
      <c r="Y34" s="2"/>
      <c r="Z34" s="6">
        <f t="shared" si="19"/>
        <v>-0.22619047619047614</v>
      </c>
    </row>
    <row r="35" spans="1:26" s="24" customFormat="1" hidden="1" outlineLevel="2" x14ac:dyDescent="0.25">
      <c r="A35" s="29"/>
      <c r="B35" s="11" t="str">
        <f>CONCATENATE("          ", "6115", " - ", "P.E.R.S.")</f>
        <v xml:space="preserve">          6115 - P.E.R.S.</v>
      </c>
      <c r="C35" s="11"/>
      <c r="D35" s="7">
        <v>1497.9</v>
      </c>
      <c r="E35" s="2"/>
      <c r="F35" s="6">
        <f t="shared" si="12"/>
        <v>1.1637034530272138E-2</v>
      </c>
      <c r="G35" s="2"/>
      <c r="H35" s="7">
        <v>1355.66</v>
      </c>
      <c r="I35" s="2"/>
      <c r="J35" s="6">
        <f t="shared" si="13"/>
        <v>1.0123054332917556E-2</v>
      </c>
      <c r="K35" s="2"/>
      <c r="L35" s="7">
        <f t="shared" si="14"/>
        <v>142.24</v>
      </c>
      <c r="M35" s="2"/>
      <c r="N35" s="6">
        <f t="shared" si="15"/>
        <v>0.10492306330495847</v>
      </c>
      <c r="O35" s="11"/>
      <c r="P35" s="7">
        <v>2995.8</v>
      </c>
      <c r="Q35" s="2"/>
      <c r="R35" s="6">
        <f t="shared" si="16"/>
        <v>1.597391109146528E-2</v>
      </c>
      <c r="S35" s="2"/>
      <c r="T35" s="7">
        <v>3374.52</v>
      </c>
      <c r="U35" s="2"/>
      <c r="V35" s="6">
        <f t="shared" si="17"/>
        <v>1.7498209095229464E-2</v>
      </c>
      <c r="W35" s="2"/>
      <c r="X35" s="7">
        <f t="shared" si="18"/>
        <v>-378.7199999999998</v>
      </c>
      <c r="Y35" s="2"/>
      <c r="Z35" s="6">
        <f t="shared" si="19"/>
        <v>-0.11222929483304286</v>
      </c>
    </row>
    <row r="36" spans="1:26" s="24" customFormat="1" hidden="1" outlineLevel="2" x14ac:dyDescent="0.25">
      <c r="A36" s="29"/>
      <c r="B36" s="11" t="str">
        <f>CONCATENATE("          ", "6118", " - ", "VACATION")</f>
        <v xml:space="preserve">          6118 - VACATION</v>
      </c>
      <c r="C36" s="11"/>
      <c r="D36" s="7">
        <v>1056.98</v>
      </c>
      <c r="E36" s="2"/>
      <c r="F36" s="6">
        <f t="shared" si="12"/>
        <v>8.2115713717918707E-3</v>
      </c>
      <c r="G36" s="2"/>
      <c r="H36" s="7">
        <v>1016.52</v>
      </c>
      <c r="I36" s="2"/>
      <c r="J36" s="6">
        <f t="shared" si="13"/>
        <v>7.5906106180733766E-3</v>
      </c>
      <c r="K36" s="2"/>
      <c r="L36" s="7">
        <f t="shared" si="14"/>
        <v>40.460000000000036</v>
      </c>
      <c r="M36" s="2"/>
      <c r="N36" s="6">
        <f t="shared" si="15"/>
        <v>3.9802463306181909E-2</v>
      </c>
      <c r="O36" s="11"/>
      <c r="P36" s="7">
        <v>2422.85</v>
      </c>
      <c r="Q36" s="2"/>
      <c r="R36" s="6">
        <f t="shared" si="16"/>
        <v>1.2918883265891131E-2</v>
      </c>
      <c r="S36" s="2"/>
      <c r="T36" s="7">
        <v>2315.0300000000002</v>
      </c>
      <c r="U36" s="2"/>
      <c r="V36" s="6">
        <f t="shared" si="17"/>
        <v>1.2004338098967874E-2</v>
      </c>
      <c r="W36" s="2"/>
      <c r="X36" s="7">
        <f t="shared" si="18"/>
        <v>107.81999999999971</v>
      </c>
      <c r="Y36" s="2"/>
      <c r="Z36" s="6">
        <f t="shared" si="19"/>
        <v>4.6573910489280786E-2</v>
      </c>
    </row>
    <row r="37" spans="1:26" s="24" customFormat="1" hidden="1" outlineLevel="2" x14ac:dyDescent="0.25">
      <c r="A37" s="29"/>
      <c r="B37" s="11" t="str">
        <f>CONCATENATE("          ", "6119", " - ", "SICK LEAVE")</f>
        <v xml:space="preserve">          6119 - SICK LEAVE</v>
      </c>
      <c r="C37" s="11"/>
      <c r="D37" s="7">
        <v>788.12</v>
      </c>
      <c r="E37" s="2"/>
      <c r="F37" s="6">
        <f t="shared" si="12"/>
        <v>6.1228250577462289E-3</v>
      </c>
      <c r="G37" s="2"/>
      <c r="H37" s="7">
        <v>755.84</v>
      </c>
      <c r="I37" s="2"/>
      <c r="J37" s="6">
        <f t="shared" si="13"/>
        <v>5.6440474654355852E-3</v>
      </c>
      <c r="K37" s="2"/>
      <c r="L37" s="7">
        <f t="shared" si="14"/>
        <v>32.279999999999973</v>
      </c>
      <c r="M37" s="2"/>
      <c r="N37" s="6">
        <f t="shared" si="15"/>
        <v>4.2707451312447041E-2</v>
      </c>
      <c r="O37" s="11"/>
      <c r="P37" s="7">
        <v>1980.66</v>
      </c>
      <c r="Q37" s="2"/>
      <c r="R37" s="6">
        <f t="shared" si="16"/>
        <v>1.0561081094339281E-2</v>
      </c>
      <c r="S37" s="2"/>
      <c r="T37" s="7">
        <v>1950.75</v>
      </c>
      <c r="U37" s="2"/>
      <c r="V37" s="6">
        <f t="shared" si="17"/>
        <v>1.0115403492205965E-2</v>
      </c>
      <c r="W37" s="2"/>
      <c r="X37" s="7">
        <f t="shared" si="18"/>
        <v>29.910000000000082</v>
      </c>
      <c r="Y37" s="2"/>
      <c r="Z37" s="6">
        <f t="shared" si="19"/>
        <v>1.5332564398308384E-2</v>
      </c>
    </row>
    <row r="38" spans="1:26" s="24" customFormat="1" hidden="1" outlineLevel="2" x14ac:dyDescent="0.25">
      <c r="A38" s="29"/>
      <c r="B38" s="11" t="str">
        <f>CONCATENATE("          ", "6156", " - ", "EMPLOYEE MEALS")</f>
        <v xml:space="preserve">          6156 - EMPLOYEE MEALS</v>
      </c>
      <c r="C38" s="11"/>
      <c r="D38" s="7">
        <v>599.01</v>
      </c>
      <c r="E38" s="2"/>
      <c r="F38" s="6">
        <f t="shared" si="12"/>
        <v>4.6536484771869365E-3</v>
      </c>
      <c r="G38" s="2"/>
      <c r="H38" s="7">
        <v>448.86</v>
      </c>
      <c r="I38" s="2"/>
      <c r="J38" s="6">
        <f t="shared" si="13"/>
        <v>3.351750562732082E-3</v>
      </c>
      <c r="K38" s="2"/>
      <c r="L38" s="7">
        <f t="shared" si="14"/>
        <v>150.14999999999998</v>
      </c>
      <c r="M38" s="2"/>
      <c r="N38" s="6">
        <f t="shared" si="15"/>
        <v>0.33451410239272816</v>
      </c>
      <c r="O38" s="11"/>
      <c r="P38" s="7">
        <v>1164.2</v>
      </c>
      <c r="Q38" s="2"/>
      <c r="R38" s="6">
        <f t="shared" si="16"/>
        <v>6.2076331172587883E-3</v>
      </c>
      <c r="S38" s="2"/>
      <c r="T38" s="7">
        <v>895.61</v>
      </c>
      <c r="U38" s="2"/>
      <c r="V38" s="6">
        <f t="shared" si="17"/>
        <v>4.64408895125187E-3</v>
      </c>
      <c r="W38" s="2"/>
      <c r="X38" s="7">
        <f t="shared" si="18"/>
        <v>268.59000000000003</v>
      </c>
      <c r="Y38" s="2"/>
      <c r="Z38" s="6">
        <f t="shared" si="19"/>
        <v>0.29989616015899778</v>
      </c>
    </row>
    <row r="39" spans="1:26" s="27" customFormat="1" outlineLevel="1" collapsed="1" x14ac:dyDescent="0.25">
      <c r="A39" s="28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42174.81</v>
      </c>
      <c r="E39" s="1"/>
      <c r="F39" s="5">
        <f t="shared" ref="F39:F45" si="20">IF(D$12=0,0,D39/D$12)</f>
        <v>0.32765185945501474</v>
      </c>
      <c r="G39" s="1"/>
      <c r="H39" s="1">
        <f>SUM(OSRRefH22_1x_0)</f>
        <v>43147.74</v>
      </c>
      <c r="I39" s="1"/>
      <c r="J39" s="5">
        <f t="shared" ref="J39:J45" si="21">IF(H$12=0,0,H39/H$12)</f>
        <v>0.32219503146998518</v>
      </c>
      <c r="K39" s="1"/>
      <c r="L39" s="1">
        <f t="shared" ref="L39:L45" si="22">+D39-H39</f>
        <v>-972.93000000000029</v>
      </c>
      <c r="M39" s="1"/>
      <c r="N39" s="5">
        <f t="shared" ref="N39:N45" si="23">IF(H39=0,0,L39/H39)</f>
        <v>-2.2548805568959124E-2</v>
      </c>
      <c r="O39" s="14"/>
      <c r="P39" s="1">
        <f>SUM(OSRRefP22_1x_0)</f>
        <v>79943.360000000001</v>
      </c>
      <c r="Q39" s="1"/>
      <c r="R39" s="5">
        <f t="shared" ref="R39:R45" si="24">IF(P$12=0,0,P39/P$12)</f>
        <v>0.42626614760431325</v>
      </c>
      <c r="S39" s="1"/>
      <c r="T39" s="1">
        <f>SUM(OSRRefT22_1x_0)</f>
        <v>76409.3</v>
      </c>
      <c r="U39" s="1"/>
      <c r="V39" s="5">
        <f t="shared" ref="V39:V45" si="25">IF(T$12=0,0,T39/T$12)</f>
        <v>0.39621217483378873</v>
      </c>
      <c r="W39" s="1"/>
      <c r="X39" s="1">
        <f t="shared" ref="X39:X45" si="26">+P39-T39</f>
        <v>3534.0599999999977</v>
      </c>
      <c r="Y39" s="1"/>
      <c r="Z39" s="5">
        <f t="shared" ref="Z39:Z45" si="27">IF(T39=0,0,X39/T39)</f>
        <v>4.6251699727650919E-2</v>
      </c>
    </row>
    <row r="40" spans="1:26" s="24" customFormat="1" hidden="1" outlineLevel="2" x14ac:dyDescent="0.25">
      <c r="A40" s="29"/>
      <c r="B40" s="11" t="str">
        <f>CONCATENATE("          ", "6002", " - ", "STAFF SALARIES")</f>
        <v xml:space="preserve">          6002 - STAFF SALARIES</v>
      </c>
      <c r="C40" s="11"/>
      <c r="D40" s="7">
        <v>15742.66</v>
      </c>
      <c r="E40" s="2"/>
      <c r="F40" s="6">
        <f t="shared" si="20"/>
        <v>0.12230314307920019</v>
      </c>
      <c r="G40" s="2"/>
      <c r="H40" s="7">
        <v>15760.84</v>
      </c>
      <c r="I40" s="2"/>
      <c r="J40" s="6">
        <f t="shared" si="21"/>
        <v>0.1176901580428871</v>
      </c>
      <c r="K40" s="2"/>
      <c r="L40" s="7">
        <f t="shared" si="22"/>
        <v>-18.180000000000291</v>
      </c>
      <c r="M40" s="2"/>
      <c r="N40" s="6">
        <f t="shared" si="23"/>
        <v>-1.1534918189639823E-3</v>
      </c>
      <c r="O40" s="11"/>
      <c r="P40" s="7">
        <v>35026.700000000004</v>
      </c>
      <c r="Q40" s="2"/>
      <c r="R40" s="6">
        <f t="shared" si="24"/>
        <v>0.18676593618647003</v>
      </c>
      <c r="S40" s="2"/>
      <c r="T40" s="7">
        <v>33517</v>
      </c>
      <c r="U40" s="2"/>
      <c r="V40" s="6">
        <f t="shared" si="25"/>
        <v>0.17379878449225547</v>
      </c>
      <c r="W40" s="2"/>
      <c r="X40" s="7">
        <f t="shared" si="26"/>
        <v>1509.7000000000044</v>
      </c>
      <c r="Y40" s="2"/>
      <c r="Z40" s="6">
        <f t="shared" si="27"/>
        <v>4.5042814094340314E-2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>
        <v>254.64</v>
      </c>
      <c r="E41" s="2"/>
      <c r="F41" s="6">
        <f t="shared" si="20"/>
        <v>1.978272563447825E-3</v>
      </c>
      <c r="G41" s="2"/>
      <c r="H41" s="7"/>
      <c r="I41" s="2"/>
      <c r="J41" s="6">
        <f t="shared" si="21"/>
        <v>0</v>
      </c>
      <c r="K41" s="2"/>
      <c r="L41" s="7">
        <f t="shared" si="22"/>
        <v>254.64</v>
      </c>
      <c r="M41" s="2"/>
      <c r="N41" s="6">
        <f t="shared" si="23"/>
        <v>0</v>
      </c>
      <c r="O41" s="11"/>
      <c r="P41" s="7">
        <v>254.64</v>
      </c>
      <c r="Q41" s="2"/>
      <c r="R41" s="6">
        <f t="shared" si="24"/>
        <v>1.3577664464686288E-3</v>
      </c>
      <c r="S41" s="2"/>
      <c r="T41" s="7"/>
      <c r="U41" s="2"/>
      <c r="V41" s="6">
        <f t="shared" si="25"/>
        <v>0</v>
      </c>
      <c r="W41" s="2"/>
      <c r="X41" s="7">
        <f t="shared" si="26"/>
        <v>254.64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5233.43</v>
      </c>
      <c r="E42" s="2"/>
      <c r="F42" s="6">
        <f t="shared" si="20"/>
        <v>4.0657991602751929E-2</v>
      </c>
      <c r="G42" s="2"/>
      <c r="H42" s="7">
        <v>5272.24</v>
      </c>
      <c r="I42" s="2"/>
      <c r="J42" s="6">
        <f t="shared" si="21"/>
        <v>3.9369142687828255E-2</v>
      </c>
      <c r="K42" s="2"/>
      <c r="L42" s="7">
        <f t="shared" si="22"/>
        <v>-38.809999999999491</v>
      </c>
      <c r="M42" s="2"/>
      <c r="N42" s="6">
        <f t="shared" si="23"/>
        <v>-7.361197517563596E-3</v>
      </c>
      <c r="O42" s="11"/>
      <c r="P42" s="7">
        <v>8690.84</v>
      </c>
      <c r="Q42" s="2"/>
      <c r="R42" s="6">
        <f t="shared" si="24"/>
        <v>4.6340445113208527E-2</v>
      </c>
      <c r="S42" s="2"/>
      <c r="T42" s="7">
        <v>9907.27</v>
      </c>
      <c r="U42" s="2"/>
      <c r="V42" s="6">
        <f t="shared" si="25"/>
        <v>5.1373078844663543E-2</v>
      </c>
      <c r="W42" s="2"/>
      <c r="X42" s="7">
        <f t="shared" si="26"/>
        <v>-1216.4300000000003</v>
      </c>
      <c r="Y42" s="2"/>
      <c r="Z42" s="6">
        <f t="shared" si="27"/>
        <v>-0.12278155334416042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>
        <v>454.5</v>
      </c>
      <c r="E43" s="2"/>
      <c r="F43" s="6">
        <f t="shared" si="20"/>
        <v>3.5309648134112331E-3</v>
      </c>
      <c r="G43" s="2"/>
      <c r="H43" s="7">
        <v>1751.16</v>
      </c>
      <c r="I43" s="2"/>
      <c r="J43" s="6">
        <f t="shared" si="21"/>
        <v>1.3076352349137621E-2</v>
      </c>
      <c r="K43" s="2"/>
      <c r="L43" s="7">
        <f t="shared" si="22"/>
        <v>-1296.6600000000001</v>
      </c>
      <c r="M43" s="2"/>
      <c r="N43" s="6">
        <f t="shared" si="23"/>
        <v>-0.74045775371753586</v>
      </c>
      <c r="O43" s="11"/>
      <c r="P43" s="7">
        <v>1181.25</v>
      </c>
      <c r="Q43" s="2"/>
      <c r="R43" s="6">
        <f t="shared" si="24"/>
        <v>6.2985454559027175E-3</v>
      </c>
      <c r="S43" s="2"/>
      <c r="T43" s="7">
        <v>3394.13</v>
      </c>
      <c r="U43" s="2"/>
      <c r="V43" s="6">
        <f t="shared" si="25"/>
        <v>1.7599894632834057E-2</v>
      </c>
      <c r="W43" s="2"/>
      <c r="X43" s="7">
        <f t="shared" si="26"/>
        <v>-2212.88</v>
      </c>
      <c r="Y43" s="2"/>
      <c r="Z43" s="6">
        <f t="shared" si="27"/>
        <v>-0.65197267046341778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>
        <v>18790.64</v>
      </c>
      <c r="E44" s="2"/>
      <c r="F44" s="6">
        <f t="shared" si="20"/>
        <v>0.1459825933145823</v>
      </c>
      <c r="G44" s="2"/>
      <c r="H44" s="7">
        <v>18371.62</v>
      </c>
      <c r="I44" s="2"/>
      <c r="J44" s="6">
        <f t="shared" si="21"/>
        <v>0.13718550923071773</v>
      </c>
      <c r="K44" s="2"/>
      <c r="L44" s="7">
        <f t="shared" si="22"/>
        <v>419.02000000000044</v>
      </c>
      <c r="M44" s="2"/>
      <c r="N44" s="6">
        <f t="shared" si="23"/>
        <v>2.2808004955469384E-2</v>
      </c>
      <c r="O44" s="11"/>
      <c r="P44" s="7">
        <v>31298.390000000003</v>
      </c>
      <c r="Q44" s="2"/>
      <c r="R44" s="6">
        <f t="shared" si="24"/>
        <v>0.16688620707857868</v>
      </c>
      <c r="S44" s="2"/>
      <c r="T44" s="7">
        <v>25962.52</v>
      </c>
      <c r="U44" s="2"/>
      <c r="V44" s="6">
        <f t="shared" si="25"/>
        <v>0.13462584414941292</v>
      </c>
      <c r="W44" s="2"/>
      <c r="X44" s="7">
        <f t="shared" si="26"/>
        <v>5335.8700000000026</v>
      </c>
      <c r="Y44" s="2"/>
      <c r="Z44" s="6">
        <f t="shared" si="27"/>
        <v>0.20552203715201769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>
        <v>1698.94</v>
      </c>
      <c r="E45" s="2"/>
      <c r="F45" s="6">
        <f t="shared" si="20"/>
        <v>1.3198894081621299E-2</v>
      </c>
      <c r="G45" s="2"/>
      <c r="H45" s="7">
        <v>1991.88</v>
      </c>
      <c r="I45" s="2"/>
      <c r="J45" s="6">
        <f t="shared" si="21"/>
        <v>1.4873869159414471E-2</v>
      </c>
      <c r="K45" s="2"/>
      <c r="L45" s="7">
        <f t="shared" si="22"/>
        <v>-292.94000000000005</v>
      </c>
      <c r="M45" s="2"/>
      <c r="N45" s="6">
        <f t="shared" si="23"/>
        <v>-0.14706709239512422</v>
      </c>
      <c r="O45" s="11"/>
      <c r="P45" s="7">
        <v>3491.54</v>
      </c>
      <c r="Q45" s="2"/>
      <c r="R45" s="6">
        <f t="shared" si="24"/>
        <v>1.8617247323684718E-2</v>
      </c>
      <c r="S45" s="2"/>
      <c r="T45" s="7">
        <v>3628.38</v>
      </c>
      <c r="U45" s="2"/>
      <c r="V45" s="6">
        <f t="shared" si="25"/>
        <v>1.8814572714622727E-2</v>
      </c>
      <c r="W45" s="2"/>
      <c r="X45" s="7">
        <f t="shared" si="26"/>
        <v>-136.84000000000015</v>
      </c>
      <c r="Y45" s="2"/>
      <c r="Z45" s="6">
        <f t="shared" si="27"/>
        <v>-3.7713800649325634E-2</v>
      </c>
    </row>
    <row r="46" spans="1:26" s="27" customFormat="1" outlineLevel="1" collapsed="1" x14ac:dyDescent="0.25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192.39</v>
      </c>
      <c r="E46" s="1"/>
      <c r="F46" s="5">
        <f t="shared" ref="F46:F54" si="28">IF(D$12=0,0,D46/D$12)</f>
        <v>1.4946585708518968E-3</v>
      </c>
      <c r="G46" s="1"/>
      <c r="H46" s="1">
        <f>SUM(OSRRefH22_2x_0)</f>
        <v>78</v>
      </c>
      <c r="I46" s="1"/>
      <c r="J46" s="5">
        <f t="shared" ref="J46:J54" si="29">IF(H$12=0,0,H46/H$12)</f>
        <v>5.8244562646059435E-4</v>
      </c>
      <c r="K46" s="1"/>
      <c r="L46" s="1">
        <f t="shared" ref="L46:L54" si="30">+D46-H46</f>
        <v>114.38999999999999</v>
      </c>
      <c r="M46" s="1"/>
      <c r="N46" s="5">
        <f t="shared" ref="N46:N54" si="31">IF(H46=0,0,L46/H46)</f>
        <v>1.4665384615384613</v>
      </c>
      <c r="O46" s="14"/>
      <c r="P46" s="1">
        <f>SUM(OSRRefP22_2x_0)</f>
        <v>592.01</v>
      </c>
      <c r="Q46" s="1"/>
      <c r="R46" s="5">
        <f t="shared" ref="R46:R54" si="32">IF(P$12=0,0,P46/P$12)</f>
        <v>3.1566576891843114E-3</v>
      </c>
      <c r="S46" s="1"/>
      <c r="T46" s="1">
        <f>SUM(OSRRefT22_2x_0)</f>
        <v>410.5</v>
      </c>
      <c r="U46" s="1"/>
      <c r="V46" s="5">
        <f t="shared" ref="V46:V54" si="33">IF(T$12=0,0,T46/T$12)</f>
        <v>2.1286034261440725E-3</v>
      </c>
      <c r="W46" s="1"/>
      <c r="X46" s="1">
        <f t="shared" ref="X46:X54" si="34">+P46-T46</f>
        <v>181.51</v>
      </c>
      <c r="Y46" s="1"/>
      <c r="Z46" s="5">
        <f t="shared" ref="Z46:Z54" si="35">IF(T46=0,0,X46/T46)</f>
        <v>0.44216808769792931</v>
      </c>
    </row>
    <row r="47" spans="1:26" s="24" customFormat="1" hidden="1" outlineLevel="2" x14ac:dyDescent="0.25">
      <c r="A47" s="29"/>
      <c r="B47" s="11" t="str">
        <f>CONCATENATE("          ", "6362", " - ", "ADVERTISING EXPENSE")</f>
        <v xml:space="preserve">          6362 - ADVERTISING EXPENSE</v>
      </c>
      <c r="C47" s="11"/>
      <c r="D47" s="7">
        <v>192.39</v>
      </c>
      <c r="E47" s="2"/>
      <c r="F47" s="6">
        <f t="shared" si="28"/>
        <v>1.4946585708518968E-3</v>
      </c>
      <c r="G47" s="2"/>
      <c r="H47" s="7">
        <v>78</v>
      </c>
      <c r="I47" s="2"/>
      <c r="J47" s="6">
        <f t="shared" si="29"/>
        <v>5.8244562646059435E-4</v>
      </c>
      <c r="K47" s="2"/>
      <c r="L47" s="7">
        <f t="shared" si="30"/>
        <v>114.38999999999999</v>
      </c>
      <c r="M47" s="2"/>
      <c r="N47" s="6">
        <f t="shared" si="31"/>
        <v>1.4665384615384613</v>
      </c>
      <c r="O47" s="11"/>
      <c r="P47" s="7">
        <v>592.01</v>
      </c>
      <c r="Q47" s="2"/>
      <c r="R47" s="6">
        <f t="shared" si="32"/>
        <v>3.1566576891843114E-3</v>
      </c>
      <c r="S47" s="2"/>
      <c r="T47" s="7">
        <v>410.5</v>
      </c>
      <c r="U47" s="2"/>
      <c r="V47" s="6">
        <f t="shared" si="33"/>
        <v>2.1286034261440725E-3</v>
      </c>
      <c r="W47" s="2"/>
      <c r="X47" s="7">
        <f t="shared" si="34"/>
        <v>181.51</v>
      </c>
      <c r="Y47" s="2"/>
      <c r="Z47" s="6">
        <f t="shared" si="35"/>
        <v>0.44216808769792931</v>
      </c>
    </row>
    <row r="48" spans="1:26" s="27" customFormat="1" outlineLevel="1" collapsed="1" x14ac:dyDescent="0.25">
      <c r="A48" s="28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-5.34</v>
      </c>
      <c r="E48" s="1"/>
      <c r="F48" s="5">
        <f t="shared" si="28"/>
        <v>-4.1485923220277198E-5</v>
      </c>
      <c r="G48" s="1"/>
      <c r="H48" s="1">
        <f>SUM(OSRRefH22_3x_0)</f>
        <v>-56.07</v>
      </c>
      <c r="I48" s="1"/>
      <c r="J48" s="5">
        <f t="shared" si="29"/>
        <v>-4.1868879840571184E-4</v>
      </c>
      <c r="K48" s="1"/>
      <c r="L48" s="1">
        <f t="shared" si="30"/>
        <v>50.730000000000004</v>
      </c>
      <c r="M48" s="1"/>
      <c r="N48" s="5">
        <f t="shared" si="31"/>
        <v>-0.90476190476190488</v>
      </c>
      <c r="O48" s="14"/>
      <c r="P48" s="1">
        <f>SUM(OSRRefP22_3x_0)</f>
        <v>-7.52</v>
      </c>
      <c r="Q48" s="1"/>
      <c r="R48" s="5">
        <f t="shared" si="32"/>
        <v>-4.0097406838847346E-5</v>
      </c>
      <c r="S48" s="1"/>
      <c r="T48" s="1">
        <f>SUM(OSRRefT22_3x_0)</f>
        <v>-82.88</v>
      </c>
      <c r="U48" s="1"/>
      <c r="V48" s="5">
        <f t="shared" si="33"/>
        <v>-4.297652910080894E-4</v>
      </c>
      <c r="W48" s="1"/>
      <c r="X48" s="1">
        <f t="shared" si="34"/>
        <v>75.36</v>
      </c>
      <c r="Y48" s="1"/>
      <c r="Z48" s="5">
        <f t="shared" si="35"/>
        <v>-0.90926640926640934</v>
      </c>
    </row>
    <row r="49" spans="1:26" s="24" customFormat="1" hidden="1" outlineLevel="2" x14ac:dyDescent="0.25">
      <c r="A49" s="29"/>
      <c r="B49" s="11" t="str">
        <f>CONCATENATE("          ", "6272", " - ", "CASH (OVER/SHORT)")</f>
        <v xml:space="preserve">          6272 - CASH (OVER/SHORT)</v>
      </c>
      <c r="C49" s="11"/>
      <c r="D49" s="7">
        <v>-5.34</v>
      </c>
      <c r="E49" s="2"/>
      <c r="F49" s="6">
        <f t="shared" si="28"/>
        <v>-4.1485923220277198E-5</v>
      </c>
      <c r="G49" s="2"/>
      <c r="H49" s="7">
        <v>-56.07</v>
      </c>
      <c r="I49" s="2"/>
      <c r="J49" s="6">
        <f t="shared" si="29"/>
        <v>-4.1868879840571184E-4</v>
      </c>
      <c r="K49" s="2"/>
      <c r="L49" s="7">
        <f t="shared" si="30"/>
        <v>50.730000000000004</v>
      </c>
      <c r="M49" s="2"/>
      <c r="N49" s="6">
        <f t="shared" si="31"/>
        <v>-0.90476190476190488</v>
      </c>
      <c r="O49" s="11"/>
      <c r="P49" s="7">
        <v>-7.52</v>
      </c>
      <c r="Q49" s="2"/>
      <c r="R49" s="6">
        <f t="shared" si="32"/>
        <v>-4.0097406838847346E-5</v>
      </c>
      <c r="S49" s="2"/>
      <c r="T49" s="7">
        <v>-82.88</v>
      </c>
      <c r="U49" s="2"/>
      <c r="V49" s="6">
        <f t="shared" si="33"/>
        <v>-4.297652910080894E-4</v>
      </c>
      <c r="W49" s="2"/>
      <c r="X49" s="7">
        <f t="shared" si="34"/>
        <v>75.36</v>
      </c>
      <c r="Y49" s="2"/>
      <c r="Z49" s="6">
        <f t="shared" si="35"/>
        <v>-0.90926640926640934</v>
      </c>
    </row>
    <row r="50" spans="1:26" s="27" customFormat="1" outlineLevel="1" collapsed="1" x14ac:dyDescent="0.25">
      <c r="A50" s="28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4417.66</v>
      </c>
      <c r="E50" s="1"/>
      <c r="F50" s="5">
        <f t="shared" si="28"/>
        <v>3.4320356474398829E-2</v>
      </c>
      <c r="G50" s="1"/>
      <c r="H50" s="1">
        <f>SUM(OSRRefH22_4x_0)</f>
        <v>4225.55</v>
      </c>
      <c r="I50" s="1"/>
      <c r="J50" s="5">
        <f t="shared" si="29"/>
        <v>3.1553245088340572E-2</v>
      </c>
      <c r="K50" s="1"/>
      <c r="L50" s="1">
        <f t="shared" si="30"/>
        <v>192.10999999999967</v>
      </c>
      <c r="M50" s="1"/>
      <c r="N50" s="5">
        <f t="shared" si="31"/>
        <v>4.5463904107157567E-2</v>
      </c>
      <c r="O50" s="14"/>
      <c r="P50" s="1">
        <f>SUM(OSRRefP22_4x_0)</f>
        <v>5967.12</v>
      </c>
      <c r="Q50" s="1"/>
      <c r="R50" s="5">
        <f t="shared" si="32"/>
        <v>3.181729232662537E-2</v>
      </c>
      <c r="S50" s="1"/>
      <c r="T50" s="1">
        <f>SUM(OSRRefT22_4x_0)</f>
        <v>5512.46</v>
      </c>
      <c r="U50" s="1"/>
      <c r="V50" s="5">
        <f t="shared" si="33"/>
        <v>2.8584266120541178E-2</v>
      </c>
      <c r="W50" s="1"/>
      <c r="X50" s="1">
        <f t="shared" si="34"/>
        <v>454.65999999999985</v>
      </c>
      <c r="Y50" s="1"/>
      <c r="Z50" s="5">
        <f t="shared" si="35"/>
        <v>8.2478603019341609E-2</v>
      </c>
    </row>
    <row r="51" spans="1:26" s="24" customFormat="1" hidden="1" outlineLevel="2" x14ac:dyDescent="0.25">
      <c r="A51" s="29"/>
      <c r="B51" s="11" t="str">
        <f>CONCATENATE("          ", "6381", " - ", "BANK/CREDIT CARD FEES")</f>
        <v xml:space="preserve">          6381 - BANK/CREDIT CARD FEES</v>
      </c>
      <c r="C51" s="11"/>
      <c r="D51" s="7">
        <v>4417.66</v>
      </c>
      <c r="E51" s="2"/>
      <c r="F51" s="6">
        <f t="shared" si="28"/>
        <v>3.4320356474398829E-2</v>
      </c>
      <c r="G51" s="2"/>
      <c r="H51" s="7">
        <v>4225.55</v>
      </c>
      <c r="I51" s="2"/>
      <c r="J51" s="6">
        <f t="shared" si="29"/>
        <v>3.1553245088340572E-2</v>
      </c>
      <c r="K51" s="2"/>
      <c r="L51" s="7">
        <f t="shared" si="30"/>
        <v>192.10999999999967</v>
      </c>
      <c r="M51" s="2"/>
      <c r="N51" s="6">
        <f t="shared" si="31"/>
        <v>4.5463904107157567E-2</v>
      </c>
      <c r="O51" s="11"/>
      <c r="P51" s="7">
        <v>5967.12</v>
      </c>
      <c r="Q51" s="2"/>
      <c r="R51" s="6">
        <f t="shared" si="32"/>
        <v>3.181729232662537E-2</v>
      </c>
      <c r="S51" s="2"/>
      <c r="T51" s="7">
        <v>5512.46</v>
      </c>
      <c r="U51" s="2"/>
      <c r="V51" s="6">
        <f t="shared" si="33"/>
        <v>2.8584266120541178E-2</v>
      </c>
      <c r="W51" s="2"/>
      <c r="X51" s="7">
        <f t="shared" si="34"/>
        <v>454.65999999999985</v>
      </c>
      <c r="Y51" s="2"/>
      <c r="Z51" s="6">
        <f t="shared" si="35"/>
        <v>8.2478603019341609E-2</v>
      </c>
    </row>
    <row r="52" spans="1:26" s="27" customFormat="1" outlineLevel="1" collapsed="1" x14ac:dyDescent="0.25">
      <c r="A52" s="28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8403.48</v>
      </c>
      <c r="E52" s="1"/>
      <c r="F52" s="5">
        <f t="shared" si="28"/>
        <v>6.5285791397590817E-2</v>
      </c>
      <c r="G52" s="1"/>
      <c r="H52" s="1">
        <f>SUM(OSRRefH22_5x_0)</f>
        <v>8364.08</v>
      </c>
      <c r="I52" s="1"/>
      <c r="J52" s="5">
        <f t="shared" si="29"/>
        <v>6.2456689940596513E-2</v>
      </c>
      <c r="K52" s="1"/>
      <c r="L52" s="1">
        <f t="shared" si="30"/>
        <v>39.399999999999636</v>
      </c>
      <c r="M52" s="1"/>
      <c r="N52" s="5">
        <f t="shared" si="31"/>
        <v>4.7106196975638245E-3</v>
      </c>
      <c r="O52" s="14"/>
      <c r="P52" s="1">
        <f>SUM(OSRRefP22_5x_0)</f>
        <v>16806.96</v>
      </c>
      <c r="Q52" s="1"/>
      <c r="R52" s="5">
        <f t="shared" si="32"/>
        <v>8.961642458035024E-2</v>
      </c>
      <c r="S52" s="1"/>
      <c r="T52" s="1">
        <f>SUM(OSRRefT22_5x_0)</f>
        <v>16728.16</v>
      </c>
      <c r="U52" s="1"/>
      <c r="V52" s="5">
        <f t="shared" si="33"/>
        <v>8.674206745209799E-2</v>
      </c>
      <c r="W52" s="1"/>
      <c r="X52" s="1">
        <f t="shared" si="34"/>
        <v>78.799999999999272</v>
      </c>
      <c r="Y52" s="1"/>
      <c r="Z52" s="5">
        <f t="shared" si="35"/>
        <v>4.7106196975638245E-3</v>
      </c>
    </row>
    <row r="53" spans="1:26" s="24" customFormat="1" hidden="1" outlineLevel="2" x14ac:dyDescent="0.25">
      <c r="A53" s="29"/>
      <c r="B53" s="11" t="str">
        <f>CONCATENATE("          ", "6321", " - ", "BUILDING DEPRECIATION")</f>
        <v xml:space="preserve">          6321 - BUILDING DEPRECIATION</v>
      </c>
      <c r="C53" s="11"/>
      <c r="D53" s="7">
        <v>5080.51</v>
      </c>
      <c r="E53" s="2"/>
      <c r="F53" s="6">
        <f t="shared" si="28"/>
        <v>3.9469971494354029E-2</v>
      </c>
      <c r="G53" s="2"/>
      <c r="H53" s="7">
        <v>5080.51</v>
      </c>
      <c r="I53" s="2"/>
      <c r="J53" s="6">
        <f t="shared" si="29"/>
        <v>3.7937446534478392E-2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10161.02</v>
      </c>
      <c r="Q53" s="2"/>
      <c r="R53" s="6">
        <f t="shared" si="32"/>
        <v>5.4179594792242651E-2</v>
      </c>
      <c r="S53" s="2"/>
      <c r="T53" s="7">
        <v>10161.02</v>
      </c>
      <c r="U53" s="2"/>
      <c r="V53" s="6">
        <f t="shared" si="33"/>
        <v>5.268887207093409E-2</v>
      </c>
      <c r="W53" s="2"/>
      <c r="X53" s="7">
        <f t="shared" si="34"/>
        <v>0</v>
      </c>
      <c r="Y53" s="2"/>
      <c r="Z53" s="6">
        <f t="shared" si="35"/>
        <v>0</v>
      </c>
    </row>
    <row r="54" spans="1:26" s="24" customFormat="1" hidden="1" outlineLevel="2" x14ac:dyDescent="0.25">
      <c r="A54" s="29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3322.97</v>
      </c>
      <c r="E54" s="2"/>
      <c r="F54" s="6">
        <f t="shared" si="28"/>
        <v>2.5815819903236798E-2</v>
      </c>
      <c r="G54" s="2"/>
      <c r="H54" s="7">
        <v>3283.57</v>
      </c>
      <c r="I54" s="2"/>
      <c r="J54" s="6">
        <f t="shared" si="29"/>
        <v>2.4519243406118128E-2</v>
      </c>
      <c r="K54" s="2"/>
      <c r="L54" s="7">
        <f t="shared" si="30"/>
        <v>39.399999999999636</v>
      </c>
      <c r="M54" s="2"/>
      <c r="N54" s="6">
        <f t="shared" si="31"/>
        <v>1.199913508772453E-2</v>
      </c>
      <c r="O54" s="11"/>
      <c r="P54" s="7">
        <v>6645.94</v>
      </c>
      <c r="Q54" s="2"/>
      <c r="R54" s="6">
        <f t="shared" si="32"/>
        <v>3.5436829788107603E-2</v>
      </c>
      <c r="S54" s="2"/>
      <c r="T54" s="7">
        <v>6567.14</v>
      </c>
      <c r="U54" s="2"/>
      <c r="V54" s="6">
        <f t="shared" si="33"/>
        <v>3.4053195381163907E-2</v>
      </c>
      <c r="W54" s="2"/>
      <c r="X54" s="7">
        <f t="shared" si="34"/>
        <v>78.799999999999272</v>
      </c>
      <c r="Y54" s="2"/>
      <c r="Z54" s="6">
        <f t="shared" si="35"/>
        <v>1.199913508772453E-2</v>
      </c>
    </row>
    <row r="55" spans="1:26" s="27" customFormat="1" outlineLevel="1" collapsed="1" x14ac:dyDescent="0.25">
      <c r="A55" s="28"/>
      <c r="B55" s="14" t="str">
        <f>CONCATENATE("     ","Discounts and Markdowns                           ")</f>
        <v xml:space="preserve">     Discounts and Markdowns                           </v>
      </c>
      <c r="C55" s="14"/>
      <c r="D55" s="1">
        <f>SUM(OSRRefD22_6x_0)</f>
        <v>6.18</v>
      </c>
      <c r="E55" s="1"/>
      <c r="F55" s="5">
        <f t="shared" ref="F55:F79" si="36">IF(D$12=0,0,D55/D$12)</f>
        <v>4.8011798783017424E-5</v>
      </c>
      <c r="G55" s="1"/>
      <c r="H55" s="1">
        <f>SUM(OSRRefH22_6x_0)</f>
        <v>12.31</v>
      </c>
      <c r="I55" s="1"/>
      <c r="J55" s="5">
        <f t="shared" ref="J55:J79" si="37">IF(H$12=0,0,H55/H$12)</f>
        <v>9.192186745807586E-5</v>
      </c>
      <c r="K55" s="1"/>
      <c r="L55" s="1">
        <f t="shared" ref="L55:L79" si="38">+D55-H55</f>
        <v>-6.1300000000000008</v>
      </c>
      <c r="M55" s="1"/>
      <c r="N55" s="5">
        <f t="shared" ref="N55:N79" si="39">IF(H55=0,0,L55/H55)</f>
        <v>-0.49796913078797728</v>
      </c>
      <c r="O55" s="14"/>
      <c r="P55" s="1">
        <f>SUM(OSRRefP22_6x_0)</f>
        <v>20.09</v>
      </c>
      <c r="Q55" s="1"/>
      <c r="R55" s="5">
        <f t="shared" ref="R55:R79" si="40">IF(P$12=0,0,P55/P$12)</f>
        <v>1.0712192864261214E-4</v>
      </c>
      <c r="S55" s="1"/>
      <c r="T55" s="1">
        <f>SUM(OSRRefT22_6x_0)</f>
        <v>22.36</v>
      </c>
      <c r="U55" s="1"/>
      <c r="V55" s="5">
        <f t="shared" ref="V55:V79" si="41">IF(T$12=0,0,T55/T$12)</f>
        <v>1.1594536567254922E-4</v>
      </c>
      <c r="W55" s="1"/>
      <c r="X55" s="1">
        <f t="shared" ref="X55:X79" si="42">+P55-T55</f>
        <v>-2.2699999999999996</v>
      </c>
      <c r="Y55" s="1"/>
      <c r="Z55" s="5">
        <f t="shared" ref="Z55:Z79" si="43">IF(T55=0,0,X55/T55)</f>
        <v>-0.10152057245080499</v>
      </c>
    </row>
    <row r="56" spans="1:26" s="24" customFormat="1" hidden="1" outlineLevel="2" x14ac:dyDescent="0.25">
      <c r="A56" s="29"/>
      <c r="B56" s="11" t="str">
        <f>CONCATENATE("          ", "6382", " - ", "DISCOUNTS/MARK DOWNS")</f>
        <v xml:space="preserve">          6382 - DISCOUNTS/MARK DOWNS</v>
      </c>
      <c r="C56" s="11"/>
      <c r="D56" s="7">
        <v>6.18</v>
      </c>
      <c r="E56" s="2"/>
      <c r="F56" s="6">
        <f t="shared" si="36"/>
        <v>4.8011798783017424E-5</v>
      </c>
      <c r="G56" s="2"/>
      <c r="H56" s="7">
        <v>12.31</v>
      </c>
      <c r="I56" s="2"/>
      <c r="J56" s="6">
        <f t="shared" si="37"/>
        <v>9.192186745807586E-5</v>
      </c>
      <c r="K56" s="2"/>
      <c r="L56" s="7">
        <f t="shared" si="38"/>
        <v>-6.1300000000000008</v>
      </c>
      <c r="M56" s="2"/>
      <c r="N56" s="6">
        <f t="shared" si="39"/>
        <v>-0.49796913078797728</v>
      </c>
      <c r="O56" s="11"/>
      <c r="P56" s="7">
        <v>20.09</v>
      </c>
      <c r="Q56" s="2"/>
      <c r="R56" s="6">
        <f t="shared" si="40"/>
        <v>1.0712192864261214E-4</v>
      </c>
      <c r="S56" s="2"/>
      <c r="T56" s="7">
        <v>22.36</v>
      </c>
      <c r="U56" s="2"/>
      <c r="V56" s="6">
        <f t="shared" si="41"/>
        <v>1.1594536567254922E-4</v>
      </c>
      <c r="W56" s="2"/>
      <c r="X56" s="7">
        <f t="shared" si="42"/>
        <v>-2.2699999999999996</v>
      </c>
      <c r="Y56" s="2"/>
      <c r="Z56" s="6">
        <f t="shared" si="43"/>
        <v>-0.10152057245080499</v>
      </c>
    </row>
    <row r="57" spans="1:26" s="27" customFormat="1" outlineLevel="1" collapsed="1" x14ac:dyDescent="0.25">
      <c r="A57" s="28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SUM(OSRRefD22_7x_0)</f>
        <v>0</v>
      </c>
      <c r="E57" s="1"/>
      <c r="F57" s="5">
        <f t="shared" si="36"/>
        <v>0</v>
      </c>
      <c r="G57" s="1"/>
      <c r="H57" s="1">
        <f>SUM(OSRRefH22_7x_0)</f>
        <v>0</v>
      </c>
      <c r="I57" s="1"/>
      <c r="J57" s="5">
        <f t="shared" si="37"/>
        <v>0</v>
      </c>
      <c r="K57" s="1"/>
      <c r="L57" s="1">
        <f t="shared" si="38"/>
        <v>0</v>
      </c>
      <c r="M57" s="1"/>
      <c r="N57" s="5">
        <f t="shared" si="39"/>
        <v>0</v>
      </c>
      <c r="O57" s="14"/>
      <c r="P57" s="1">
        <f>SUM(OSRRefP22_7x_0)</f>
        <v>0</v>
      </c>
      <c r="Q57" s="1"/>
      <c r="R57" s="5">
        <f t="shared" si="40"/>
        <v>0</v>
      </c>
      <c r="S57" s="1"/>
      <c r="T57" s="1">
        <f>SUM(OSRRefT22_7x_0)</f>
        <v>61.8</v>
      </c>
      <c r="U57" s="1"/>
      <c r="V57" s="5">
        <f t="shared" si="41"/>
        <v>3.2045722712717092E-4</v>
      </c>
      <c r="W57" s="1"/>
      <c r="X57" s="1">
        <f t="shared" si="42"/>
        <v>-61.8</v>
      </c>
      <c r="Y57" s="1"/>
      <c r="Z57" s="5">
        <f t="shared" si="43"/>
        <v>-1</v>
      </c>
    </row>
    <row r="58" spans="1:26" s="24" customFormat="1" hidden="1" outlineLevel="2" x14ac:dyDescent="0.25">
      <c r="A58" s="29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/>
      <c r="Q58" s="2"/>
      <c r="R58" s="6">
        <f t="shared" si="40"/>
        <v>0</v>
      </c>
      <c r="S58" s="2"/>
      <c r="T58" s="7">
        <v>61.8</v>
      </c>
      <c r="U58" s="2"/>
      <c r="V58" s="6">
        <f t="shared" si="41"/>
        <v>3.2045722712717092E-4</v>
      </c>
      <c r="W58" s="2"/>
      <c r="X58" s="7">
        <f t="shared" si="42"/>
        <v>-61.8</v>
      </c>
      <c r="Y58" s="2"/>
      <c r="Z58" s="6">
        <f t="shared" si="43"/>
        <v>-1</v>
      </c>
    </row>
    <row r="59" spans="1:26" s="27" customFormat="1" outlineLevel="1" collapsed="1" x14ac:dyDescent="0.25">
      <c r="A59" s="28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SUM(OSRRefD22_8x_0)</f>
        <v>146.05000000000001</v>
      </c>
      <c r="E59" s="1"/>
      <c r="F59" s="5">
        <f t="shared" si="36"/>
        <v>1.1346477689740608E-3</v>
      </c>
      <c r="G59" s="1"/>
      <c r="H59" s="1">
        <f>SUM(OSRRefH22_8x_0)</f>
        <v>86.8</v>
      </c>
      <c r="I59" s="1"/>
      <c r="J59" s="5">
        <f t="shared" si="37"/>
        <v>6.4815744072794341E-4</v>
      </c>
      <c r="K59" s="1"/>
      <c r="L59" s="1">
        <f t="shared" si="38"/>
        <v>59.250000000000014</v>
      </c>
      <c r="M59" s="1"/>
      <c r="N59" s="5">
        <f t="shared" si="39"/>
        <v>0.68260368663594484</v>
      </c>
      <c r="O59" s="14"/>
      <c r="P59" s="1">
        <f>SUM(OSRRefP22_8x_0)</f>
        <v>292.52</v>
      </c>
      <c r="Q59" s="1"/>
      <c r="R59" s="5">
        <f t="shared" si="40"/>
        <v>1.5597464692153758E-3</v>
      </c>
      <c r="S59" s="1"/>
      <c r="T59" s="1">
        <f>SUM(OSRRefT22_8x_0)</f>
        <v>231.55</v>
      </c>
      <c r="U59" s="1"/>
      <c r="V59" s="5">
        <f t="shared" si="41"/>
        <v>1.2006775233219487E-3</v>
      </c>
      <c r="W59" s="1"/>
      <c r="X59" s="1">
        <f t="shared" si="42"/>
        <v>60.96999999999997</v>
      </c>
      <c r="Y59" s="1"/>
      <c r="Z59" s="5">
        <f t="shared" si="43"/>
        <v>0.26331245951198429</v>
      </c>
    </row>
    <row r="60" spans="1:26" s="24" customFormat="1" hidden="1" outlineLevel="2" x14ac:dyDescent="0.25">
      <c r="A60" s="29"/>
      <c r="B60" s="11" t="str">
        <f>CONCATENATE("          ", "6351", " - ", "EQUIPMENT RENTAL")</f>
        <v xml:space="preserve">          6351 - EQUIPMENT RENTAL</v>
      </c>
      <c r="C60" s="11"/>
      <c r="D60" s="7">
        <v>146.05000000000001</v>
      </c>
      <c r="E60" s="2"/>
      <c r="F60" s="6">
        <f t="shared" si="36"/>
        <v>1.1346477689740608E-3</v>
      </c>
      <c r="G60" s="2"/>
      <c r="H60" s="7">
        <v>86.8</v>
      </c>
      <c r="I60" s="2"/>
      <c r="J60" s="6">
        <f t="shared" si="37"/>
        <v>6.4815744072794341E-4</v>
      </c>
      <c r="K60" s="2"/>
      <c r="L60" s="7">
        <f t="shared" si="38"/>
        <v>59.250000000000014</v>
      </c>
      <c r="M60" s="2"/>
      <c r="N60" s="6">
        <f t="shared" si="39"/>
        <v>0.68260368663594484</v>
      </c>
      <c r="O60" s="11"/>
      <c r="P60" s="7">
        <v>292.52</v>
      </c>
      <c r="Q60" s="2"/>
      <c r="R60" s="6">
        <f t="shared" si="40"/>
        <v>1.5597464692153758E-3</v>
      </c>
      <c r="S60" s="2"/>
      <c r="T60" s="7">
        <v>231.55</v>
      </c>
      <c r="U60" s="2"/>
      <c r="V60" s="6">
        <f t="shared" si="41"/>
        <v>1.2006775233219487E-3</v>
      </c>
      <c r="W60" s="2"/>
      <c r="X60" s="7">
        <f t="shared" si="42"/>
        <v>60.96999999999997</v>
      </c>
      <c r="Y60" s="2"/>
      <c r="Z60" s="6">
        <f t="shared" si="43"/>
        <v>0.26331245951198429</v>
      </c>
    </row>
    <row r="61" spans="1:26" s="27" customFormat="1" outlineLevel="1" collapsed="1" x14ac:dyDescent="0.25">
      <c r="A61" s="28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SUM(OSRRefD22_9x_0)</f>
        <v>44.96</v>
      </c>
      <c r="E61" s="1"/>
      <c r="F61" s="5">
        <f t="shared" si="36"/>
        <v>3.4928972059619152E-4</v>
      </c>
      <c r="G61" s="1"/>
      <c r="H61" s="1">
        <f>SUM(OSRRefH22_9x_0)</f>
        <v>7.61</v>
      </c>
      <c r="I61" s="1"/>
      <c r="J61" s="5">
        <f t="shared" si="37"/>
        <v>5.6825784838014401E-5</v>
      </c>
      <c r="K61" s="1"/>
      <c r="L61" s="1">
        <f t="shared" si="38"/>
        <v>37.35</v>
      </c>
      <c r="M61" s="1"/>
      <c r="N61" s="5">
        <f t="shared" si="39"/>
        <v>4.9080157687253614</v>
      </c>
      <c r="O61" s="14"/>
      <c r="P61" s="1">
        <f>SUM(OSRRefP22_9x_0)</f>
        <v>116.65</v>
      </c>
      <c r="Q61" s="1"/>
      <c r="R61" s="5">
        <f t="shared" si="40"/>
        <v>6.2198969517972659E-4</v>
      </c>
      <c r="S61" s="1"/>
      <c r="T61" s="1">
        <f>SUM(OSRRefT22_9x_0)</f>
        <v>73.13</v>
      </c>
      <c r="U61" s="1"/>
      <c r="V61" s="5">
        <f t="shared" si="41"/>
        <v>3.7920771876715225E-4</v>
      </c>
      <c r="W61" s="1"/>
      <c r="X61" s="1">
        <f t="shared" si="42"/>
        <v>43.52000000000001</v>
      </c>
      <c r="Y61" s="1"/>
      <c r="Z61" s="5">
        <f t="shared" si="43"/>
        <v>0.59510460823191591</v>
      </c>
    </row>
    <row r="62" spans="1:26" s="24" customFormat="1" hidden="1" outlineLevel="2" x14ac:dyDescent="0.25">
      <c r="A62" s="29"/>
      <c r="B62" s="11" t="str">
        <f>CONCATENATE("          ", "6305", " - ", "FREIGHT OUT")</f>
        <v xml:space="preserve">          6305 - FREIGHT OUT</v>
      </c>
      <c r="C62" s="11"/>
      <c r="D62" s="7">
        <v>44.96</v>
      </c>
      <c r="E62" s="2"/>
      <c r="F62" s="6">
        <f t="shared" si="36"/>
        <v>3.4928972059619152E-4</v>
      </c>
      <c r="G62" s="2"/>
      <c r="H62" s="7">
        <v>7.61</v>
      </c>
      <c r="I62" s="2"/>
      <c r="J62" s="6">
        <f t="shared" si="37"/>
        <v>5.6825784838014401E-5</v>
      </c>
      <c r="K62" s="2"/>
      <c r="L62" s="7">
        <f t="shared" si="38"/>
        <v>37.35</v>
      </c>
      <c r="M62" s="2"/>
      <c r="N62" s="6">
        <f t="shared" si="39"/>
        <v>4.9080157687253614</v>
      </c>
      <c r="O62" s="11"/>
      <c r="P62" s="7">
        <v>116.65</v>
      </c>
      <c r="Q62" s="2"/>
      <c r="R62" s="6">
        <f t="shared" si="40"/>
        <v>6.2198969517972659E-4</v>
      </c>
      <c r="S62" s="2"/>
      <c r="T62" s="7">
        <v>73.13</v>
      </c>
      <c r="U62" s="2"/>
      <c r="V62" s="6">
        <f t="shared" si="41"/>
        <v>3.7920771876715225E-4</v>
      </c>
      <c r="W62" s="2"/>
      <c r="X62" s="7">
        <f t="shared" si="42"/>
        <v>43.52000000000001</v>
      </c>
      <c r="Y62" s="2"/>
      <c r="Z62" s="6">
        <f t="shared" si="43"/>
        <v>0.59510460823191591</v>
      </c>
    </row>
    <row r="63" spans="1:26" s="27" customFormat="1" outlineLevel="1" collapsed="1" x14ac:dyDescent="0.25">
      <c r="A63" s="28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SUM(OSRRefD22_10x_0)</f>
        <v>124.74</v>
      </c>
      <c r="E63" s="1"/>
      <c r="F63" s="5">
        <f t="shared" si="36"/>
        <v>9.6909252106692459E-4</v>
      </c>
      <c r="G63" s="1"/>
      <c r="H63" s="1">
        <f>SUM(OSRRefH22_10x_0)</f>
        <v>85.35</v>
      </c>
      <c r="I63" s="1"/>
      <c r="J63" s="5">
        <f t="shared" si="37"/>
        <v>6.3732992587707342E-4</v>
      </c>
      <c r="K63" s="1"/>
      <c r="L63" s="1">
        <f t="shared" si="38"/>
        <v>39.39</v>
      </c>
      <c r="M63" s="1"/>
      <c r="N63" s="5">
        <f t="shared" si="39"/>
        <v>0.4615114235500879</v>
      </c>
      <c r="O63" s="14"/>
      <c r="P63" s="1">
        <f>SUM(OSRRefP22_10x_0)</f>
        <v>4553.54</v>
      </c>
      <c r="Q63" s="1"/>
      <c r="R63" s="5">
        <f t="shared" si="40"/>
        <v>2.4279939619277255E-2</v>
      </c>
      <c r="S63" s="1"/>
      <c r="T63" s="1">
        <f>SUM(OSRRefT22_10x_0)</f>
        <v>4798.7</v>
      </c>
      <c r="U63" s="1"/>
      <c r="V63" s="5">
        <f t="shared" si="41"/>
        <v>2.4883140708983092E-2</v>
      </c>
      <c r="W63" s="1"/>
      <c r="X63" s="1">
        <f t="shared" si="42"/>
        <v>-245.15999999999985</v>
      </c>
      <c r="Y63" s="1"/>
      <c r="Z63" s="5">
        <f t="shared" si="43"/>
        <v>-5.108883655990161E-2</v>
      </c>
    </row>
    <row r="64" spans="1:26" s="24" customFormat="1" hidden="1" outlineLevel="2" x14ac:dyDescent="0.25">
      <c r="A64" s="29"/>
      <c r="B64" s="11" t="str">
        <f>CONCATENATE("          ", "6279", " - ", "GENERAL EXPENSE")</f>
        <v xml:space="preserve">          6279 - GENERAL EXPENSE</v>
      </c>
      <c r="C64" s="11"/>
      <c r="D64" s="7">
        <v>124.74</v>
      </c>
      <c r="E64" s="2"/>
      <c r="F64" s="6">
        <f t="shared" si="36"/>
        <v>9.6909252106692459E-4</v>
      </c>
      <c r="G64" s="2"/>
      <c r="H64" s="7">
        <v>85.35</v>
      </c>
      <c r="I64" s="2"/>
      <c r="J64" s="6">
        <f t="shared" si="37"/>
        <v>6.3732992587707342E-4</v>
      </c>
      <c r="K64" s="2"/>
      <c r="L64" s="7">
        <f t="shared" si="38"/>
        <v>39.39</v>
      </c>
      <c r="M64" s="2"/>
      <c r="N64" s="6">
        <f t="shared" si="39"/>
        <v>0.4615114235500879</v>
      </c>
      <c r="O64" s="11"/>
      <c r="P64" s="7">
        <v>4553.54</v>
      </c>
      <c r="Q64" s="2"/>
      <c r="R64" s="6">
        <f t="shared" si="40"/>
        <v>2.4279939619277255E-2</v>
      </c>
      <c r="S64" s="2"/>
      <c r="T64" s="7">
        <v>4798.7</v>
      </c>
      <c r="U64" s="2"/>
      <c r="V64" s="6">
        <f t="shared" si="41"/>
        <v>2.4883140708983092E-2</v>
      </c>
      <c r="W64" s="2"/>
      <c r="X64" s="7">
        <f t="shared" si="42"/>
        <v>-245.15999999999985</v>
      </c>
      <c r="Y64" s="2"/>
      <c r="Z64" s="6">
        <f t="shared" si="43"/>
        <v>-5.108883655990161E-2</v>
      </c>
    </row>
    <row r="65" spans="1:26" s="27" customFormat="1" outlineLevel="1" collapsed="1" x14ac:dyDescent="0.25">
      <c r="A65" s="28"/>
      <c r="B65" s="14" t="str">
        <f>CONCATENATE("     ","Insurance                                         ")</f>
        <v xml:space="preserve">     Insurance                                         </v>
      </c>
      <c r="C65" s="14"/>
      <c r="D65" s="1">
        <f>SUM(OSRRefD22_11x_0)</f>
        <v>243.54</v>
      </c>
      <c r="E65" s="1"/>
      <c r="F65" s="5">
        <f t="shared" si="36"/>
        <v>1.8920377792259004E-3</v>
      </c>
      <c r="G65" s="1"/>
      <c r="H65" s="1">
        <f>SUM(OSRRefH22_11x_0)</f>
        <v>229.44</v>
      </c>
      <c r="I65" s="1"/>
      <c r="J65" s="5">
        <f t="shared" si="37"/>
        <v>1.713286211988702E-3</v>
      </c>
      <c r="K65" s="1"/>
      <c r="L65" s="1">
        <f t="shared" si="38"/>
        <v>14.099999999999994</v>
      </c>
      <c r="M65" s="1"/>
      <c r="N65" s="5">
        <f t="shared" si="39"/>
        <v>6.1453974895397466E-2</v>
      </c>
      <c r="O65" s="14"/>
      <c r="P65" s="1">
        <f>SUM(OSRRefP22_11x_0)</f>
        <v>487.08</v>
      </c>
      <c r="Q65" s="1"/>
      <c r="R65" s="5">
        <f t="shared" si="40"/>
        <v>2.5971602291310859E-3</v>
      </c>
      <c r="S65" s="1"/>
      <c r="T65" s="1">
        <f>SUM(OSRRefT22_11x_0)</f>
        <v>458.88</v>
      </c>
      <c r="U65" s="1"/>
      <c r="V65" s="5">
        <f t="shared" si="41"/>
        <v>2.3794726922996149E-3</v>
      </c>
      <c r="W65" s="1"/>
      <c r="X65" s="1">
        <f t="shared" si="42"/>
        <v>28.199999999999989</v>
      </c>
      <c r="Y65" s="1"/>
      <c r="Z65" s="5">
        <f t="shared" si="43"/>
        <v>6.1453974895397466E-2</v>
      </c>
    </row>
    <row r="66" spans="1:26" s="24" customFormat="1" hidden="1" outlineLevel="2" x14ac:dyDescent="0.25">
      <c r="A66" s="29"/>
      <c r="B66" s="11" t="str">
        <f>CONCATENATE("          ", "6314", " - ", "LIABILITY INSURANCE")</f>
        <v xml:space="preserve">          6314 - LIABILITY INSURANCE</v>
      </c>
      <c r="C66" s="11"/>
      <c r="D66" s="7">
        <v>243.54</v>
      </c>
      <c r="E66" s="2"/>
      <c r="F66" s="6">
        <f t="shared" si="36"/>
        <v>1.8920377792259004E-3</v>
      </c>
      <c r="G66" s="2"/>
      <c r="H66" s="7">
        <v>229.44</v>
      </c>
      <c r="I66" s="2"/>
      <c r="J66" s="6">
        <f t="shared" si="37"/>
        <v>1.713286211988702E-3</v>
      </c>
      <c r="K66" s="2"/>
      <c r="L66" s="7">
        <f t="shared" si="38"/>
        <v>14.099999999999994</v>
      </c>
      <c r="M66" s="2"/>
      <c r="N66" s="6">
        <f t="shared" si="39"/>
        <v>6.1453974895397466E-2</v>
      </c>
      <c r="O66" s="11"/>
      <c r="P66" s="7">
        <v>487.08</v>
      </c>
      <c r="Q66" s="2"/>
      <c r="R66" s="6">
        <f t="shared" si="40"/>
        <v>2.5971602291310859E-3</v>
      </c>
      <c r="S66" s="2"/>
      <c r="T66" s="7">
        <v>458.88</v>
      </c>
      <c r="U66" s="2"/>
      <c r="V66" s="6">
        <f t="shared" si="41"/>
        <v>2.3794726922996149E-3</v>
      </c>
      <c r="W66" s="2"/>
      <c r="X66" s="7">
        <f t="shared" si="42"/>
        <v>28.199999999999989</v>
      </c>
      <c r="Y66" s="2"/>
      <c r="Z66" s="6">
        <f t="shared" si="43"/>
        <v>6.1453974895397466E-2</v>
      </c>
    </row>
    <row r="67" spans="1:26" s="27" customFormat="1" outlineLevel="1" collapsed="1" x14ac:dyDescent="0.25">
      <c r="A67" s="28"/>
      <c r="B67" s="14" t="str">
        <f>CONCATENATE("     ","Interest                                          ")</f>
        <v xml:space="preserve">     Interest                                          </v>
      </c>
      <c r="C67" s="14"/>
      <c r="D67" s="1">
        <f>SUM(OSRRefD22_12x_0)</f>
        <v>4110</v>
      </c>
      <c r="E67" s="1"/>
      <c r="F67" s="5">
        <f t="shared" si="36"/>
        <v>3.1930176860550427E-2</v>
      </c>
      <c r="G67" s="1"/>
      <c r="H67" s="1">
        <f>SUM(OSRRefH22_12x_0)</f>
        <v>4280</v>
      </c>
      <c r="I67" s="1"/>
      <c r="J67" s="5">
        <f t="shared" si="37"/>
        <v>3.1959836939119794E-2</v>
      </c>
      <c r="K67" s="1"/>
      <c r="L67" s="1">
        <f t="shared" si="38"/>
        <v>-170</v>
      </c>
      <c r="M67" s="1"/>
      <c r="N67" s="5">
        <f t="shared" si="39"/>
        <v>-3.9719626168224297E-2</v>
      </c>
      <c r="O67" s="14"/>
      <c r="P67" s="1">
        <f>SUM(OSRRefP22_12x_0)</f>
        <v>8220</v>
      </c>
      <c r="Q67" s="1"/>
      <c r="R67" s="5">
        <f t="shared" si="40"/>
        <v>4.3829878220123034E-2</v>
      </c>
      <c r="S67" s="1"/>
      <c r="T67" s="1">
        <f>SUM(OSRRefT22_12x_0)</f>
        <v>8560</v>
      </c>
      <c r="U67" s="1"/>
      <c r="V67" s="5">
        <f t="shared" si="41"/>
        <v>4.4386955731530474E-2</v>
      </c>
      <c r="W67" s="1"/>
      <c r="X67" s="1">
        <f t="shared" si="42"/>
        <v>-340</v>
      </c>
      <c r="Y67" s="1"/>
      <c r="Z67" s="5">
        <f t="shared" si="43"/>
        <v>-3.9719626168224297E-2</v>
      </c>
    </row>
    <row r="68" spans="1:26" s="24" customFormat="1" hidden="1" outlineLevel="2" x14ac:dyDescent="0.25">
      <c r="A68" s="29"/>
      <c r="B68" s="11" t="str">
        <f>CONCATENATE("          ", "6401", " - ", "INTEREST EXPENSE")</f>
        <v xml:space="preserve">          6401 - INTEREST EXPENSE</v>
      </c>
      <c r="C68" s="11"/>
      <c r="D68" s="7">
        <v>4110</v>
      </c>
      <c r="E68" s="2"/>
      <c r="F68" s="6">
        <f t="shared" si="36"/>
        <v>3.1930176860550427E-2</v>
      </c>
      <c r="G68" s="2"/>
      <c r="H68" s="7">
        <v>4280</v>
      </c>
      <c r="I68" s="2"/>
      <c r="J68" s="6">
        <f t="shared" si="37"/>
        <v>3.1959836939119794E-2</v>
      </c>
      <c r="K68" s="2"/>
      <c r="L68" s="7">
        <f t="shared" si="38"/>
        <v>-170</v>
      </c>
      <c r="M68" s="2"/>
      <c r="N68" s="6">
        <f t="shared" si="39"/>
        <v>-3.9719626168224297E-2</v>
      </c>
      <c r="O68" s="11"/>
      <c r="P68" s="7">
        <v>8220</v>
      </c>
      <c r="Q68" s="2"/>
      <c r="R68" s="6">
        <f t="shared" si="40"/>
        <v>4.3829878220123034E-2</v>
      </c>
      <c r="S68" s="2"/>
      <c r="T68" s="7">
        <v>8560</v>
      </c>
      <c r="U68" s="2"/>
      <c r="V68" s="6">
        <f t="shared" si="41"/>
        <v>4.4386955731530474E-2</v>
      </c>
      <c r="W68" s="2"/>
      <c r="X68" s="7">
        <f t="shared" si="42"/>
        <v>-340</v>
      </c>
      <c r="Y68" s="2"/>
      <c r="Z68" s="6">
        <f t="shared" si="43"/>
        <v>-3.9719626168224297E-2</v>
      </c>
    </row>
    <row r="69" spans="1:26" s="27" customFormat="1" outlineLevel="1" collapsed="1" x14ac:dyDescent="0.25">
      <c r="A69" s="28"/>
      <c r="B69" s="14" t="str">
        <f>CONCATENATE("     ","Rent                                              ")</f>
        <v xml:space="preserve">     Rent                                              </v>
      </c>
      <c r="C69" s="14"/>
      <c r="D69" s="1">
        <f>SUM(OSRRefD22_13x_0)</f>
        <v>1150</v>
      </c>
      <c r="E69" s="1"/>
      <c r="F69" s="5">
        <f t="shared" si="36"/>
        <v>8.9342344013705575E-3</v>
      </c>
      <c r="G69" s="1"/>
      <c r="H69" s="1">
        <f>SUM(OSRRefH22_13x_0)</f>
        <v>1150</v>
      </c>
      <c r="I69" s="1"/>
      <c r="J69" s="5">
        <f t="shared" si="37"/>
        <v>8.5873393644831219E-3</v>
      </c>
      <c r="K69" s="1"/>
      <c r="L69" s="1">
        <f t="shared" si="38"/>
        <v>0</v>
      </c>
      <c r="M69" s="1"/>
      <c r="N69" s="5">
        <f t="shared" si="39"/>
        <v>0</v>
      </c>
      <c r="O69" s="14"/>
      <c r="P69" s="1">
        <f>SUM(OSRRefP22_13x_0)</f>
        <v>2300</v>
      </c>
      <c r="Q69" s="1"/>
      <c r="R69" s="5">
        <f t="shared" si="40"/>
        <v>1.2263834538477248E-2</v>
      </c>
      <c r="S69" s="1"/>
      <c r="T69" s="1">
        <f>SUM(OSRRefT22_13x_0)</f>
        <v>2300</v>
      </c>
      <c r="U69" s="1"/>
      <c r="V69" s="5">
        <f t="shared" si="41"/>
        <v>1.1926401656836458E-2</v>
      </c>
      <c r="W69" s="1"/>
      <c r="X69" s="1">
        <f t="shared" si="42"/>
        <v>0</v>
      </c>
      <c r="Y69" s="1"/>
      <c r="Z69" s="5">
        <f t="shared" si="43"/>
        <v>0</v>
      </c>
    </row>
    <row r="70" spans="1:26" s="24" customFormat="1" hidden="1" outlineLevel="2" x14ac:dyDescent="0.25">
      <c r="A70" s="29"/>
      <c r="B70" s="11" t="str">
        <f>CONCATENATE("          ", "6273", " - ", "RENT")</f>
        <v xml:space="preserve">          6273 - RENT</v>
      </c>
      <c r="C70" s="11"/>
      <c r="D70" s="7">
        <v>1150</v>
      </c>
      <c r="E70" s="2"/>
      <c r="F70" s="6">
        <f t="shared" si="36"/>
        <v>8.9342344013705575E-3</v>
      </c>
      <c r="G70" s="2"/>
      <c r="H70" s="7">
        <v>1150</v>
      </c>
      <c r="I70" s="2"/>
      <c r="J70" s="6">
        <f t="shared" si="37"/>
        <v>8.5873393644831219E-3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>
        <v>2300</v>
      </c>
      <c r="Q70" s="2"/>
      <c r="R70" s="6">
        <f t="shared" si="40"/>
        <v>1.2263834538477248E-2</v>
      </c>
      <c r="S70" s="2"/>
      <c r="T70" s="7">
        <v>2300</v>
      </c>
      <c r="U70" s="2"/>
      <c r="V70" s="6">
        <f t="shared" si="41"/>
        <v>1.1926401656836458E-2</v>
      </c>
      <c r="W70" s="2"/>
      <c r="X70" s="7">
        <f t="shared" si="42"/>
        <v>0</v>
      </c>
      <c r="Y70" s="2"/>
      <c r="Z70" s="6">
        <f t="shared" si="43"/>
        <v>0</v>
      </c>
    </row>
    <row r="71" spans="1:26" s="27" customFormat="1" outlineLevel="1" collapsed="1" x14ac:dyDescent="0.25">
      <c r="A71" s="28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SUM(OSRRefD22_14x_0)</f>
        <v>1230.01</v>
      </c>
      <c r="E71" s="1"/>
      <c r="F71" s="5">
        <f t="shared" si="36"/>
        <v>9.5558240487215642E-3</v>
      </c>
      <c r="G71" s="1"/>
      <c r="H71" s="1">
        <f>SUM(OSRRefH22_14x_0)</f>
        <v>578.49</v>
      </c>
      <c r="I71" s="1"/>
      <c r="J71" s="5">
        <f t="shared" si="37"/>
        <v>4.3197303903998617E-3</v>
      </c>
      <c r="K71" s="1"/>
      <c r="L71" s="1">
        <f t="shared" si="38"/>
        <v>651.52</v>
      </c>
      <c r="M71" s="1"/>
      <c r="N71" s="5">
        <f t="shared" si="39"/>
        <v>1.1262424588151911</v>
      </c>
      <c r="O71" s="14"/>
      <c r="P71" s="1">
        <f>SUM(OSRRefP22_14x_0)</f>
        <v>2992.8</v>
      </c>
      <c r="Q71" s="1"/>
      <c r="R71" s="5">
        <f t="shared" si="40"/>
        <v>1.5957914785545528E-2</v>
      </c>
      <c r="S71" s="1"/>
      <c r="T71" s="1">
        <f>SUM(OSRRefT22_14x_0)</f>
        <v>1116.17</v>
      </c>
      <c r="U71" s="1"/>
      <c r="V71" s="5">
        <f t="shared" si="41"/>
        <v>5.7877790162222395E-3</v>
      </c>
      <c r="W71" s="1"/>
      <c r="X71" s="1">
        <f t="shared" si="42"/>
        <v>1876.63</v>
      </c>
      <c r="Y71" s="1"/>
      <c r="Z71" s="5">
        <f t="shared" si="43"/>
        <v>1.6813119865253501</v>
      </c>
    </row>
    <row r="72" spans="1:26" s="24" customFormat="1" hidden="1" outlineLevel="2" x14ac:dyDescent="0.25">
      <c r="A72" s="29"/>
      <c r="B72" s="11" t="str">
        <f>CONCATENATE("          ", "6375", " - ", "OUTSIDE REPAIRS &amp; MAINTENANCE")</f>
        <v xml:space="preserve">          6375 - OUTSIDE REPAIRS &amp; MAINTENANCE</v>
      </c>
      <c r="C72" s="11"/>
      <c r="D72" s="7">
        <v>1230.01</v>
      </c>
      <c r="E72" s="2"/>
      <c r="F72" s="6">
        <f t="shared" si="36"/>
        <v>9.5558240487215642E-3</v>
      </c>
      <c r="G72" s="2"/>
      <c r="H72" s="7">
        <v>578.49</v>
      </c>
      <c r="I72" s="2"/>
      <c r="J72" s="6">
        <f t="shared" si="37"/>
        <v>4.3197303903998617E-3</v>
      </c>
      <c r="K72" s="2"/>
      <c r="L72" s="7">
        <f t="shared" si="38"/>
        <v>651.52</v>
      </c>
      <c r="M72" s="2"/>
      <c r="N72" s="6">
        <f t="shared" si="39"/>
        <v>1.1262424588151911</v>
      </c>
      <c r="O72" s="11"/>
      <c r="P72" s="7">
        <v>2992.8</v>
      </c>
      <c r="Q72" s="2"/>
      <c r="R72" s="6">
        <f t="shared" si="40"/>
        <v>1.5957914785545528E-2</v>
      </c>
      <c r="S72" s="2"/>
      <c r="T72" s="7">
        <v>1116.17</v>
      </c>
      <c r="U72" s="2"/>
      <c r="V72" s="6">
        <f t="shared" si="41"/>
        <v>5.7877790162222395E-3</v>
      </c>
      <c r="W72" s="2"/>
      <c r="X72" s="7">
        <f t="shared" si="42"/>
        <v>1876.63</v>
      </c>
      <c r="Y72" s="2"/>
      <c r="Z72" s="6">
        <f t="shared" si="43"/>
        <v>1.6813119865253501</v>
      </c>
    </row>
    <row r="73" spans="1:26" s="27" customFormat="1" outlineLevel="1" collapsed="1" x14ac:dyDescent="0.25">
      <c r="A73" s="28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1">
        <f>SUM(OSRRefD22_15x_0)</f>
        <v>0</v>
      </c>
      <c r="E73" s="1"/>
      <c r="F73" s="5">
        <f t="shared" si="36"/>
        <v>0</v>
      </c>
      <c r="G73" s="1"/>
      <c r="H73" s="1">
        <f>SUM(OSRRefH22_15x_0)</f>
        <v>1233.9000000000001</v>
      </c>
      <c r="I73" s="1"/>
      <c r="J73" s="5">
        <f t="shared" si="37"/>
        <v>9.2138417755093256E-3</v>
      </c>
      <c r="K73" s="1"/>
      <c r="L73" s="1">
        <f t="shared" si="38"/>
        <v>-1233.9000000000001</v>
      </c>
      <c r="M73" s="1"/>
      <c r="N73" s="5">
        <f t="shared" si="39"/>
        <v>-1</v>
      </c>
      <c r="O73" s="14"/>
      <c r="P73" s="1">
        <f>SUM(OSRRefP22_15x_0)</f>
        <v>0</v>
      </c>
      <c r="Q73" s="1"/>
      <c r="R73" s="5">
        <f t="shared" si="40"/>
        <v>0</v>
      </c>
      <c r="S73" s="1"/>
      <c r="T73" s="1">
        <f>SUM(OSRRefT22_15x_0)</f>
        <v>1675.2</v>
      </c>
      <c r="U73" s="1"/>
      <c r="V73" s="5">
        <f t="shared" si="41"/>
        <v>8.6865687197967122E-3</v>
      </c>
      <c r="W73" s="1"/>
      <c r="X73" s="1">
        <f t="shared" si="42"/>
        <v>-1675.2</v>
      </c>
      <c r="Y73" s="1"/>
      <c r="Z73" s="5">
        <f t="shared" si="43"/>
        <v>-1</v>
      </c>
    </row>
    <row r="74" spans="1:26" s="24" customFormat="1" hidden="1" outlineLevel="2" x14ac:dyDescent="0.25">
      <c r="A74" s="29"/>
      <c r="B74" s="11" t="str">
        <f>CONCATENATE("          ", "6254", " - ", "ROYALTY &amp; COMMISSIONS")</f>
        <v xml:space="preserve">          6254 - ROYALTY &amp; COMMISSIONS</v>
      </c>
      <c r="C74" s="11"/>
      <c r="D74" s="7"/>
      <c r="E74" s="2"/>
      <c r="F74" s="6">
        <f t="shared" si="36"/>
        <v>0</v>
      </c>
      <c r="G74" s="2"/>
      <c r="H74" s="7">
        <v>1233.9000000000001</v>
      </c>
      <c r="I74" s="2"/>
      <c r="J74" s="6">
        <f t="shared" si="37"/>
        <v>9.2138417755093256E-3</v>
      </c>
      <c r="K74" s="2"/>
      <c r="L74" s="7">
        <f t="shared" si="38"/>
        <v>-1233.9000000000001</v>
      </c>
      <c r="M74" s="2"/>
      <c r="N74" s="6">
        <f t="shared" si="39"/>
        <v>-1</v>
      </c>
      <c r="O74" s="11"/>
      <c r="P74" s="7"/>
      <c r="Q74" s="2"/>
      <c r="R74" s="6">
        <f t="shared" si="40"/>
        <v>0</v>
      </c>
      <c r="S74" s="2"/>
      <c r="T74" s="7">
        <v>1675.2</v>
      </c>
      <c r="U74" s="2"/>
      <c r="V74" s="6">
        <f t="shared" si="41"/>
        <v>8.6865687197967122E-3</v>
      </c>
      <c r="W74" s="2"/>
      <c r="X74" s="7">
        <f t="shared" si="42"/>
        <v>-1675.2</v>
      </c>
      <c r="Y74" s="2"/>
      <c r="Z74" s="6">
        <f t="shared" si="43"/>
        <v>-1</v>
      </c>
    </row>
    <row r="75" spans="1:26" s="27" customFormat="1" outlineLevel="1" collapsed="1" x14ac:dyDescent="0.25">
      <c r="A75" s="28"/>
      <c r="B75" s="14" t="str">
        <f>CONCATENATE("     ","Services                                          ")</f>
        <v xml:space="preserve">     Services                                          </v>
      </c>
      <c r="C75" s="14"/>
      <c r="D75" s="1">
        <f>SUM(OSRRefD22_16x_0)</f>
        <v>2000.58</v>
      </c>
      <c r="E75" s="1"/>
      <c r="F75" s="5">
        <f t="shared" si="36"/>
        <v>1.5542304920603399E-2</v>
      </c>
      <c r="G75" s="1"/>
      <c r="H75" s="1">
        <f>SUM(OSRRefH22_16x_0)</f>
        <v>1523.1399999999999</v>
      </c>
      <c r="I75" s="1"/>
      <c r="J75" s="5">
        <f t="shared" si="37"/>
        <v>1.1373669634451149E-2</v>
      </c>
      <c r="K75" s="1"/>
      <c r="L75" s="1">
        <f t="shared" si="38"/>
        <v>477.44000000000005</v>
      </c>
      <c r="M75" s="1"/>
      <c r="N75" s="5">
        <f t="shared" si="39"/>
        <v>0.31345772548813639</v>
      </c>
      <c r="O75" s="14"/>
      <c r="P75" s="1">
        <f>SUM(OSRRefP22_16x_0)</f>
        <v>3453.02</v>
      </c>
      <c r="Q75" s="1"/>
      <c r="R75" s="5">
        <f t="shared" si="40"/>
        <v>1.841185475567509E-2</v>
      </c>
      <c r="S75" s="1"/>
      <c r="T75" s="1">
        <f>SUM(OSRRefT22_16x_0)</f>
        <v>3022.59</v>
      </c>
      <c r="U75" s="1"/>
      <c r="V75" s="5">
        <f t="shared" si="41"/>
        <v>1.5673314079972744E-2</v>
      </c>
      <c r="W75" s="1"/>
      <c r="X75" s="1">
        <f t="shared" si="42"/>
        <v>430.42999999999984</v>
      </c>
      <c r="Y75" s="1"/>
      <c r="Z75" s="5">
        <f t="shared" si="43"/>
        <v>0.14240436182214586</v>
      </c>
    </row>
    <row r="76" spans="1:26" s="24" customFormat="1" hidden="1" outlineLevel="2" x14ac:dyDescent="0.25">
      <c r="A76" s="29"/>
      <c r="B76" s="11" t="str">
        <f>CONCATENATE("          ", "6282", " - ", "JANITORIAL/EXTERMINATOR EXPENS")</f>
        <v xml:space="preserve">          6282 - JANITORIAL/EXTERMINATOR EXPENS</v>
      </c>
      <c r="C76" s="11"/>
      <c r="D76" s="7">
        <v>1046.83</v>
      </c>
      <c r="E76" s="2"/>
      <c r="F76" s="6">
        <f t="shared" si="36"/>
        <v>8.1327170420754259E-3</v>
      </c>
      <c r="G76" s="2"/>
      <c r="H76" s="7">
        <v>602.09</v>
      </c>
      <c r="I76" s="2"/>
      <c r="J76" s="6">
        <f t="shared" si="37"/>
        <v>4.495957528662298E-3</v>
      </c>
      <c r="K76" s="2"/>
      <c r="L76" s="7">
        <f t="shared" si="38"/>
        <v>444.7399999999999</v>
      </c>
      <c r="M76" s="2"/>
      <c r="N76" s="6">
        <f t="shared" si="39"/>
        <v>0.73866033317278124</v>
      </c>
      <c r="O76" s="11"/>
      <c r="P76" s="7">
        <v>1648.92</v>
      </c>
      <c r="Q76" s="2"/>
      <c r="R76" s="6">
        <f t="shared" si="40"/>
        <v>8.7922095857330025E-3</v>
      </c>
      <c r="S76" s="2"/>
      <c r="T76" s="7">
        <v>1204.18</v>
      </c>
      <c r="U76" s="2"/>
      <c r="V76" s="6">
        <f t="shared" si="41"/>
        <v>6.2441453683170995E-3</v>
      </c>
      <c r="W76" s="2"/>
      <c r="X76" s="7">
        <f t="shared" si="42"/>
        <v>444.74</v>
      </c>
      <c r="Y76" s="2"/>
      <c r="Z76" s="6">
        <f t="shared" si="43"/>
        <v>0.36933016658639073</v>
      </c>
    </row>
    <row r="77" spans="1:26" s="24" customFormat="1" hidden="1" outlineLevel="2" x14ac:dyDescent="0.25">
      <c r="A77" s="29"/>
      <c r="B77" s="11" t="str">
        <f>CONCATENATE("          ", "6284", " - ", "TRASH REMOVAL EXPENSE")</f>
        <v xml:space="preserve">          6284 - TRASH REMOVAL EXPENSE</v>
      </c>
      <c r="C77" s="11"/>
      <c r="D77" s="7"/>
      <c r="E77" s="2"/>
      <c r="F77" s="6">
        <f t="shared" si="36"/>
        <v>0</v>
      </c>
      <c r="G77" s="2"/>
      <c r="H77" s="7">
        <v>180</v>
      </c>
      <c r="I77" s="2"/>
      <c r="J77" s="6">
        <f t="shared" si="37"/>
        <v>1.3441052918321409E-3</v>
      </c>
      <c r="K77" s="2"/>
      <c r="L77" s="7">
        <f t="shared" si="38"/>
        <v>-180</v>
      </c>
      <c r="M77" s="2"/>
      <c r="N77" s="6">
        <f t="shared" si="39"/>
        <v>-1</v>
      </c>
      <c r="O77" s="11"/>
      <c r="P77" s="7">
        <v>237</v>
      </c>
      <c r="Q77" s="2"/>
      <c r="R77" s="6">
        <f t="shared" si="40"/>
        <v>1.2637081676604817E-3</v>
      </c>
      <c r="S77" s="2"/>
      <c r="T77" s="7">
        <v>360</v>
      </c>
      <c r="U77" s="2"/>
      <c r="V77" s="6">
        <f t="shared" si="41"/>
        <v>1.8667411288961415E-3</v>
      </c>
      <c r="W77" s="2"/>
      <c r="X77" s="7">
        <f t="shared" si="42"/>
        <v>-123</v>
      </c>
      <c r="Y77" s="2"/>
      <c r="Z77" s="6">
        <f t="shared" si="43"/>
        <v>-0.34166666666666667</v>
      </c>
    </row>
    <row r="78" spans="1:26" s="24" customFormat="1" hidden="1" outlineLevel="2" x14ac:dyDescent="0.25">
      <c r="A78" s="29"/>
      <c r="B78" s="11" t="str">
        <f>CONCATENATE("          ", "6285", " - ", "JANITORIAL SERVICES")</f>
        <v xml:space="preserve">          6285 - JANITORIAL SERVICES</v>
      </c>
      <c r="C78" s="11"/>
      <c r="D78" s="7">
        <v>125.23</v>
      </c>
      <c r="E78" s="2"/>
      <c r="F78" s="6">
        <f t="shared" si="36"/>
        <v>9.7289928181185645E-4</v>
      </c>
      <c r="G78" s="2"/>
      <c r="H78" s="7">
        <v>116.25</v>
      </c>
      <c r="I78" s="2"/>
      <c r="J78" s="6">
        <f t="shared" si="37"/>
        <v>8.6806800097492429E-4</v>
      </c>
      <c r="K78" s="2"/>
      <c r="L78" s="7">
        <f t="shared" si="38"/>
        <v>8.980000000000004</v>
      </c>
      <c r="M78" s="2"/>
      <c r="N78" s="6">
        <f t="shared" si="39"/>
        <v>7.7247311827957021E-2</v>
      </c>
      <c r="O78" s="11"/>
      <c r="P78" s="7">
        <v>147.85</v>
      </c>
      <c r="Q78" s="2"/>
      <c r="R78" s="6">
        <f t="shared" si="40"/>
        <v>7.8835127674515702E-4</v>
      </c>
      <c r="S78" s="2"/>
      <c r="T78" s="7">
        <v>232.5</v>
      </c>
      <c r="U78" s="2"/>
      <c r="V78" s="6">
        <f t="shared" si="41"/>
        <v>1.2056036457454248E-3</v>
      </c>
      <c r="W78" s="2"/>
      <c r="X78" s="7">
        <f t="shared" si="42"/>
        <v>-84.65</v>
      </c>
      <c r="Y78" s="2"/>
      <c r="Z78" s="6">
        <f t="shared" si="43"/>
        <v>-0.36408602150537639</v>
      </c>
    </row>
    <row r="79" spans="1:26" s="24" customFormat="1" hidden="1" outlineLevel="2" x14ac:dyDescent="0.25">
      <c r="A79" s="29"/>
      <c r="B79" s="11" t="str">
        <f>CONCATENATE("          ", "6286", " - ", "LAUNDRY EXPENSE")</f>
        <v xml:space="preserve">          6286 - LAUNDRY EXPENSE</v>
      </c>
      <c r="C79" s="11"/>
      <c r="D79" s="7">
        <v>828.52</v>
      </c>
      <c r="E79" s="2"/>
      <c r="F79" s="6">
        <f t="shared" si="36"/>
        <v>6.4366885967161161E-3</v>
      </c>
      <c r="G79" s="2"/>
      <c r="H79" s="7">
        <v>624.79999999999995</v>
      </c>
      <c r="I79" s="2"/>
      <c r="J79" s="6">
        <f t="shared" si="37"/>
        <v>4.6655388129817864E-3</v>
      </c>
      <c r="K79" s="2"/>
      <c r="L79" s="7">
        <f t="shared" si="38"/>
        <v>203.72000000000003</v>
      </c>
      <c r="M79" s="2"/>
      <c r="N79" s="6">
        <f t="shared" si="39"/>
        <v>0.32605633802816908</v>
      </c>
      <c r="O79" s="11"/>
      <c r="P79" s="7">
        <v>1419.25</v>
      </c>
      <c r="Q79" s="2"/>
      <c r="R79" s="6">
        <f t="shared" si="40"/>
        <v>7.5675857255364503E-3</v>
      </c>
      <c r="S79" s="2"/>
      <c r="T79" s="7">
        <v>1225.9100000000001</v>
      </c>
      <c r="U79" s="2"/>
      <c r="V79" s="6">
        <f t="shared" si="41"/>
        <v>6.3568239370140802E-3</v>
      </c>
      <c r="W79" s="2"/>
      <c r="X79" s="7">
        <f t="shared" si="42"/>
        <v>193.33999999999992</v>
      </c>
      <c r="Y79" s="2"/>
      <c r="Z79" s="6">
        <f t="shared" si="43"/>
        <v>0.15771141437789063</v>
      </c>
    </row>
    <row r="80" spans="1:26" s="27" customFormat="1" outlineLevel="1" collapsed="1" x14ac:dyDescent="0.25">
      <c r="A80" s="28"/>
      <c r="B80" s="14" t="str">
        <f>CONCATENATE("     ","Subscriptions &amp; Dues                              ")</f>
        <v xml:space="preserve">     Subscriptions &amp; Dues                              </v>
      </c>
      <c r="C80" s="14"/>
      <c r="D80" s="1">
        <f>SUM(OSRRefD22_17x_0)</f>
        <v>176.4</v>
      </c>
      <c r="E80" s="1"/>
      <c r="F80" s="5">
        <f t="shared" ref="F80:F82" si="44">IF(D$12=0,0,D80/D$12)</f>
        <v>1.370433868175449E-3</v>
      </c>
      <c r="G80" s="1"/>
      <c r="H80" s="1">
        <f>SUM(OSRRefH22_17x_0)</f>
        <v>0</v>
      </c>
      <c r="I80" s="1"/>
      <c r="J80" s="5">
        <f t="shared" ref="J80:J82" si="45">IF(H$12=0,0,H80/H$12)</f>
        <v>0</v>
      </c>
      <c r="K80" s="1"/>
      <c r="L80" s="1">
        <f t="shared" ref="L80:L82" si="46">+D80-H80</f>
        <v>176.4</v>
      </c>
      <c r="M80" s="1"/>
      <c r="N80" s="5">
        <f t="shared" ref="N80:N82" si="47">IF(H80=0,0,L80/H80)</f>
        <v>0</v>
      </c>
      <c r="O80" s="14"/>
      <c r="P80" s="1">
        <f>SUM(OSRRefP22_17x_0)</f>
        <v>352.8</v>
      </c>
      <c r="Q80" s="1"/>
      <c r="R80" s="5">
        <f t="shared" ref="R80:R82" si="48">IF(P$12=0,0,P80/P$12)</f>
        <v>1.881165576162945E-3</v>
      </c>
      <c r="S80" s="1"/>
      <c r="T80" s="1">
        <f>SUM(OSRRefT22_17x_0)</f>
        <v>31.8</v>
      </c>
      <c r="U80" s="1"/>
      <c r="V80" s="5">
        <f t="shared" ref="V80:V82" si="49">IF(T$12=0,0,T80/T$12)</f>
        <v>1.6489546638582582E-4</v>
      </c>
      <c r="W80" s="1"/>
      <c r="X80" s="1">
        <f t="shared" ref="X80:X82" si="50">+P80-T80</f>
        <v>321</v>
      </c>
      <c r="Y80" s="1"/>
      <c r="Z80" s="5">
        <f t="shared" ref="Z80:Z82" si="51">IF(T80=0,0,X80/T80)</f>
        <v>10.09433962264151</v>
      </c>
    </row>
    <row r="81" spans="1:26" s="24" customFormat="1" hidden="1" outlineLevel="2" x14ac:dyDescent="0.25">
      <c r="A81" s="29"/>
      <c r="B81" s="11" t="str">
        <f>CONCATENATE("          ", "6258", " - ", "MEMBERSHIP DUES")</f>
        <v xml:space="preserve">          6258 - MEMBERSHIP DUES</v>
      </c>
      <c r="C81" s="11"/>
      <c r="D81" s="7"/>
      <c r="E81" s="2"/>
      <c r="F81" s="6">
        <f t="shared" si="44"/>
        <v>0</v>
      </c>
      <c r="G81" s="2"/>
      <c r="H81" s="7"/>
      <c r="I81" s="2"/>
      <c r="J81" s="6">
        <f t="shared" si="45"/>
        <v>0</v>
      </c>
      <c r="K81" s="2"/>
      <c r="L81" s="7">
        <f t="shared" si="46"/>
        <v>0</v>
      </c>
      <c r="M81" s="2"/>
      <c r="N81" s="6">
        <f t="shared" si="47"/>
        <v>0</v>
      </c>
      <c r="O81" s="11"/>
      <c r="P81" s="7"/>
      <c r="Q81" s="2"/>
      <c r="R81" s="6">
        <f t="shared" si="48"/>
        <v>0</v>
      </c>
      <c r="S81" s="2"/>
      <c r="T81" s="7">
        <v>31.8</v>
      </c>
      <c r="U81" s="2"/>
      <c r="V81" s="6">
        <f t="shared" si="49"/>
        <v>1.6489546638582582E-4</v>
      </c>
      <c r="W81" s="2"/>
      <c r="X81" s="7">
        <f t="shared" si="50"/>
        <v>-31.8</v>
      </c>
      <c r="Y81" s="2"/>
      <c r="Z81" s="6">
        <f t="shared" si="51"/>
        <v>-1</v>
      </c>
    </row>
    <row r="82" spans="1:26" s="24" customFormat="1" hidden="1" outlineLevel="2" x14ac:dyDescent="0.25">
      <c r="A82" s="29"/>
      <c r="B82" s="11" t="str">
        <f>CONCATENATE("          ", "6275", " - ", "SUBSCRIPTIONS")</f>
        <v xml:space="preserve">          6275 - SUBSCRIPTIONS</v>
      </c>
      <c r="C82" s="11"/>
      <c r="D82" s="7">
        <v>176.4</v>
      </c>
      <c r="E82" s="2"/>
      <c r="F82" s="6">
        <f t="shared" si="44"/>
        <v>1.370433868175449E-3</v>
      </c>
      <c r="G82" s="2"/>
      <c r="H82" s="7"/>
      <c r="I82" s="2"/>
      <c r="J82" s="6">
        <f t="shared" si="45"/>
        <v>0</v>
      </c>
      <c r="K82" s="2"/>
      <c r="L82" s="7">
        <f t="shared" si="46"/>
        <v>176.4</v>
      </c>
      <c r="M82" s="2"/>
      <c r="N82" s="6">
        <f t="shared" si="47"/>
        <v>0</v>
      </c>
      <c r="O82" s="11"/>
      <c r="P82" s="7">
        <v>352.8</v>
      </c>
      <c r="Q82" s="2"/>
      <c r="R82" s="6">
        <f t="shared" si="48"/>
        <v>1.881165576162945E-3</v>
      </c>
      <c r="S82" s="2"/>
      <c r="T82" s="7"/>
      <c r="U82" s="2"/>
      <c r="V82" s="6">
        <f t="shared" si="49"/>
        <v>0</v>
      </c>
      <c r="W82" s="2"/>
      <c r="X82" s="7">
        <f t="shared" si="50"/>
        <v>352.8</v>
      </c>
      <c r="Y82" s="2"/>
      <c r="Z82" s="6">
        <f t="shared" si="51"/>
        <v>0</v>
      </c>
    </row>
    <row r="83" spans="1:26" s="27" customFormat="1" outlineLevel="1" collapsed="1" x14ac:dyDescent="0.25">
      <c r="A83" s="28"/>
      <c r="B83" s="14" t="str">
        <f>CONCATENATE("     ","Supplies                                          ")</f>
        <v xml:space="preserve">     Supplies                                          </v>
      </c>
      <c r="C83" s="14"/>
      <c r="D83" s="1">
        <f>SUM(OSRRefD22_18x_0)</f>
        <v>10151.1</v>
      </c>
      <c r="E83" s="1"/>
      <c r="F83" s="5">
        <f t="shared" ref="F83:F90" si="52">IF(D$12=0,0,D83/D$12)</f>
        <v>7.8862875505871885E-2</v>
      </c>
      <c r="G83" s="1"/>
      <c r="H83" s="1">
        <f>SUM(OSRRefH22_18x_0)</f>
        <v>12218.14</v>
      </c>
      <c r="I83" s="1"/>
      <c r="J83" s="5">
        <f t="shared" ref="J83:J90" si="53">IF(H$12=0,0,H83/H$12)</f>
        <v>9.1235925724144185E-2</v>
      </c>
      <c r="K83" s="1"/>
      <c r="L83" s="1">
        <f t="shared" ref="L83:L90" si="54">+D83-H83</f>
        <v>-2067.0399999999991</v>
      </c>
      <c r="M83" s="1"/>
      <c r="N83" s="5">
        <f t="shared" ref="N83:N90" si="55">IF(H83=0,0,L83/H83)</f>
        <v>-0.16917795998408916</v>
      </c>
      <c r="O83" s="14"/>
      <c r="P83" s="1">
        <f>SUM(OSRRefP22_18x_0)</f>
        <v>17553.25</v>
      </c>
      <c r="Q83" s="1"/>
      <c r="R83" s="5">
        <f t="shared" ref="R83:R90" si="56">IF(P$12=0,0,P83/P$12)</f>
        <v>9.3595718961967722E-2</v>
      </c>
      <c r="S83" s="1"/>
      <c r="T83" s="1">
        <f>SUM(OSRRefT22_18x_0)</f>
        <v>14741.36</v>
      </c>
      <c r="U83" s="1"/>
      <c r="V83" s="5">
        <f t="shared" ref="V83:V90" si="57">IF(T$12=0,0,T83/T$12)</f>
        <v>7.643973057740118E-2</v>
      </c>
      <c r="W83" s="1"/>
      <c r="X83" s="1">
        <f t="shared" ref="X83:X90" si="58">+P83-T83</f>
        <v>2811.8899999999994</v>
      </c>
      <c r="Y83" s="1"/>
      <c r="Z83" s="5">
        <f t="shared" ref="Z83:Z90" si="59">IF(T83=0,0,X83/T83)</f>
        <v>0.19074834343642644</v>
      </c>
    </row>
    <row r="84" spans="1:26" s="24" customFormat="1" hidden="1" outlineLevel="2" x14ac:dyDescent="0.25">
      <c r="A84" s="29"/>
      <c r="B84" s="11" t="str">
        <f>CONCATENATE("          ", "6234", " - ", "EXPENDABLE SUPPLIES &amp; EQUIPMEN")</f>
        <v xml:space="preserve">          6234 - EXPENDABLE SUPPLIES &amp; EQUIPMEN</v>
      </c>
      <c r="C84" s="11"/>
      <c r="D84" s="7">
        <v>1064.24</v>
      </c>
      <c r="E84" s="2"/>
      <c r="F84" s="6">
        <f t="shared" si="52"/>
        <v>8.2679735820126964E-3</v>
      </c>
      <c r="G84" s="2"/>
      <c r="H84" s="7">
        <v>162.07</v>
      </c>
      <c r="I84" s="2"/>
      <c r="J84" s="6">
        <f t="shared" si="53"/>
        <v>1.2102174702624169E-3</v>
      </c>
      <c r="K84" s="2"/>
      <c r="L84" s="7">
        <f t="shared" si="54"/>
        <v>902.17000000000007</v>
      </c>
      <c r="M84" s="2"/>
      <c r="N84" s="6">
        <f t="shared" si="55"/>
        <v>5.5665453199234909</v>
      </c>
      <c r="O84" s="11"/>
      <c r="P84" s="7">
        <v>1064.24</v>
      </c>
      <c r="Q84" s="2"/>
      <c r="R84" s="6">
        <f t="shared" si="56"/>
        <v>5.6746362040126204E-3</v>
      </c>
      <c r="S84" s="2"/>
      <c r="T84" s="7">
        <v>162.07</v>
      </c>
      <c r="U84" s="2"/>
      <c r="V84" s="6">
        <f t="shared" si="57"/>
        <v>8.4039648544499343E-4</v>
      </c>
      <c r="W84" s="2"/>
      <c r="X84" s="7">
        <f t="shared" si="58"/>
        <v>902.17000000000007</v>
      </c>
      <c r="Y84" s="2"/>
      <c r="Z84" s="6">
        <f t="shared" si="59"/>
        <v>5.5665453199234909</v>
      </c>
    </row>
    <row r="85" spans="1:26" s="24" customFormat="1" hidden="1" outlineLevel="2" x14ac:dyDescent="0.25">
      <c r="A85" s="29"/>
      <c r="B85" s="11" t="str">
        <f>CONCATENATE("          ", "6237", " - ", "JANITORIAL SUPPLIES")</f>
        <v xml:space="preserve">          6237 - JANITORIAL SUPPLIES</v>
      </c>
      <c r="C85" s="11"/>
      <c r="D85" s="7">
        <v>636.62</v>
      </c>
      <c r="E85" s="2"/>
      <c r="F85" s="6">
        <f t="shared" si="52"/>
        <v>4.9458367866091514E-3</v>
      </c>
      <c r="G85" s="2"/>
      <c r="H85" s="7">
        <v>351.67</v>
      </c>
      <c r="I85" s="2"/>
      <c r="J85" s="6">
        <f t="shared" si="53"/>
        <v>2.6260083776589388E-3</v>
      </c>
      <c r="K85" s="2"/>
      <c r="L85" s="7">
        <f t="shared" si="54"/>
        <v>284.95</v>
      </c>
      <c r="M85" s="2"/>
      <c r="N85" s="6">
        <f t="shared" si="55"/>
        <v>0.81027667984189722</v>
      </c>
      <c r="O85" s="11"/>
      <c r="P85" s="7">
        <v>1013.94</v>
      </c>
      <c r="Q85" s="2"/>
      <c r="R85" s="6">
        <f t="shared" si="56"/>
        <v>5.4064314747580963E-3</v>
      </c>
      <c r="S85" s="2"/>
      <c r="T85" s="7">
        <v>616.54</v>
      </c>
      <c r="U85" s="2"/>
      <c r="V85" s="6">
        <f t="shared" si="57"/>
        <v>3.1970015989156303E-3</v>
      </c>
      <c r="W85" s="2"/>
      <c r="X85" s="7">
        <f t="shared" si="58"/>
        <v>397.40000000000009</v>
      </c>
      <c r="Y85" s="2"/>
      <c r="Z85" s="6">
        <f t="shared" si="59"/>
        <v>0.64456482953255279</v>
      </c>
    </row>
    <row r="86" spans="1:26" s="24" customFormat="1" hidden="1" outlineLevel="2" x14ac:dyDescent="0.25">
      <c r="A86" s="29"/>
      <c r="B86" s="11" t="str">
        <f>CONCATENATE("          ", "6241", " - ", "OFFICE EXPENSE")</f>
        <v xml:space="preserve">          6241 - OFFICE EXPENSE</v>
      </c>
      <c r="C86" s="11"/>
      <c r="D86" s="7">
        <v>456.83</v>
      </c>
      <c r="E86" s="2"/>
      <c r="F86" s="6">
        <f t="shared" si="52"/>
        <v>3.5490663491983578E-3</v>
      </c>
      <c r="G86" s="2"/>
      <c r="H86" s="7">
        <v>627.12</v>
      </c>
      <c r="I86" s="2"/>
      <c r="J86" s="6">
        <f t="shared" si="53"/>
        <v>4.6828628367431785E-3</v>
      </c>
      <c r="K86" s="2"/>
      <c r="L86" s="7">
        <f t="shared" si="54"/>
        <v>-170.29000000000002</v>
      </c>
      <c r="M86" s="2"/>
      <c r="N86" s="6">
        <f t="shared" si="55"/>
        <v>-0.27154292639367267</v>
      </c>
      <c r="O86" s="11"/>
      <c r="P86" s="7">
        <v>730.57</v>
      </c>
      <c r="Q86" s="2"/>
      <c r="R86" s="6">
        <f t="shared" si="56"/>
        <v>3.8954737385979671E-3</v>
      </c>
      <c r="S86" s="2"/>
      <c r="T86" s="7">
        <v>2706.26</v>
      </c>
      <c r="U86" s="2"/>
      <c r="V86" s="6">
        <f t="shared" si="57"/>
        <v>1.4033019020795756E-2</v>
      </c>
      <c r="W86" s="2"/>
      <c r="X86" s="7">
        <f t="shared" si="58"/>
        <v>-1975.69</v>
      </c>
      <c r="Y86" s="2"/>
      <c r="Z86" s="6">
        <f t="shared" si="59"/>
        <v>-0.73004441554026589</v>
      </c>
    </row>
    <row r="87" spans="1:26" s="24" customFormat="1" hidden="1" outlineLevel="2" x14ac:dyDescent="0.25">
      <c r="A87" s="29"/>
      <c r="B87" s="11" t="str">
        <f>CONCATENATE("          ", "6243", " - ", "PAPER SUPPLIES")</f>
        <v xml:space="preserve">          6243 - PAPER SUPPLIES</v>
      </c>
      <c r="C87" s="11"/>
      <c r="D87" s="7">
        <v>601.66999999999996</v>
      </c>
      <c r="E87" s="2"/>
      <c r="F87" s="6">
        <f t="shared" si="52"/>
        <v>4.6743137498022804E-3</v>
      </c>
      <c r="G87" s="2"/>
      <c r="H87" s="7">
        <v>804.14</v>
      </c>
      <c r="I87" s="2"/>
      <c r="J87" s="6">
        <f t="shared" si="53"/>
        <v>6.0047157187438759E-3</v>
      </c>
      <c r="K87" s="2"/>
      <c r="L87" s="7">
        <f t="shared" si="54"/>
        <v>-202.47000000000003</v>
      </c>
      <c r="M87" s="2"/>
      <c r="N87" s="6">
        <f t="shared" si="55"/>
        <v>-0.25178451513418065</v>
      </c>
      <c r="O87" s="11"/>
      <c r="P87" s="7">
        <v>601.66999999999996</v>
      </c>
      <c r="Q87" s="2"/>
      <c r="R87" s="6">
        <f t="shared" si="56"/>
        <v>3.2081657942459154E-3</v>
      </c>
      <c r="S87" s="2"/>
      <c r="T87" s="7">
        <v>1082.22</v>
      </c>
      <c r="U87" s="2"/>
      <c r="V87" s="6">
        <f t="shared" si="57"/>
        <v>5.6117349569832836E-3</v>
      </c>
      <c r="W87" s="2"/>
      <c r="X87" s="7">
        <f t="shared" si="58"/>
        <v>-480.55000000000007</v>
      </c>
      <c r="Y87" s="2"/>
      <c r="Z87" s="6">
        <f t="shared" si="59"/>
        <v>-0.44404095285616607</v>
      </c>
    </row>
    <row r="88" spans="1:26" s="24" customFormat="1" hidden="1" outlineLevel="2" x14ac:dyDescent="0.25">
      <c r="A88" s="29"/>
      <c r="B88" s="11" t="str">
        <f>CONCATENATE("          ", "6245", " - ", "PRINTING")</f>
        <v xml:space="preserve">          6245 - PRINTING</v>
      </c>
      <c r="C88" s="11"/>
      <c r="D88" s="7"/>
      <c r="E88" s="2"/>
      <c r="F88" s="6">
        <f t="shared" si="52"/>
        <v>0</v>
      </c>
      <c r="G88" s="2"/>
      <c r="H88" s="7"/>
      <c r="I88" s="2"/>
      <c r="J88" s="6">
        <f t="shared" si="53"/>
        <v>0</v>
      </c>
      <c r="K88" s="2"/>
      <c r="L88" s="7">
        <f t="shared" si="54"/>
        <v>0</v>
      </c>
      <c r="M88" s="2"/>
      <c r="N88" s="6">
        <f t="shared" si="55"/>
        <v>0</v>
      </c>
      <c r="O88" s="11"/>
      <c r="P88" s="7"/>
      <c r="Q88" s="2"/>
      <c r="R88" s="6">
        <f t="shared" si="56"/>
        <v>0</v>
      </c>
      <c r="S88" s="2"/>
      <c r="T88" s="7">
        <v>51.82</v>
      </c>
      <c r="U88" s="2"/>
      <c r="V88" s="6">
        <f t="shared" si="57"/>
        <v>2.6870701472055011E-4</v>
      </c>
      <c r="W88" s="2"/>
      <c r="X88" s="7">
        <f t="shared" si="58"/>
        <v>-51.82</v>
      </c>
      <c r="Y88" s="2"/>
      <c r="Z88" s="6">
        <f t="shared" si="59"/>
        <v>-1</v>
      </c>
    </row>
    <row r="89" spans="1:26" s="24" customFormat="1" hidden="1" outlineLevel="2" x14ac:dyDescent="0.25">
      <c r="A89" s="29"/>
      <c r="B89" s="11" t="str">
        <f>CONCATENATE("          ", "6247", " - ", "STORE SUPPLIES")</f>
        <v xml:space="preserve">          6247 - STORE SUPPLIES</v>
      </c>
      <c r="C89" s="11"/>
      <c r="D89" s="7">
        <v>7391.74</v>
      </c>
      <c r="E89" s="2"/>
      <c r="F89" s="6">
        <f t="shared" si="52"/>
        <v>5.7425685038249394E-2</v>
      </c>
      <c r="G89" s="2"/>
      <c r="H89" s="7">
        <v>9121.9599999999991</v>
      </c>
      <c r="I89" s="2"/>
      <c r="J89" s="6">
        <f t="shared" si="53"/>
        <v>6.811597059933952E-2</v>
      </c>
      <c r="K89" s="2"/>
      <c r="L89" s="7">
        <f t="shared" si="54"/>
        <v>-1730.2199999999993</v>
      </c>
      <c r="M89" s="2"/>
      <c r="N89" s="6">
        <f t="shared" si="55"/>
        <v>-0.18967634148801349</v>
      </c>
      <c r="O89" s="11"/>
      <c r="P89" s="7">
        <v>14142.83</v>
      </c>
      <c r="Q89" s="2"/>
      <c r="R89" s="6">
        <f t="shared" si="56"/>
        <v>7.5411011750353127E-2</v>
      </c>
      <c r="S89" s="2"/>
      <c r="T89" s="7">
        <v>8971.27</v>
      </c>
      <c r="U89" s="2"/>
      <c r="V89" s="6">
        <f t="shared" si="57"/>
        <v>4.6519551909533573E-2</v>
      </c>
      <c r="W89" s="2"/>
      <c r="X89" s="7">
        <f t="shared" si="58"/>
        <v>5171.5599999999995</v>
      </c>
      <c r="Y89" s="2"/>
      <c r="Z89" s="6">
        <f t="shared" si="59"/>
        <v>0.57645795968686697</v>
      </c>
    </row>
    <row r="90" spans="1:26" s="24" customFormat="1" hidden="1" outlineLevel="2" x14ac:dyDescent="0.25">
      <c r="A90" s="29"/>
      <c r="B90" s="11" t="str">
        <f>CONCATENATE("          ", "6248", " - ", "UNIFORMS")</f>
        <v xml:space="preserve">          6248 - UNIFORMS</v>
      </c>
      <c r="C90" s="11"/>
      <c r="D90" s="7"/>
      <c r="E90" s="2"/>
      <c r="F90" s="6">
        <f t="shared" si="52"/>
        <v>0</v>
      </c>
      <c r="G90" s="2"/>
      <c r="H90" s="7">
        <v>1151.18</v>
      </c>
      <c r="I90" s="2"/>
      <c r="J90" s="6">
        <f t="shared" si="53"/>
        <v>8.5961507213962434E-3</v>
      </c>
      <c r="K90" s="2"/>
      <c r="L90" s="7">
        <f t="shared" si="54"/>
        <v>-1151.18</v>
      </c>
      <c r="M90" s="2"/>
      <c r="N90" s="6">
        <f t="shared" si="55"/>
        <v>-1</v>
      </c>
      <c r="O90" s="11"/>
      <c r="P90" s="7"/>
      <c r="Q90" s="2"/>
      <c r="R90" s="6">
        <f t="shared" si="56"/>
        <v>0</v>
      </c>
      <c r="S90" s="2"/>
      <c r="T90" s="7">
        <v>1151.18</v>
      </c>
      <c r="U90" s="2"/>
      <c r="V90" s="6">
        <f t="shared" si="57"/>
        <v>5.9693195910073896E-3</v>
      </c>
      <c r="W90" s="2"/>
      <c r="X90" s="7">
        <f t="shared" si="58"/>
        <v>-1151.18</v>
      </c>
      <c r="Y90" s="2"/>
      <c r="Z90" s="6">
        <f t="shared" si="59"/>
        <v>-1</v>
      </c>
    </row>
    <row r="91" spans="1:26" s="27" customFormat="1" outlineLevel="1" collapsed="1" x14ac:dyDescent="0.25">
      <c r="A91" s="28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SUM(OSRRefD22_19x_0)</f>
        <v>344.76</v>
      </c>
      <c r="E91" s="1"/>
      <c r="F91" s="5">
        <f t="shared" ref="F91:F96" si="60">IF(D$12=0,0,D91/D$12)</f>
        <v>2.6784057845360984E-3</v>
      </c>
      <c r="G91" s="1"/>
      <c r="H91" s="1">
        <f>SUM(OSRRefH22_19x_0)</f>
        <v>347.31</v>
      </c>
      <c r="I91" s="1"/>
      <c r="J91" s="5">
        <f t="shared" ref="J91:J96" si="61">IF(H$12=0,0,H91/H$12)</f>
        <v>2.5934511605901155E-3</v>
      </c>
      <c r="K91" s="1"/>
      <c r="L91" s="1">
        <f t="shared" ref="L91:L96" si="62">+D91-H91</f>
        <v>-2.5500000000000114</v>
      </c>
      <c r="M91" s="1"/>
      <c r="N91" s="5">
        <f t="shared" ref="N91:N96" si="63">IF(H91=0,0,L91/H91)</f>
        <v>-7.3421439060205908E-3</v>
      </c>
      <c r="O91" s="14"/>
      <c r="P91" s="1">
        <f>SUM(OSRRefP22_19x_0)</f>
        <v>581.57000000000005</v>
      </c>
      <c r="Q91" s="1"/>
      <c r="R91" s="5">
        <f t="shared" ref="R91:R96" si="64">IF(P$12=0,0,P91/P$12)</f>
        <v>3.1009905445835715E-3</v>
      </c>
      <c r="S91" s="1"/>
      <c r="T91" s="1">
        <f>SUM(OSRRefT22_19x_0)</f>
        <v>654.32000000000005</v>
      </c>
      <c r="U91" s="1"/>
      <c r="V91" s="5">
        <f t="shared" ref="V91:V96" si="65">IF(T$12=0,0,T91/T$12)</f>
        <v>3.3929057096092315E-3</v>
      </c>
      <c r="W91" s="1"/>
      <c r="X91" s="1">
        <f t="shared" ref="X91:X96" si="66">+P91-T91</f>
        <v>-72.75</v>
      </c>
      <c r="Y91" s="1"/>
      <c r="Z91" s="5">
        <f t="shared" ref="Z91:Z96" si="67">IF(T91=0,0,X91/T91)</f>
        <v>-0.11118413008925296</v>
      </c>
    </row>
    <row r="92" spans="1:26" s="24" customFormat="1" hidden="1" outlineLevel="2" x14ac:dyDescent="0.25">
      <c r="A92" s="29"/>
      <c r="B92" s="11" t="str">
        <f>CONCATENATE("          ", "6309", " - ", "TELEPHONE")</f>
        <v xml:space="preserve">          6309 - TELEPHONE</v>
      </c>
      <c r="C92" s="11"/>
      <c r="D92" s="7">
        <v>344.76</v>
      </c>
      <c r="E92" s="2"/>
      <c r="F92" s="6">
        <f t="shared" si="60"/>
        <v>2.6784057845360984E-3</v>
      </c>
      <c r="G92" s="2"/>
      <c r="H92" s="7">
        <v>347.31</v>
      </c>
      <c r="I92" s="2"/>
      <c r="J92" s="6">
        <f t="shared" si="61"/>
        <v>2.5934511605901155E-3</v>
      </c>
      <c r="K92" s="2"/>
      <c r="L92" s="7">
        <f t="shared" si="62"/>
        <v>-2.5500000000000114</v>
      </c>
      <c r="M92" s="2"/>
      <c r="N92" s="6">
        <f t="shared" si="63"/>
        <v>-7.3421439060205908E-3</v>
      </c>
      <c r="O92" s="11"/>
      <c r="P92" s="7">
        <v>581.57000000000005</v>
      </c>
      <c r="Q92" s="2"/>
      <c r="R92" s="6">
        <f t="shared" si="64"/>
        <v>3.1009905445835715E-3</v>
      </c>
      <c r="S92" s="2"/>
      <c r="T92" s="7">
        <v>654.32000000000005</v>
      </c>
      <c r="U92" s="2"/>
      <c r="V92" s="6">
        <f t="shared" si="65"/>
        <v>3.3929057096092315E-3</v>
      </c>
      <c r="W92" s="2"/>
      <c r="X92" s="7">
        <f t="shared" si="66"/>
        <v>-72.75</v>
      </c>
      <c r="Y92" s="2"/>
      <c r="Z92" s="6">
        <f t="shared" si="67"/>
        <v>-0.11118413008925296</v>
      </c>
    </row>
    <row r="93" spans="1:26" s="27" customFormat="1" outlineLevel="1" collapsed="1" x14ac:dyDescent="0.25">
      <c r="A93" s="28"/>
      <c r="B93" s="14" t="str">
        <f>CONCATENATE("     ","Training                                          ")</f>
        <v xml:space="preserve">     Training                                          </v>
      </c>
      <c r="C93" s="14"/>
      <c r="D93" s="1">
        <f>SUM(OSRRefD22_20x_0)</f>
        <v>0</v>
      </c>
      <c r="E93" s="1"/>
      <c r="F93" s="5">
        <f t="shared" si="60"/>
        <v>0</v>
      </c>
      <c r="G93" s="1"/>
      <c r="H93" s="1">
        <f>SUM(OSRRefH22_20x_0)</f>
        <v>0</v>
      </c>
      <c r="I93" s="1"/>
      <c r="J93" s="5">
        <f t="shared" si="61"/>
        <v>0</v>
      </c>
      <c r="K93" s="1"/>
      <c r="L93" s="1">
        <f t="shared" si="62"/>
        <v>0</v>
      </c>
      <c r="M93" s="1"/>
      <c r="N93" s="5">
        <f t="shared" si="63"/>
        <v>0</v>
      </c>
      <c r="O93" s="14"/>
      <c r="P93" s="1">
        <f>SUM(OSRRefP22_20x_0)</f>
        <v>0</v>
      </c>
      <c r="Q93" s="1"/>
      <c r="R93" s="5">
        <f t="shared" si="64"/>
        <v>0</v>
      </c>
      <c r="S93" s="1"/>
      <c r="T93" s="1">
        <f>SUM(OSRRefT22_20x_0)</f>
        <v>98.82</v>
      </c>
      <c r="U93" s="1"/>
      <c r="V93" s="5">
        <f t="shared" si="65"/>
        <v>5.1242043988199083E-4</v>
      </c>
      <c r="W93" s="1"/>
      <c r="X93" s="1">
        <f t="shared" si="66"/>
        <v>-98.82</v>
      </c>
      <c r="Y93" s="1"/>
      <c r="Z93" s="5">
        <f t="shared" si="67"/>
        <v>-1</v>
      </c>
    </row>
    <row r="94" spans="1:26" s="24" customFormat="1" hidden="1" outlineLevel="2" x14ac:dyDescent="0.25">
      <c r="A94" s="29"/>
      <c r="B94" s="11" t="str">
        <f>CONCATENATE("          ", "6376", " - ", "TRAINING")</f>
        <v xml:space="preserve">          6376 - TRAINING</v>
      </c>
      <c r="C94" s="11"/>
      <c r="D94" s="7"/>
      <c r="E94" s="2"/>
      <c r="F94" s="6">
        <f t="shared" si="60"/>
        <v>0</v>
      </c>
      <c r="G94" s="2"/>
      <c r="H94" s="7"/>
      <c r="I94" s="2"/>
      <c r="J94" s="6">
        <f t="shared" si="61"/>
        <v>0</v>
      </c>
      <c r="K94" s="2"/>
      <c r="L94" s="7">
        <f t="shared" si="62"/>
        <v>0</v>
      </c>
      <c r="M94" s="2"/>
      <c r="N94" s="6">
        <f t="shared" si="63"/>
        <v>0</v>
      </c>
      <c r="O94" s="11"/>
      <c r="P94" s="7"/>
      <c r="Q94" s="2"/>
      <c r="R94" s="6">
        <f t="shared" si="64"/>
        <v>0</v>
      </c>
      <c r="S94" s="2"/>
      <c r="T94" s="7">
        <v>98.82</v>
      </c>
      <c r="U94" s="2"/>
      <c r="V94" s="6">
        <f t="shared" si="65"/>
        <v>5.1242043988199083E-4</v>
      </c>
      <c r="W94" s="2"/>
      <c r="X94" s="7">
        <f t="shared" si="66"/>
        <v>-98.82</v>
      </c>
      <c r="Y94" s="2"/>
      <c r="Z94" s="6">
        <f t="shared" si="67"/>
        <v>-1</v>
      </c>
    </row>
    <row r="95" spans="1:26" s="27" customFormat="1" outlineLevel="1" collapsed="1" x14ac:dyDescent="0.25">
      <c r="A95" s="28"/>
      <c r="B95" s="14" t="str">
        <f>CONCATENATE("     ","Utilities                                         ")</f>
        <v xml:space="preserve">     Utilities                                         </v>
      </c>
      <c r="C95" s="14"/>
      <c r="D95" s="1">
        <f>SUM(OSRRefD22_21x_0)</f>
        <v>-902.88</v>
      </c>
      <c r="E95" s="1"/>
      <c r="F95" s="5">
        <f t="shared" si="60"/>
        <v>-7.014383962008216E-3</v>
      </c>
      <c r="G95" s="1"/>
      <c r="H95" s="1">
        <f>SUM(OSRRefH22_21x_0)</f>
        <v>1100</v>
      </c>
      <c r="I95" s="1"/>
      <c r="J95" s="5">
        <f t="shared" si="61"/>
        <v>8.2139767834186386E-3</v>
      </c>
      <c r="K95" s="1"/>
      <c r="L95" s="1">
        <f t="shared" si="62"/>
        <v>-2002.88</v>
      </c>
      <c r="M95" s="1"/>
      <c r="N95" s="5">
        <f t="shared" si="63"/>
        <v>-1.8208000000000002</v>
      </c>
      <c r="O95" s="14"/>
      <c r="P95" s="1">
        <f>SUM(OSRRefP22_21x_0)</f>
        <v>56.12</v>
      </c>
      <c r="Q95" s="1"/>
      <c r="R95" s="5">
        <f t="shared" si="64"/>
        <v>2.9923756273884483E-4</v>
      </c>
      <c r="S95" s="1"/>
      <c r="T95" s="1">
        <f>SUM(OSRRefT22_21x_0)</f>
        <v>2174</v>
      </c>
      <c r="U95" s="1"/>
      <c r="V95" s="5">
        <f t="shared" si="65"/>
        <v>1.1273042261722809E-2</v>
      </c>
      <c r="W95" s="1"/>
      <c r="X95" s="1">
        <f t="shared" si="66"/>
        <v>-2117.88</v>
      </c>
      <c r="Y95" s="1"/>
      <c r="Z95" s="5">
        <f t="shared" si="67"/>
        <v>-0.97418583256669733</v>
      </c>
    </row>
    <row r="96" spans="1:26" s="24" customFormat="1" hidden="1" outlineLevel="2" x14ac:dyDescent="0.25">
      <c r="A96" s="29"/>
      <c r="B96" s="11" t="str">
        <f>CONCATENATE("          ", "6274", " - ", "UTILITIES")</f>
        <v xml:space="preserve">          6274 - UTILITIES</v>
      </c>
      <c r="C96" s="11"/>
      <c r="D96" s="7">
        <v>-902.88</v>
      </c>
      <c r="E96" s="2"/>
      <c r="F96" s="6">
        <f t="shared" si="60"/>
        <v>-7.014383962008216E-3</v>
      </c>
      <c r="G96" s="2"/>
      <c r="H96" s="7">
        <v>1100</v>
      </c>
      <c r="I96" s="2"/>
      <c r="J96" s="6">
        <f t="shared" si="61"/>
        <v>8.2139767834186386E-3</v>
      </c>
      <c r="K96" s="2"/>
      <c r="L96" s="7">
        <f t="shared" si="62"/>
        <v>-2002.88</v>
      </c>
      <c r="M96" s="2"/>
      <c r="N96" s="6">
        <f t="shared" si="63"/>
        <v>-1.8208000000000002</v>
      </c>
      <c r="O96" s="11"/>
      <c r="P96" s="7">
        <v>56.12</v>
      </c>
      <c r="Q96" s="2"/>
      <c r="R96" s="6">
        <f t="shared" si="64"/>
        <v>2.9923756273884483E-4</v>
      </c>
      <c r="S96" s="2"/>
      <c r="T96" s="7">
        <v>2174</v>
      </c>
      <c r="U96" s="2"/>
      <c r="V96" s="6">
        <f t="shared" si="65"/>
        <v>1.1273042261722809E-2</v>
      </c>
      <c r="W96" s="2"/>
      <c r="X96" s="7">
        <f t="shared" si="66"/>
        <v>-2117.88</v>
      </c>
      <c r="Y96" s="2"/>
      <c r="Z96" s="6">
        <f t="shared" si="67"/>
        <v>-0.97418583256669733</v>
      </c>
    </row>
    <row r="97" spans="1:26" s="62" customFormat="1" x14ac:dyDescent="0.25">
      <c r="A97" s="37"/>
      <c r="B97" s="37"/>
      <c r="C97" s="37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7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5" t="s">
        <v>0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6" t="s">
        <v>3</v>
      </c>
      <c r="C100" s="26"/>
      <c r="D100" s="20">
        <f>+D27-D29+D98</f>
        <v>-25225.909999999974</v>
      </c>
      <c r="E100" s="13"/>
      <c r="F100" s="19">
        <f>IF(D$12=0,0,D100/D$12)</f>
        <v>-0.19597755906771941</v>
      </c>
      <c r="G100" s="13"/>
      <c r="H100" s="20">
        <f>+H27-H29+H98</f>
        <v>-28647.479999999996</v>
      </c>
      <c r="I100" s="13"/>
      <c r="J100" s="19">
        <f>IF(H$12=0,0,H100/H$12)</f>
        <v>-0.2139179414758634</v>
      </c>
      <c r="K100" s="15"/>
      <c r="L100" s="20">
        <f>+D100-H100</f>
        <v>3421.5700000000215</v>
      </c>
      <c r="M100" s="15"/>
      <c r="N100" s="19">
        <f>IF(H100=0,0,L100/H100)</f>
        <v>-0.11943703250687397</v>
      </c>
      <c r="O100" s="25"/>
      <c r="P100" s="20">
        <f>+P27-P29+P98</f>
        <v>-76390.969999999972</v>
      </c>
      <c r="Q100" s="13"/>
      <c r="R100" s="19">
        <f>IF(P$12=0,0,P100/P$12)</f>
        <v>-0.40732444187555605</v>
      </c>
      <c r="S100" s="13"/>
      <c r="T100" s="20">
        <f>+T27-T29+T98</f>
        <v>-52924.420000000027</v>
      </c>
      <c r="U100" s="13"/>
      <c r="V100" s="19">
        <f>IF(T$12=0,0,T100/T$12)</f>
        <v>-0.27443386538048214</v>
      </c>
      <c r="W100" s="15"/>
      <c r="X100" s="20">
        <f>+P100-T100</f>
        <v>-23466.549999999945</v>
      </c>
      <c r="Y100" s="15"/>
      <c r="Z100" s="19">
        <f>IF(T100=0,0,X100/T100)</f>
        <v>0.4433973957579494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>
        <v>11151.8</v>
      </c>
      <c r="E102" s="4"/>
      <c r="F102" s="12">
        <f>IF(D$12=0,0,D102/D$12)</f>
        <v>8.6637213214960151E-2</v>
      </c>
      <c r="G102" s="4"/>
      <c r="H102" s="4">
        <v>7590.37</v>
      </c>
      <c r="I102" s="4"/>
      <c r="J102" s="12">
        <f>IF(H$12=0,0,H102/H$12)</f>
        <v>5.6679202688688479E-2</v>
      </c>
      <c r="K102" s="4"/>
      <c r="L102" s="4">
        <f>+D102-H102</f>
        <v>3561.4299999999994</v>
      </c>
      <c r="M102" s="4"/>
      <c r="N102" s="12">
        <f>IF(H102=0,0,L102/H102)</f>
        <v>0.4692037410561013</v>
      </c>
      <c r="O102" s="10"/>
      <c r="P102" s="4">
        <v>23383.230000000003</v>
      </c>
      <c r="Q102" s="4"/>
      <c r="R102" s="12">
        <f>IF(P$12=0,0,P102/P$12)</f>
        <v>0.12468176682398148</v>
      </c>
      <c r="S102" s="4"/>
      <c r="T102" s="4">
        <v>19689.02</v>
      </c>
      <c r="U102" s="4"/>
      <c r="V102" s="12">
        <f>IF(T$12=0,0,T102/T$12)</f>
        <v>0.1020952872823853</v>
      </c>
      <c r="W102" s="4"/>
      <c r="X102" s="4">
        <f>+P102-T102</f>
        <v>3694.2100000000028</v>
      </c>
      <c r="Y102" s="4"/>
      <c r="Z102" s="12">
        <f>IF(T102=0,0,X102/T102)</f>
        <v>0.18762792663118849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4</v>
      </c>
      <c r="C104" s="26"/>
      <c r="D104" s="31">
        <f>+D100-D102</f>
        <v>-36377.709999999977</v>
      </c>
      <c r="E104" s="13"/>
      <c r="F104" s="36">
        <f>IF(D$12=0,0,D104/D$12)</f>
        <v>-0.28261477228267962</v>
      </c>
      <c r="G104" s="13"/>
      <c r="H104" s="31">
        <f>+H100-H102</f>
        <v>-36237.85</v>
      </c>
      <c r="I104" s="13"/>
      <c r="J104" s="36">
        <f>IF(H$12=0,0,H104/H$12)</f>
        <v>-0.27059714416455188</v>
      </c>
      <c r="K104" s="15"/>
      <c r="L104" s="31">
        <f>D104-H104</f>
        <v>-139.85999999997875</v>
      </c>
      <c r="M104" s="15"/>
      <c r="N104" s="36">
        <f>IF(H104=0,0,L104/H104)</f>
        <v>3.859500494647965E-3</v>
      </c>
      <c r="O104" s="25"/>
      <c r="P104" s="31">
        <f>+P100-P102</f>
        <v>-99774.199999999983</v>
      </c>
      <c r="Q104" s="13"/>
      <c r="R104" s="36">
        <f>IF(P$12=0,0,P104/P$12)</f>
        <v>-0.53200620869953763</v>
      </c>
      <c r="S104" s="13"/>
      <c r="T104" s="31">
        <f>+T100-T102</f>
        <v>-72613.440000000031</v>
      </c>
      <c r="U104" s="13"/>
      <c r="V104" s="36">
        <f>IF(T$12=0,0,T104/T$12)</f>
        <v>-0.37652915266286746</v>
      </c>
      <c r="W104" s="15"/>
      <c r="X104" s="31">
        <f>P104-T104</f>
        <v>-27160.759999999951</v>
      </c>
      <c r="Y104" s="15"/>
      <c r="Z104" s="36">
        <f>IF(T104=0,0,X104/T104)</f>
        <v>0.37404590665309256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6" t="s">
        <v>5</v>
      </c>
      <c r="C107" s="26"/>
      <c r="D107" s="32">
        <f>SUM(D104:D106)</f>
        <v>-36377.709999999977</v>
      </c>
      <c r="E107" s="13"/>
      <c r="F107" s="30">
        <f>IF(D$12=0,0,D107/D$12)</f>
        <v>-0.28261477228267962</v>
      </c>
      <c r="G107" s="13"/>
      <c r="H107" s="32">
        <f>SUM(H104:H106)</f>
        <v>-36237.85</v>
      </c>
      <c r="I107" s="13"/>
      <c r="J107" s="30">
        <f>IF(H$12=0,0,H107/H$12)</f>
        <v>-0.27059714416455188</v>
      </c>
      <c r="K107" s="15"/>
      <c r="L107" s="32">
        <f>+D107-H107</f>
        <v>-139.85999999997875</v>
      </c>
      <c r="M107" s="15"/>
      <c r="N107" s="30">
        <f>IF(H107=0,0,L107/H107)</f>
        <v>3.859500494647965E-3</v>
      </c>
      <c r="O107" s="25"/>
      <c r="P107" s="32">
        <f>SUM(P104:P106)</f>
        <v>-99774.199999999983</v>
      </c>
      <c r="Q107" s="13"/>
      <c r="R107" s="30">
        <f>IF(P$12=0,0,P107/P$12)</f>
        <v>-0.53200620869953763</v>
      </c>
      <c r="S107" s="13"/>
      <c r="T107" s="32">
        <f>SUM(T104:T106)</f>
        <v>-72613.440000000031</v>
      </c>
      <c r="U107" s="13"/>
      <c r="V107" s="30">
        <f>IF(T$12=0,0,T107/T$12)</f>
        <v>-0.37652915266286746</v>
      </c>
      <c r="W107" s="15"/>
      <c r="X107" s="32">
        <f>+P107-T107</f>
        <v>-27160.759999999951</v>
      </c>
      <c r="Y107" s="15"/>
      <c r="Z107" s="30">
        <f>IF(T107=0,0,X107/T107)</f>
        <v>0.37404590665309256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7">
        <v>43732.709167974535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60" t="s">
        <v>313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6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","309", " - ", "Carts")</f>
        <v>Department 309 - Carts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15125.08</v>
      </c>
      <c r="E12" s="4"/>
      <c r="F12" s="12"/>
      <c r="G12" s="4"/>
      <c r="H12" s="4">
        <f>SUM(OSRRefH13x_0)</f>
        <v>15598.71</v>
      </c>
      <c r="I12" s="4"/>
      <c r="J12" s="12"/>
      <c r="K12" s="4"/>
      <c r="L12" s="4">
        <f t="shared" ref="L12:L14" si="0">+D12-H12</f>
        <v>-473.6299999999992</v>
      </c>
      <c r="M12" s="4"/>
      <c r="N12" s="12">
        <f t="shared" ref="N12:N14" si="1">IF(H12=0,0,L12/H12)</f>
        <v>-3.0363408256195493E-2</v>
      </c>
      <c r="O12" s="10"/>
      <c r="P12" s="4">
        <f>SUM(OSRRefP13x_0)</f>
        <v>19888.060000000001</v>
      </c>
      <c r="Q12" s="4"/>
      <c r="R12" s="12"/>
      <c r="S12" s="4"/>
      <c r="T12" s="4">
        <f>SUM(OSRRefT13x_0)</f>
        <v>20969.04</v>
      </c>
      <c r="U12" s="4"/>
      <c r="V12" s="12"/>
      <c r="W12" s="4"/>
      <c r="X12" s="4">
        <f t="shared" ref="X12:X14" si="2">+P12-T12</f>
        <v>-1080.9799999999996</v>
      </c>
      <c r="Y12" s="4"/>
      <c r="Z12" s="12">
        <f t="shared" ref="Z12:Z14" si="3">IF(T12=0,0,X12/T12)</f>
        <v>-5.1551239350966928E-2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--2793.27</f>
        <v>2793.27</v>
      </c>
      <c r="E13" s="2"/>
      <c r="F13" s="21"/>
      <c r="G13" s="2"/>
      <c r="H13" s="2">
        <f>--3038.65</f>
        <v>3038.65</v>
      </c>
      <c r="I13" s="2"/>
      <c r="J13" s="21"/>
      <c r="K13" s="2"/>
      <c r="L13" s="2">
        <f t="shared" si="0"/>
        <v>-245.38000000000011</v>
      </c>
      <c r="M13" s="2"/>
      <c r="N13" s="21">
        <f t="shared" si="1"/>
        <v>-8.0752965955276229E-2</v>
      </c>
      <c r="O13" s="11"/>
      <c r="P13" s="2">
        <f>--3687.3</f>
        <v>3687.3</v>
      </c>
      <c r="Q13" s="2"/>
      <c r="R13" s="21"/>
      <c r="S13" s="2"/>
      <c r="T13" s="2">
        <f>--4075.23</f>
        <v>4075.23</v>
      </c>
      <c r="U13" s="2"/>
      <c r="V13" s="21"/>
      <c r="W13" s="2"/>
      <c r="X13" s="2">
        <f t="shared" si="2"/>
        <v>-387.92999999999984</v>
      </c>
      <c r="Y13" s="2"/>
      <c r="Z13" s="21">
        <f t="shared" si="3"/>
        <v>-9.5192173202494054E-2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--12331.81</f>
        <v>12331.81</v>
      </c>
      <c r="E14" s="2"/>
      <c r="F14" s="21"/>
      <c r="G14" s="2"/>
      <c r="H14" s="2">
        <f>--12560.06</f>
        <v>12560.06</v>
      </c>
      <c r="I14" s="2"/>
      <c r="J14" s="21"/>
      <c r="K14" s="2"/>
      <c r="L14" s="2">
        <f t="shared" si="0"/>
        <v>-228.25</v>
      </c>
      <c r="M14" s="2"/>
      <c r="N14" s="21">
        <f t="shared" si="1"/>
        <v>-1.8172683888452761E-2</v>
      </c>
      <c r="O14" s="11"/>
      <c r="P14" s="2">
        <f>--16200.76</f>
        <v>16200.76</v>
      </c>
      <c r="Q14" s="2"/>
      <c r="R14" s="21"/>
      <c r="S14" s="2"/>
      <c r="T14" s="2">
        <f>--16893.81</f>
        <v>16893.810000000001</v>
      </c>
      <c r="U14" s="2"/>
      <c r="V14" s="21"/>
      <c r="W14" s="2"/>
      <c r="X14" s="2">
        <f t="shared" si="2"/>
        <v>-693.05000000000109</v>
      </c>
      <c r="Y14" s="2"/>
      <c r="Z14" s="21">
        <f t="shared" si="3"/>
        <v>-4.1023901653919455E-2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7225.58</v>
      </c>
      <c r="E16" s="4"/>
      <c r="F16" s="12">
        <f t="shared" ref="F16:F18" si="4">IF(D$12=0,0,D16/D$12)</f>
        <v>0.47772177072782424</v>
      </c>
      <c r="G16" s="4"/>
      <c r="H16" s="4">
        <f>SUM(OSRRefH16x_0)</f>
        <v>8643.23</v>
      </c>
      <c r="I16" s="4"/>
      <c r="J16" s="12">
        <f t="shared" ref="J16:J18" si="5">IF(H$12=0,0,H16/H$12)</f>
        <v>0.55409902485526052</v>
      </c>
      <c r="K16" s="4"/>
      <c r="L16" s="4">
        <f t="shared" ref="L16:L18" si="6">+D16-H16</f>
        <v>-1417.6499999999996</v>
      </c>
      <c r="M16" s="4"/>
      <c r="N16" s="12">
        <f t="shared" ref="N16:N18" si="7">IF(H16=0,0,L16/H16)</f>
        <v>-0.16401854399339133</v>
      </c>
      <c r="O16" s="10"/>
      <c r="P16" s="4">
        <f>SUM(OSRRefP16x_0)</f>
        <v>9557.1899999999987</v>
      </c>
      <c r="Q16" s="4"/>
      <c r="R16" s="12">
        <f t="shared" ref="R16:R18" si="8">IF(P$12=0,0,P16/P$12)</f>
        <v>0.48054913350020051</v>
      </c>
      <c r="S16" s="4"/>
      <c r="T16" s="4">
        <f>SUM(OSRRefT16x_0)</f>
        <v>9834.5499999999975</v>
      </c>
      <c r="U16" s="4"/>
      <c r="V16" s="12">
        <f t="shared" ref="V16:V18" si="9">IF(T$12=0,0,T16/T$12)</f>
        <v>0.46900334970031993</v>
      </c>
      <c r="W16" s="4"/>
      <c r="X16" s="4">
        <f t="shared" ref="X16:X18" si="10">+P16-T16</f>
        <v>-277.35999999999876</v>
      </c>
      <c r="Y16" s="4"/>
      <c r="Z16" s="12">
        <f t="shared" ref="Z16:Z18" si="11">IF(T16=0,0,X16/T16)</f>
        <v>-2.8202612219165986E-2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12359.01</v>
      </c>
      <c r="E17" s="2"/>
      <c r="F17" s="21">
        <f t="shared" si="4"/>
        <v>0.81712030614052955</v>
      </c>
      <c r="G17" s="2"/>
      <c r="H17" s="2">
        <v>15161.46</v>
      </c>
      <c r="I17" s="2"/>
      <c r="J17" s="21">
        <f t="shared" si="5"/>
        <v>0.97196883588450578</v>
      </c>
      <c r="K17" s="2"/>
      <c r="L17" s="2">
        <f t="shared" si="6"/>
        <v>-2802.4499999999989</v>
      </c>
      <c r="M17" s="2"/>
      <c r="N17" s="21">
        <f t="shared" si="7"/>
        <v>-0.18484037816938467</v>
      </c>
      <c r="O17" s="11"/>
      <c r="P17" s="2">
        <v>15442.48</v>
      </c>
      <c r="Q17" s="2"/>
      <c r="R17" s="21">
        <f t="shared" si="8"/>
        <v>0.7764699020417275</v>
      </c>
      <c r="S17" s="2"/>
      <c r="T17" s="2">
        <v>18522.649999999998</v>
      </c>
      <c r="U17" s="2"/>
      <c r="V17" s="21">
        <f t="shared" si="9"/>
        <v>0.88333323795462249</v>
      </c>
      <c r="W17" s="2"/>
      <c r="X17" s="2">
        <f t="shared" si="10"/>
        <v>-3080.1699999999983</v>
      </c>
      <c r="Y17" s="2"/>
      <c r="Z17" s="21">
        <f t="shared" si="11"/>
        <v>-0.16629208023689906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-5133.43</v>
      </c>
      <c r="E18" s="2"/>
      <c r="F18" s="21">
        <f t="shared" si="4"/>
        <v>-0.33939853541270526</v>
      </c>
      <c r="G18" s="2"/>
      <c r="H18" s="2">
        <v>-6518.23</v>
      </c>
      <c r="I18" s="2"/>
      <c r="J18" s="21">
        <f t="shared" si="5"/>
        <v>-0.41786981102924536</v>
      </c>
      <c r="K18" s="2"/>
      <c r="L18" s="2">
        <f t="shared" si="6"/>
        <v>1384.7999999999993</v>
      </c>
      <c r="M18" s="2"/>
      <c r="N18" s="21">
        <f t="shared" si="7"/>
        <v>-0.21245031243144219</v>
      </c>
      <c r="O18" s="11"/>
      <c r="P18" s="2">
        <v>-5885.29</v>
      </c>
      <c r="Q18" s="2"/>
      <c r="R18" s="21">
        <f t="shared" si="8"/>
        <v>-0.29592076854152688</v>
      </c>
      <c r="S18" s="2"/>
      <c r="T18" s="2">
        <v>-8688.1</v>
      </c>
      <c r="U18" s="2"/>
      <c r="V18" s="21">
        <f t="shared" si="9"/>
        <v>-0.41432988825430256</v>
      </c>
      <c r="W18" s="2"/>
      <c r="X18" s="2">
        <f t="shared" si="10"/>
        <v>2802.8100000000004</v>
      </c>
      <c r="Y18" s="2"/>
      <c r="Z18" s="21">
        <f t="shared" si="11"/>
        <v>-0.32260333099296745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7899.5</v>
      </c>
      <c r="E20" s="13"/>
      <c r="F20" s="19">
        <f>IF(D$12=0,0,D20/D$12)</f>
        <v>0.52227822927217571</v>
      </c>
      <c r="G20" s="13"/>
      <c r="H20" s="20">
        <f>H12-H16</f>
        <v>6955.48</v>
      </c>
      <c r="I20" s="13"/>
      <c r="J20" s="19">
        <f>IF(H$12=0,0,H20/H$12)</f>
        <v>0.44590097514473953</v>
      </c>
      <c r="K20" s="15"/>
      <c r="L20" s="20">
        <f>+D20-H20</f>
        <v>944.02000000000044</v>
      </c>
      <c r="M20" s="15"/>
      <c r="N20" s="19">
        <f>IF(H20=0,0,L20/H20)</f>
        <v>0.13572319954913256</v>
      </c>
      <c r="O20" s="25"/>
      <c r="P20" s="20">
        <f>P12-P16</f>
        <v>10330.870000000003</v>
      </c>
      <c r="Q20" s="13"/>
      <c r="R20" s="19">
        <f>IF(P$12=0,0,P20/P$12)</f>
        <v>0.51945086649979944</v>
      </c>
      <c r="S20" s="13"/>
      <c r="T20" s="20">
        <f>T12-T16</f>
        <v>11134.490000000003</v>
      </c>
      <c r="U20" s="13"/>
      <c r="V20" s="19">
        <f>IF(T$12=0,0,T20/T$12)</f>
        <v>0.53099665029968002</v>
      </c>
      <c r="W20" s="15"/>
      <c r="X20" s="20">
        <f>+P20-T20</f>
        <v>-803.6200000000008</v>
      </c>
      <c r="Y20" s="15"/>
      <c r="Z20" s="19">
        <f>IF(T20=0,0,X20/T20)</f>
        <v>-7.2173938815338692E-2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11711.130000000003</v>
      </c>
      <c r="E22" s="22"/>
      <c r="F22" s="33">
        <f t="shared" ref="F22:F31" si="12">IF(D$12=0,0,D22/D$12)</f>
        <v>0.77428549138252512</v>
      </c>
      <c r="G22" s="22"/>
      <c r="H22" s="22">
        <f>SUM(OSRRefH22x_0)</f>
        <v>13231.860000000002</v>
      </c>
      <c r="I22" s="22"/>
      <c r="J22" s="33">
        <f t="shared" ref="J22:J31" si="13">IF(H$12=0,0,H22/H$12)</f>
        <v>0.84826629894395134</v>
      </c>
      <c r="K22" s="4"/>
      <c r="L22" s="22">
        <f t="shared" ref="L22:L31" si="14">+D22-H22</f>
        <v>-1520.7299999999996</v>
      </c>
      <c r="M22" s="4"/>
      <c r="N22" s="33">
        <f t="shared" ref="N22:N31" si="15">IF(H22=0,0,L22/H22)</f>
        <v>-0.11492942035360103</v>
      </c>
      <c r="O22" s="10"/>
      <c r="P22" s="22">
        <f>SUM(OSRRefP22x_0)</f>
        <v>25945.360000000004</v>
      </c>
      <c r="Q22" s="22"/>
      <c r="R22" s="33">
        <f t="shared" ref="R22:R31" si="16">IF(P$12=0,0,P22/P$12)</f>
        <v>1.3045696764792545</v>
      </c>
      <c r="S22" s="22"/>
      <c r="T22" s="22">
        <f>SUM(OSRRefT22x_0)</f>
        <v>23000.450000000004</v>
      </c>
      <c r="U22" s="22"/>
      <c r="V22" s="33">
        <f t="shared" ref="V22:V31" si="17">IF(T$12=0,0,T22/T$12)</f>
        <v>1.096876633360421</v>
      </c>
      <c r="W22" s="4"/>
      <c r="X22" s="22">
        <f t="shared" ref="X22:X31" si="18">+P22-T22</f>
        <v>2944.91</v>
      </c>
      <c r="Y22" s="4"/>
      <c r="Z22" s="33">
        <f t="shared" ref="Z22:Z31" si="19">IF(T22=0,0,X22/T22)</f>
        <v>0.12803706014447541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1941.0900000000001</v>
      </c>
      <c r="E23" s="1"/>
      <c r="F23" s="5">
        <f t="shared" si="12"/>
        <v>0.12833585012442911</v>
      </c>
      <c r="G23" s="1"/>
      <c r="H23" s="1">
        <f>SUM(OSRRefH22_0x_0)</f>
        <v>3209.66</v>
      </c>
      <c r="I23" s="1"/>
      <c r="J23" s="5">
        <f t="shared" si="13"/>
        <v>0.20576445103473301</v>
      </c>
      <c r="K23" s="1"/>
      <c r="L23" s="1">
        <f t="shared" si="14"/>
        <v>-1268.5699999999997</v>
      </c>
      <c r="M23" s="1"/>
      <c r="N23" s="5">
        <f t="shared" si="15"/>
        <v>-0.39523500931562838</v>
      </c>
      <c r="O23" s="14"/>
      <c r="P23" s="1">
        <f>SUM(OSRRefP22_0x_0)</f>
        <v>4003.17</v>
      </c>
      <c r="Q23" s="1"/>
      <c r="R23" s="5">
        <f t="shared" si="16"/>
        <v>0.20128509266363837</v>
      </c>
      <c r="S23" s="1"/>
      <c r="T23" s="1">
        <f>SUM(OSRRefT22_0x_0)</f>
        <v>5244.8899999999994</v>
      </c>
      <c r="U23" s="1"/>
      <c r="V23" s="5">
        <f t="shared" si="17"/>
        <v>0.25012542300458196</v>
      </c>
      <c r="W23" s="1"/>
      <c r="X23" s="1">
        <f t="shared" si="18"/>
        <v>-1241.7199999999993</v>
      </c>
      <c r="Y23" s="1"/>
      <c r="Z23" s="5">
        <f t="shared" si="19"/>
        <v>-0.23674853047442357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398.55</v>
      </c>
      <c r="E24" s="2"/>
      <c r="F24" s="6">
        <f t="shared" si="12"/>
        <v>2.635027384979121E-2</v>
      </c>
      <c r="G24" s="2"/>
      <c r="H24" s="7">
        <v>413.74</v>
      </c>
      <c r="I24" s="2"/>
      <c r="J24" s="6">
        <f t="shared" si="13"/>
        <v>2.6523988201588466E-2</v>
      </c>
      <c r="K24" s="2"/>
      <c r="L24" s="7">
        <f t="shared" si="14"/>
        <v>-15.189999999999998</v>
      </c>
      <c r="M24" s="2"/>
      <c r="N24" s="6">
        <f t="shared" si="15"/>
        <v>-3.671387828104606E-2</v>
      </c>
      <c r="O24" s="11"/>
      <c r="P24" s="7">
        <v>703.63</v>
      </c>
      <c r="Q24" s="2"/>
      <c r="R24" s="6">
        <f t="shared" si="16"/>
        <v>3.5379519168787704E-2</v>
      </c>
      <c r="S24" s="2"/>
      <c r="T24" s="7">
        <v>712.77</v>
      </c>
      <c r="U24" s="2"/>
      <c r="V24" s="6">
        <f t="shared" si="17"/>
        <v>3.3991541815934348E-2</v>
      </c>
      <c r="W24" s="2"/>
      <c r="X24" s="7">
        <f t="shared" si="18"/>
        <v>-9.1399999999999864</v>
      </c>
      <c r="Y24" s="2"/>
      <c r="Z24" s="6">
        <f t="shared" si="19"/>
        <v>-1.2823210853430961E-2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119.03</v>
      </c>
      <c r="E25" s="2"/>
      <c r="F25" s="6">
        <f t="shared" si="12"/>
        <v>7.8697104412009718E-3</v>
      </c>
      <c r="G25" s="2"/>
      <c r="H25" s="7">
        <v>69.959999999999994</v>
      </c>
      <c r="I25" s="2"/>
      <c r="J25" s="6">
        <f t="shared" si="13"/>
        <v>4.4849862584790661E-3</v>
      </c>
      <c r="K25" s="2"/>
      <c r="L25" s="7">
        <f t="shared" si="14"/>
        <v>49.070000000000007</v>
      </c>
      <c r="M25" s="2"/>
      <c r="N25" s="6">
        <f t="shared" si="15"/>
        <v>0.70140080045740438</v>
      </c>
      <c r="O25" s="11"/>
      <c r="P25" s="7">
        <v>286.77999999999997</v>
      </c>
      <c r="Q25" s="2"/>
      <c r="R25" s="6">
        <f t="shared" si="16"/>
        <v>1.4419707100642293E-2</v>
      </c>
      <c r="S25" s="2"/>
      <c r="T25" s="7">
        <v>158.85</v>
      </c>
      <c r="U25" s="2"/>
      <c r="V25" s="6">
        <f t="shared" si="17"/>
        <v>7.5754540980416838E-3</v>
      </c>
      <c r="W25" s="2"/>
      <c r="X25" s="7">
        <f t="shared" si="18"/>
        <v>127.92999999999998</v>
      </c>
      <c r="Y25" s="2"/>
      <c r="Z25" s="6">
        <f t="shared" si="19"/>
        <v>0.80535096002518092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965.94</v>
      </c>
      <c r="E26" s="2"/>
      <c r="F26" s="6">
        <f t="shared" si="12"/>
        <v>6.3863463862670486E-2</v>
      </c>
      <c r="G26" s="2"/>
      <c r="H26" s="7">
        <v>2005.79</v>
      </c>
      <c r="I26" s="2"/>
      <c r="J26" s="6">
        <f t="shared" si="13"/>
        <v>0.12858691520003898</v>
      </c>
      <c r="K26" s="2"/>
      <c r="L26" s="7">
        <f t="shared" si="14"/>
        <v>-1039.8499999999999</v>
      </c>
      <c r="M26" s="2"/>
      <c r="N26" s="6">
        <f t="shared" si="15"/>
        <v>-0.51842416205086272</v>
      </c>
      <c r="O26" s="11"/>
      <c r="P26" s="7">
        <v>1931.88</v>
      </c>
      <c r="Q26" s="2"/>
      <c r="R26" s="6">
        <f t="shared" si="16"/>
        <v>9.7137679592680229E-2</v>
      </c>
      <c r="S26" s="2"/>
      <c r="T26" s="7">
        <v>2741.5</v>
      </c>
      <c r="U26" s="2"/>
      <c r="V26" s="6">
        <f t="shared" si="17"/>
        <v>0.13074036770400552</v>
      </c>
      <c r="W26" s="2"/>
      <c r="X26" s="7">
        <f t="shared" si="18"/>
        <v>-809.61999999999989</v>
      </c>
      <c r="Y26" s="2"/>
      <c r="Z26" s="6">
        <f t="shared" si="19"/>
        <v>-0.29532008024803935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10.98</v>
      </c>
      <c r="E27" s="2"/>
      <c r="F27" s="6">
        <f t="shared" si="12"/>
        <v>7.2594657350572695E-4</v>
      </c>
      <c r="G27" s="2"/>
      <c r="H27" s="7">
        <v>15.29</v>
      </c>
      <c r="I27" s="2"/>
      <c r="J27" s="6">
        <f t="shared" si="13"/>
        <v>9.8020926089400985E-4</v>
      </c>
      <c r="K27" s="2"/>
      <c r="L27" s="7">
        <f t="shared" si="14"/>
        <v>-4.3099999999999987</v>
      </c>
      <c r="M27" s="2"/>
      <c r="N27" s="6">
        <f t="shared" si="15"/>
        <v>-0.28188358404185737</v>
      </c>
      <c r="O27" s="11"/>
      <c r="P27" s="7">
        <v>27.32</v>
      </c>
      <c r="Q27" s="2"/>
      <c r="R27" s="6">
        <f t="shared" si="16"/>
        <v>1.3736885347288774E-3</v>
      </c>
      <c r="S27" s="2"/>
      <c r="T27" s="7">
        <v>34.71</v>
      </c>
      <c r="U27" s="2"/>
      <c r="V27" s="6">
        <f t="shared" si="17"/>
        <v>1.6552975243501848E-3</v>
      </c>
      <c r="W27" s="2"/>
      <c r="X27" s="7">
        <f t="shared" si="18"/>
        <v>-7.3900000000000006</v>
      </c>
      <c r="Y27" s="2"/>
      <c r="Z27" s="6">
        <f t="shared" si="19"/>
        <v>-0.2129069432440219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134.11000000000001</v>
      </c>
      <c r="E28" s="2"/>
      <c r="F28" s="6">
        <f t="shared" si="12"/>
        <v>8.8667299610977277E-3</v>
      </c>
      <c r="G28" s="2"/>
      <c r="H28" s="7">
        <v>248.06</v>
      </c>
      <c r="I28" s="2"/>
      <c r="J28" s="6">
        <f t="shared" si="13"/>
        <v>1.5902597073732379E-2</v>
      </c>
      <c r="K28" s="2"/>
      <c r="L28" s="7">
        <f t="shared" si="14"/>
        <v>-113.94999999999999</v>
      </c>
      <c r="M28" s="2"/>
      <c r="N28" s="6">
        <f t="shared" si="15"/>
        <v>-0.45936466983794239</v>
      </c>
      <c r="O28" s="11"/>
      <c r="P28" s="7">
        <v>268.22000000000003</v>
      </c>
      <c r="Q28" s="2"/>
      <c r="R28" s="6">
        <f t="shared" si="16"/>
        <v>1.348648385010906E-2</v>
      </c>
      <c r="S28" s="2"/>
      <c r="T28" s="7">
        <v>616.54</v>
      </c>
      <c r="U28" s="2"/>
      <c r="V28" s="6">
        <f t="shared" si="17"/>
        <v>2.9402395150183315E-2</v>
      </c>
      <c r="W28" s="2"/>
      <c r="X28" s="7">
        <f t="shared" si="18"/>
        <v>-348.31999999999994</v>
      </c>
      <c r="Y28" s="2"/>
      <c r="Z28" s="6">
        <f t="shared" si="19"/>
        <v>-0.56495928893502445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73.92</v>
      </c>
      <c r="E29" s="2"/>
      <c r="F29" s="6">
        <f t="shared" si="12"/>
        <v>4.8872468773718883E-3</v>
      </c>
      <c r="G29" s="2"/>
      <c r="H29" s="7">
        <v>139.58000000000001</v>
      </c>
      <c r="I29" s="2"/>
      <c r="J29" s="6">
        <f t="shared" si="13"/>
        <v>8.9481758427459712E-3</v>
      </c>
      <c r="K29" s="2"/>
      <c r="L29" s="7">
        <f t="shared" si="14"/>
        <v>-65.660000000000011</v>
      </c>
      <c r="M29" s="2"/>
      <c r="N29" s="6">
        <f t="shared" si="15"/>
        <v>-0.47041123370110333</v>
      </c>
      <c r="O29" s="11"/>
      <c r="P29" s="7">
        <v>221.76</v>
      </c>
      <c r="Q29" s="2"/>
      <c r="R29" s="6">
        <f t="shared" si="16"/>
        <v>1.1150408838267784E-2</v>
      </c>
      <c r="S29" s="2"/>
      <c r="T29" s="7">
        <v>287.74</v>
      </c>
      <c r="U29" s="2"/>
      <c r="V29" s="6">
        <f t="shared" si="17"/>
        <v>1.3722135109666441E-2</v>
      </c>
      <c r="W29" s="2"/>
      <c r="X29" s="7">
        <f t="shared" si="18"/>
        <v>-65.980000000000018</v>
      </c>
      <c r="Y29" s="2"/>
      <c r="Z29" s="6">
        <f t="shared" si="19"/>
        <v>-0.22930423298811434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88.56</v>
      </c>
      <c r="E30" s="2"/>
      <c r="F30" s="6">
        <f t="shared" si="12"/>
        <v>5.8551756420461912E-3</v>
      </c>
      <c r="G30" s="2"/>
      <c r="H30" s="7">
        <v>167.24</v>
      </c>
      <c r="I30" s="2"/>
      <c r="J30" s="6">
        <f t="shared" si="13"/>
        <v>1.0721399397770713E-2</v>
      </c>
      <c r="K30" s="2"/>
      <c r="L30" s="7">
        <f t="shared" si="14"/>
        <v>-78.680000000000007</v>
      </c>
      <c r="M30" s="2"/>
      <c r="N30" s="6">
        <f t="shared" si="15"/>
        <v>-0.47046161205453241</v>
      </c>
      <c r="O30" s="11"/>
      <c r="P30" s="7">
        <v>265.68</v>
      </c>
      <c r="Q30" s="2"/>
      <c r="R30" s="6">
        <f t="shared" si="16"/>
        <v>1.3358769030262377E-2</v>
      </c>
      <c r="S30" s="2"/>
      <c r="T30" s="7">
        <v>396.03</v>
      </c>
      <c r="U30" s="2"/>
      <c r="V30" s="6">
        <f t="shared" si="17"/>
        <v>1.8886415400991174E-2</v>
      </c>
      <c r="W30" s="2"/>
      <c r="X30" s="7">
        <f t="shared" si="18"/>
        <v>-130.34999999999997</v>
      </c>
      <c r="Y30" s="2"/>
      <c r="Z30" s="6">
        <f t="shared" si="19"/>
        <v>-0.32914173168699334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150</v>
      </c>
      <c r="E31" s="2"/>
      <c r="F31" s="6">
        <f t="shared" si="12"/>
        <v>9.9173029167449033E-3</v>
      </c>
      <c r="G31" s="2"/>
      <c r="H31" s="7">
        <v>150</v>
      </c>
      <c r="I31" s="2"/>
      <c r="J31" s="6">
        <f t="shared" si="13"/>
        <v>9.6161797994834194E-3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>
        <v>297.89999999999998</v>
      </c>
      <c r="Q31" s="2"/>
      <c r="R31" s="6">
        <f t="shared" si="16"/>
        <v>1.4978836548160049E-2</v>
      </c>
      <c r="S31" s="2"/>
      <c r="T31" s="7">
        <v>296.75</v>
      </c>
      <c r="U31" s="2"/>
      <c r="V31" s="6">
        <f t="shared" si="17"/>
        <v>1.4151816201409316E-2</v>
      </c>
      <c r="W31" s="2"/>
      <c r="X31" s="7">
        <f t="shared" si="18"/>
        <v>1.1499999999999773</v>
      </c>
      <c r="Y31" s="2"/>
      <c r="Z31" s="6">
        <f t="shared" si="19"/>
        <v>3.8753159224936048E-3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6481.43</v>
      </c>
      <c r="E32" s="1"/>
      <c r="F32" s="5">
        <f t="shared" ref="F32:F37" si="20">IF(D$12=0,0,D32/D$12)</f>
        <v>0.4285220309578528</v>
      </c>
      <c r="G32" s="1"/>
      <c r="H32" s="1">
        <f>SUM(OSRRefH22_1x_0)</f>
        <v>7484.85</v>
      </c>
      <c r="I32" s="1"/>
      <c r="J32" s="5">
        <f t="shared" ref="J32:J37" si="21">IF(H$12=0,0,H32/H$12)</f>
        <v>0.47983775581442317</v>
      </c>
      <c r="K32" s="1"/>
      <c r="L32" s="1">
        <f t="shared" ref="L32:L37" si="22">+D32-H32</f>
        <v>-1003.4200000000001</v>
      </c>
      <c r="M32" s="1"/>
      <c r="N32" s="5">
        <f t="shared" ref="N32:N37" si="23">IF(H32=0,0,L32/H32)</f>
        <v>-0.13406013480564072</v>
      </c>
      <c r="O32" s="14"/>
      <c r="P32" s="1">
        <f>SUM(OSRRefP22_1x_0)</f>
        <v>11590.119999999999</v>
      </c>
      <c r="Q32" s="1"/>
      <c r="R32" s="5">
        <f t="shared" ref="R32:R37" si="24">IF(P$12=0,0,P32/P$12)</f>
        <v>0.582767751102923</v>
      </c>
      <c r="S32" s="1"/>
      <c r="T32" s="1">
        <f>SUM(OSRRefT22_1x_0)</f>
        <v>12292.52</v>
      </c>
      <c r="U32" s="1"/>
      <c r="V32" s="5">
        <f t="shared" ref="V32:V37" si="25">IF(T$12=0,0,T32/T$12)</f>
        <v>0.58622235448070104</v>
      </c>
      <c r="W32" s="1"/>
      <c r="X32" s="1">
        <f t="shared" ref="X32:X37" si="26">+P32-T32</f>
        <v>-702.40000000000146</v>
      </c>
      <c r="Y32" s="1"/>
      <c r="Z32" s="5">
        <f t="shared" ref="Z32:Z37" si="27">IF(T32=0,0,X32/T32)</f>
        <v>-5.7140439877258808E-2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1728</v>
      </c>
      <c r="E33" s="2"/>
      <c r="F33" s="6">
        <f t="shared" si="20"/>
        <v>0.11424732960090128</v>
      </c>
      <c r="G33" s="2"/>
      <c r="H33" s="7">
        <v>3625.6</v>
      </c>
      <c r="I33" s="2"/>
      <c r="J33" s="6">
        <f t="shared" si="21"/>
        <v>0.23242947654004723</v>
      </c>
      <c r="K33" s="2"/>
      <c r="L33" s="7">
        <f t="shared" si="22"/>
        <v>-1897.6</v>
      </c>
      <c r="M33" s="2"/>
      <c r="N33" s="6">
        <f t="shared" si="23"/>
        <v>-0.5233892321270962</v>
      </c>
      <c r="O33" s="11"/>
      <c r="P33" s="7">
        <v>3936</v>
      </c>
      <c r="Q33" s="2"/>
      <c r="R33" s="6">
        <f t="shared" si="24"/>
        <v>0.19790768933722042</v>
      </c>
      <c r="S33" s="2"/>
      <c r="T33" s="7">
        <v>7069.52</v>
      </c>
      <c r="U33" s="2"/>
      <c r="V33" s="6">
        <f t="shared" si="25"/>
        <v>0.33714085146482625</v>
      </c>
      <c r="W33" s="2"/>
      <c r="X33" s="7">
        <f t="shared" si="26"/>
        <v>-3133.5200000000004</v>
      </c>
      <c r="Y33" s="2"/>
      <c r="Z33" s="6">
        <f t="shared" si="27"/>
        <v>-0.44324367142323667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1862</v>
      </c>
      <c r="E34" s="2"/>
      <c r="F34" s="6">
        <f t="shared" si="20"/>
        <v>0.1231067868731934</v>
      </c>
      <c r="G34" s="2"/>
      <c r="H34" s="7"/>
      <c r="I34" s="2"/>
      <c r="J34" s="6">
        <f t="shared" si="21"/>
        <v>0</v>
      </c>
      <c r="K34" s="2"/>
      <c r="L34" s="7">
        <f t="shared" si="22"/>
        <v>1862</v>
      </c>
      <c r="M34" s="2"/>
      <c r="N34" s="6">
        <f t="shared" si="23"/>
        <v>0</v>
      </c>
      <c r="O34" s="11"/>
      <c r="P34" s="7">
        <v>3493</v>
      </c>
      <c r="Q34" s="2"/>
      <c r="R34" s="6">
        <f t="shared" si="24"/>
        <v>0.17563301800175582</v>
      </c>
      <c r="S34" s="2"/>
      <c r="T34" s="7"/>
      <c r="U34" s="2"/>
      <c r="V34" s="6">
        <f t="shared" si="25"/>
        <v>0</v>
      </c>
      <c r="W34" s="2"/>
      <c r="X34" s="7">
        <f t="shared" si="26"/>
        <v>3493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>
        <v>72</v>
      </c>
      <c r="E35" s="2"/>
      <c r="F35" s="6">
        <f t="shared" si="20"/>
        <v>4.7603054000375537E-3</v>
      </c>
      <c r="G35" s="2"/>
      <c r="H35" s="7">
        <v>149.81</v>
      </c>
      <c r="I35" s="2"/>
      <c r="J35" s="6">
        <f t="shared" si="21"/>
        <v>9.6039993050707397E-3</v>
      </c>
      <c r="K35" s="2"/>
      <c r="L35" s="7">
        <f t="shared" si="22"/>
        <v>-77.81</v>
      </c>
      <c r="M35" s="2"/>
      <c r="N35" s="6">
        <f t="shared" si="23"/>
        <v>-0.51939122888992728</v>
      </c>
      <c r="O35" s="11"/>
      <c r="P35" s="7">
        <v>116.63</v>
      </c>
      <c r="Q35" s="2"/>
      <c r="R35" s="6">
        <f t="shared" si="24"/>
        <v>5.8643226136687035E-3</v>
      </c>
      <c r="S35" s="2"/>
      <c r="T35" s="7">
        <v>218.56</v>
      </c>
      <c r="U35" s="2"/>
      <c r="V35" s="6">
        <f t="shared" si="25"/>
        <v>1.042298550625112E-2</v>
      </c>
      <c r="W35" s="2"/>
      <c r="X35" s="7">
        <f t="shared" si="26"/>
        <v>-101.93</v>
      </c>
      <c r="Y35" s="2"/>
      <c r="Z35" s="6">
        <f t="shared" si="27"/>
        <v>-0.46637079062957543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2819.43</v>
      </c>
      <c r="E36" s="2"/>
      <c r="F36" s="6">
        <f t="shared" si="20"/>
        <v>0.18640760908372053</v>
      </c>
      <c r="G36" s="2"/>
      <c r="H36" s="7">
        <v>3087.94</v>
      </c>
      <c r="I36" s="2"/>
      <c r="J36" s="6">
        <f t="shared" si="21"/>
        <v>0.19796124166677886</v>
      </c>
      <c r="K36" s="2"/>
      <c r="L36" s="7">
        <f t="shared" si="22"/>
        <v>-268.51000000000022</v>
      </c>
      <c r="M36" s="2"/>
      <c r="N36" s="6">
        <f t="shared" si="23"/>
        <v>-8.6954409735940541E-2</v>
      </c>
      <c r="O36" s="11"/>
      <c r="P36" s="7">
        <v>4044.49</v>
      </c>
      <c r="Q36" s="2"/>
      <c r="R36" s="6">
        <f t="shared" si="24"/>
        <v>0.20336272115027809</v>
      </c>
      <c r="S36" s="2"/>
      <c r="T36" s="7">
        <v>3618.44</v>
      </c>
      <c r="U36" s="2"/>
      <c r="V36" s="6">
        <f t="shared" si="25"/>
        <v>0.17256107098846679</v>
      </c>
      <c r="W36" s="2"/>
      <c r="X36" s="7">
        <f t="shared" si="26"/>
        <v>426.04999999999973</v>
      </c>
      <c r="Y36" s="2"/>
      <c r="Z36" s="6">
        <f t="shared" si="27"/>
        <v>0.11774411072174741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0"/>
        <v>0</v>
      </c>
      <c r="G37" s="2"/>
      <c r="H37" s="7">
        <v>621.5</v>
      </c>
      <c r="I37" s="2"/>
      <c r="J37" s="6">
        <f t="shared" si="21"/>
        <v>3.98430383025263E-2</v>
      </c>
      <c r="K37" s="2"/>
      <c r="L37" s="7">
        <f t="shared" si="22"/>
        <v>-621.5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1386</v>
      </c>
      <c r="U37" s="2"/>
      <c r="V37" s="6">
        <f t="shared" si="25"/>
        <v>6.60974465211569E-2</v>
      </c>
      <c r="W37" s="2"/>
      <c r="X37" s="7">
        <f t="shared" si="26"/>
        <v>-1386</v>
      </c>
      <c r="Y37" s="2"/>
      <c r="Z37" s="6">
        <f t="shared" si="27"/>
        <v>-1</v>
      </c>
    </row>
    <row r="38" spans="1:26" s="27" customFormat="1" outlineLevel="1" collapsed="1" x14ac:dyDescent="0.25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2" si="28">IF(D$12=0,0,D38/D$12)</f>
        <v>0</v>
      </c>
      <c r="G38" s="1"/>
      <c r="H38" s="1">
        <f>SUM(OSRRefH22_2x_0)</f>
        <v>12</v>
      </c>
      <c r="I38" s="1"/>
      <c r="J38" s="5">
        <f t="shared" ref="J38:J52" si="29">IF(H$12=0,0,H38/H$12)</f>
        <v>7.6929438395867357E-4</v>
      </c>
      <c r="K38" s="1"/>
      <c r="L38" s="1">
        <f t="shared" ref="L38:L52" si="30">+D38-H38</f>
        <v>-12</v>
      </c>
      <c r="M38" s="1"/>
      <c r="N38" s="5">
        <f t="shared" ref="N38:N52" si="31">IF(H38=0,0,L38/H38)</f>
        <v>-1</v>
      </c>
      <c r="O38" s="14"/>
      <c r="P38" s="1">
        <f>SUM(OSRRefP22_2x_0)</f>
        <v>305</v>
      </c>
      <c r="Q38" s="1"/>
      <c r="R38" s="5">
        <f t="shared" ref="R38:R52" si="32">IF(P$12=0,0,P38/P$12)</f>
        <v>1.5335834666629123E-2</v>
      </c>
      <c r="S38" s="1"/>
      <c r="T38" s="1">
        <f>SUM(OSRRefT22_2x_0)</f>
        <v>248.5</v>
      </c>
      <c r="U38" s="1"/>
      <c r="V38" s="5">
        <f t="shared" ref="V38:V52" si="33">IF(T$12=0,0,T38/T$12)</f>
        <v>1.1850804805560959E-2</v>
      </c>
      <c r="W38" s="1"/>
      <c r="X38" s="1">
        <f t="shared" ref="X38:X52" si="34">+P38-T38</f>
        <v>56.5</v>
      </c>
      <c r="Y38" s="1"/>
      <c r="Z38" s="5">
        <f t="shared" ref="Z38:Z52" si="35">IF(T38=0,0,X38/T38)</f>
        <v>0.22736418511066397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28"/>
        <v>0</v>
      </c>
      <c r="G39" s="2"/>
      <c r="H39" s="7">
        <v>12</v>
      </c>
      <c r="I39" s="2"/>
      <c r="J39" s="6">
        <f t="shared" si="29"/>
        <v>7.6929438395867357E-4</v>
      </c>
      <c r="K39" s="2"/>
      <c r="L39" s="7">
        <f t="shared" si="30"/>
        <v>-12</v>
      </c>
      <c r="M39" s="2"/>
      <c r="N39" s="6">
        <f t="shared" si="31"/>
        <v>-1</v>
      </c>
      <c r="O39" s="11"/>
      <c r="P39" s="7">
        <v>305</v>
      </c>
      <c r="Q39" s="2"/>
      <c r="R39" s="6">
        <f t="shared" si="32"/>
        <v>1.5335834666629123E-2</v>
      </c>
      <c r="S39" s="2"/>
      <c r="T39" s="7">
        <v>248.5</v>
      </c>
      <c r="U39" s="2"/>
      <c r="V39" s="6">
        <f t="shared" si="33"/>
        <v>1.1850804805560959E-2</v>
      </c>
      <c r="W39" s="2"/>
      <c r="X39" s="7">
        <f t="shared" si="34"/>
        <v>56.5</v>
      </c>
      <c r="Y39" s="2"/>
      <c r="Z39" s="6">
        <f t="shared" si="35"/>
        <v>0.22736418511066397</v>
      </c>
    </row>
    <row r="40" spans="1:26" s="27" customFormat="1" outlineLevel="1" collapsed="1" x14ac:dyDescent="0.25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27.5</v>
      </c>
      <c r="E40" s="1"/>
      <c r="F40" s="5">
        <f t="shared" si="28"/>
        <v>1.8181722014032323E-3</v>
      </c>
      <c r="G40" s="1"/>
      <c r="H40" s="1">
        <f>SUM(OSRRefH22_3x_0)</f>
        <v>-7.26</v>
      </c>
      <c r="I40" s="1"/>
      <c r="J40" s="5">
        <f t="shared" si="29"/>
        <v>-4.6542310229499747E-4</v>
      </c>
      <c r="K40" s="1"/>
      <c r="L40" s="1">
        <f t="shared" si="30"/>
        <v>34.76</v>
      </c>
      <c r="M40" s="1"/>
      <c r="N40" s="5">
        <f t="shared" si="31"/>
        <v>-4.7878787878787881</v>
      </c>
      <c r="O40" s="14"/>
      <c r="P40" s="1">
        <f>SUM(OSRRefP22_3x_0)</f>
        <v>24.89</v>
      </c>
      <c r="Q40" s="1"/>
      <c r="R40" s="5">
        <f t="shared" si="32"/>
        <v>1.2515046716472093E-3</v>
      </c>
      <c r="S40" s="1"/>
      <c r="T40" s="1">
        <f>SUM(OSRRefT22_3x_0)</f>
        <v>-48.1</v>
      </c>
      <c r="U40" s="1"/>
      <c r="V40" s="5">
        <f t="shared" si="33"/>
        <v>-2.2938579925451999E-3</v>
      </c>
      <c r="W40" s="1"/>
      <c r="X40" s="1">
        <f t="shared" si="34"/>
        <v>72.990000000000009</v>
      </c>
      <c r="Y40" s="1"/>
      <c r="Z40" s="5">
        <f t="shared" si="35"/>
        <v>-1.5174636174636176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>
        <v>27.5</v>
      </c>
      <c r="E41" s="2"/>
      <c r="F41" s="6">
        <f t="shared" si="28"/>
        <v>1.8181722014032323E-3</v>
      </c>
      <c r="G41" s="2"/>
      <c r="H41" s="7">
        <v>-7.26</v>
      </c>
      <c r="I41" s="2"/>
      <c r="J41" s="6">
        <f t="shared" si="29"/>
        <v>-4.6542310229499747E-4</v>
      </c>
      <c r="K41" s="2"/>
      <c r="L41" s="7">
        <f t="shared" si="30"/>
        <v>34.76</v>
      </c>
      <c r="M41" s="2"/>
      <c r="N41" s="6">
        <f t="shared" si="31"/>
        <v>-4.7878787878787881</v>
      </c>
      <c r="O41" s="11"/>
      <c r="P41" s="7">
        <v>24.89</v>
      </c>
      <c r="Q41" s="2"/>
      <c r="R41" s="6">
        <f t="shared" si="32"/>
        <v>1.2515046716472093E-3</v>
      </c>
      <c r="S41" s="2"/>
      <c r="T41" s="7">
        <v>-48.1</v>
      </c>
      <c r="U41" s="2"/>
      <c r="V41" s="6">
        <f t="shared" si="33"/>
        <v>-2.2938579925451999E-3</v>
      </c>
      <c r="W41" s="2"/>
      <c r="X41" s="7">
        <f t="shared" si="34"/>
        <v>72.990000000000009</v>
      </c>
      <c r="Y41" s="2"/>
      <c r="Z41" s="6">
        <f t="shared" si="35"/>
        <v>-1.5174636174636176</v>
      </c>
    </row>
    <row r="42" spans="1:26" s="27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471.1</v>
      </c>
      <c r="E42" s="1"/>
      <c r="F42" s="5">
        <f t="shared" si="28"/>
        <v>3.1146942693856827E-2</v>
      </c>
      <c r="G42" s="1"/>
      <c r="H42" s="1">
        <f>SUM(OSRRefH22_4x_0)</f>
        <v>478.88</v>
      </c>
      <c r="I42" s="1"/>
      <c r="J42" s="5">
        <f t="shared" si="29"/>
        <v>3.0699974549177465E-2</v>
      </c>
      <c r="K42" s="1"/>
      <c r="L42" s="1">
        <f t="shared" si="30"/>
        <v>-7.7799999999999727</v>
      </c>
      <c r="M42" s="1"/>
      <c r="N42" s="5">
        <f t="shared" si="31"/>
        <v>-1.6246241229535528E-2</v>
      </c>
      <c r="O42" s="14"/>
      <c r="P42" s="1">
        <f>SUM(OSRRefP22_4x_0)</f>
        <v>598.74</v>
      </c>
      <c r="Q42" s="1"/>
      <c r="R42" s="5">
        <f t="shared" si="32"/>
        <v>3.0105500486221379E-2</v>
      </c>
      <c r="S42" s="1"/>
      <c r="T42" s="1">
        <f>SUM(OSRRefT22_4x_0)</f>
        <v>570.52</v>
      </c>
      <c r="U42" s="1"/>
      <c r="V42" s="5">
        <f t="shared" si="33"/>
        <v>2.7207731016775205E-2</v>
      </c>
      <c r="W42" s="1"/>
      <c r="X42" s="1">
        <f t="shared" si="34"/>
        <v>28.220000000000027</v>
      </c>
      <c r="Y42" s="1"/>
      <c r="Z42" s="5">
        <f t="shared" si="35"/>
        <v>4.9463647199046536E-2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471.1</v>
      </c>
      <c r="E43" s="2"/>
      <c r="F43" s="6">
        <f t="shared" si="28"/>
        <v>3.1146942693856827E-2</v>
      </c>
      <c r="G43" s="2"/>
      <c r="H43" s="7">
        <v>478.88</v>
      </c>
      <c r="I43" s="2"/>
      <c r="J43" s="6">
        <f t="shared" si="29"/>
        <v>3.0699974549177465E-2</v>
      </c>
      <c r="K43" s="2"/>
      <c r="L43" s="7">
        <f t="shared" si="30"/>
        <v>-7.7799999999999727</v>
      </c>
      <c r="M43" s="2"/>
      <c r="N43" s="6">
        <f t="shared" si="31"/>
        <v>-1.6246241229535528E-2</v>
      </c>
      <c r="O43" s="11"/>
      <c r="P43" s="7">
        <v>598.74</v>
      </c>
      <c r="Q43" s="2"/>
      <c r="R43" s="6">
        <f t="shared" si="32"/>
        <v>3.0105500486221379E-2</v>
      </c>
      <c r="S43" s="2"/>
      <c r="T43" s="7">
        <v>570.52</v>
      </c>
      <c r="U43" s="2"/>
      <c r="V43" s="6">
        <f t="shared" si="33"/>
        <v>2.7207731016775205E-2</v>
      </c>
      <c r="W43" s="2"/>
      <c r="X43" s="7">
        <f t="shared" si="34"/>
        <v>28.220000000000027</v>
      </c>
      <c r="Y43" s="2"/>
      <c r="Z43" s="6">
        <f t="shared" si="35"/>
        <v>4.9463647199046536E-2</v>
      </c>
    </row>
    <row r="44" spans="1:26" s="27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155.66999999999999</v>
      </c>
      <c r="E44" s="1"/>
      <c r="F44" s="5">
        <f t="shared" si="28"/>
        <v>1.029217696699786E-2</v>
      </c>
      <c r="G44" s="1"/>
      <c r="H44" s="1">
        <f>SUM(OSRRefH22_5x_0)</f>
        <v>0</v>
      </c>
      <c r="I44" s="1"/>
      <c r="J44" s="5">
        <f t="shared" si="29"/>
        <v>0</v>
      </c>
      <c r="K44" s="1"/>
      <c r="L44" s="1">
        <f t="shared" si="30"/>
        <v>155.66999999999999</v>
      </c>
      <c r="M44" s="1"/>
      <c r="N44" s="5">
        <f t="shared" si="31"/>
        <v>0</v>
      </c>
      <c r="O44" s="14"/>
      <c r="P44" s="1">
        <f>SUM(OSRRefP22_5x_0)</f>
        <v>311.33999999999997</v>
      </c>
      <c r="Q44" s="1"/>
      <c r="R44" s="5">
        <f t="shared" si="32"/>
        <v>1.565461890199446E-2</v>
      </c>
      <c r="S44" s="1"/>
      <c r="T44" s="1">
        <f>SUM(OSRRefT22_5x_0)</f>
        <v>0</v>
      </c>
      <c r="U44" s="1"/>
      <c r="V44" s="5">
        <f t="shared" si="33"/>
        <v>0</v>
      </c>
      <c r="W44" s="1"/>
      <c r="X44" s="1">
        <f t="shared" si="34"/>
        <v>311.33999999999997</v>
      </c>
      <c r="Y44" s="1"/>
      <c r="Z44" s="5">
        <f t="shared" si="35"/>
        <v>0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155.66999999999999</v>
      </c>
      <c r="E45" s="2"/>
      <c r="F45" s="6">
        <f t="shared" si="28"/>
        <v>1.029217696699786E-2</v>
      </c>
      <c r="G45" s="2"/>
      <c r="H45" s="7"/>
      <c r="I45" s="2"/>
      <c r="J45" s="6">
        <f t="shared" si="29"/>
        <v>0</v>
      </c>
      <c r="K45" s="2"/>
      <c r="L45" s="7">
        <f t="shared" si="30"/>
        <v>155.66999999999999</v>
      </c>
      <c r="M45" s="2"/>
      <c r="N45" s="6">
        <f t="shared" si="31"/>
        <v>0</v>
      </c>
      <c r="O45" s="11"/>
      <c r="P45" s="7">
        <v>311.33999999999997</v>
      </c>
      <c r="Q45" s="2"/>
      <c r="R45" s="6">
        <f t="shared" si="32"/>
        <v>1.565461890199446E-2</v>
      </c>
      <c r="S45" s="2"/>
      <c r="T45" s="7"/>
      <c r="U45" s="2"/>
      <c r="V45" s="6">
        <f t="shared" si="33"/>
        <v>0</v>
      </c>
      <c r="W45" s="2"/>
      <c r="X45" s="7">
        <f t="shared" si="34"/>
        <v>311.33999999999997</v>
      </c>
      <c r="Y45" s="2"/>
      <c r="Z45" s="6">
        <f t="shared" si="35"/>
        <v>0</v>
      </c>
    </row>
    <row r="46" spans="1:26" s="27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SUM(OSRRefD22_6x_0)</f>
        <v>18.940000000000001</v>
      </c>
      <c r="E46" s="1"/>
      <c r="F46" s="5">
        <f t="shared" si="28"/>
        <v>1.2522247816209899E-3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18.940000000000001</v>
      </c>
      <c r="M46" s="1"/>
      <c r="N46" s="5">
        <f t="shared" si="31"/>
        <v>0</v>
      </c>
      <c r="O46" s="14"/>
      <c r="P46" s="1">
        <f>SUM(OSRRefP22_6x_0)</f>
        <v>1477.84</v>
      </c>
      <c r="Q46" s="1"/>
      <c r="R46" s="5">
        <f t="shared" si="32"/>
        <v>7.4307901323708792E-2</v>
      </c>
      <c r="S46" s="1"/>
      <c r="T46" s="1">
        <f>SUM(OSRRefT22_6x_0)</f>
        <v>1867.6</v>
      </c>
      <c r="U46" s="1"/>
      <c r="V46" s="5">
        <f t="shared" si="33"/>
        <v>8.9064640059821523E-2</v>
      </c>
      <c r="W46" s="1"/>
      <c r="X46" s="1">
        <f t="shared" si="34"/>
        <v>-389.76</v>
      </c>
      <c r="Y46" s="1"/>
      <c r="Z46" s="5">
        <f t="shared" si="35"/>
        <v>-0.20869565217391306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7">
        <v>18.940000000000001</v>
      </c>
      <c r="E47" s="2"/>
      <c r="F47" s="6">
        <f t="shared" si="28"/>
        <v>1.2522247816209899E-3</v>
      </c>
      <c r="G47" s="2"/>
      <c r="H47" s="7"/>
      <c r="I47" s="2"/>
      <c r="J47" s="6">
        <f t="shared" si="29"/>
        <v>0</v>
      </c>
      <c r="K47" s="2"/>
      <c r="L47" s="7">
        <f t="shared" si="30"/>
        <v>18.940000000000001</v>
      </c>
      <c r="M47" s="2"/>
      <c r="N47" s="6">
        <f t="shared" si="31"/>
        <v>0</v>
      </c>
      <c r="O47" s="11"/>
      <c r="P47" s="7">
        <v>1477.84</v>
      </c>
      <c r="Q47" s="2"/>
      <c r="R47" s="6">
        <f t="shared" si="32"/>
        <v>7.4307901323708792E-2</v>
      </c>
      <c r="S47" s="2"/>
      <c r="T47" s="7">
        <v>1867.6</v>
      </c>
      <c r="U47" s="2"/>
      <c r="V47" s="6">
        <f t="shared" si="33"/>
        <v>8.9064640059821523E-2</v>
      </c>
      <c r="W47" s="2"/>
      <c r="X47" s="7">
        <f t="shared" si="34"/>
        <v>-389.76</v>
      </c>
      <c r="Y47" s="2"/>
      <c r="Z47" s="6">
        <f t="shared" si="35"/>
        <v>-0.20869565217391306</v>
      </c>
    </row>
    <row r="48" spans="1:26" s="27" customFormat="1" outlineLevel="1" collapsed="1" x14ac:dyDescent="0.25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817.24</v>
      </c>
      <c r="E48" s="1"/>
      <c r="F48" s="5">
        <f t="shared" si="28"/>
        <v>5.4032110904537363E-2</v>
      </c>
      <c r="G48" s="1"/>
      <c r="H48" s="1">
        <f>SUM(OSRRefH22_7x_0)</f>
        <v>46.94</v>
      </c>
      <c r="I48" s="1"/>
      <c r="J48" s="5">
        <f t="shared" si="29"/>
        <v>3.0092231985850114E-3</v>
      </c>
      <c r="K48" s="1"/>
      <c r="L48" s="1">
        <f t="shared" si="30"/>
        <v>770.3</v>
      </c>
      <c r="M48" s="1"/>
      <c r="N48" s="5">
        <f t="shared" si="31"/>
        <v>16.410311035364295</v>
      </c>
      <c r="O48" s="14"/>
      <c r="P48" s="1">
        <f>SUM(OSRRefP22_7x_0)</f>
        <v>1660.4</v>
      </c>
      <c r="Q48" s="1"/>
      <c r="R48" s="5">
        <f t="shared" si="32"/>
        <v>8.3487278296626222E-2</v>
      </c>
      <c r="S48" s="1"/>
      <c r="T48" s="1">
        <f>SUM(OSRRefT22_7x_0)</f>
        <v>267.97000000000003</v>
      </c>
      <c r="U48" s="1"/>
      <c r="V48" s="5">
        <f t="shared" si="33"/>
        <v>1.2779316554310546E-2</v>
      </c>
      <c r="W48" s="1"/>
      <c r="X48" s="1">
        <f t="shared" si="34"/>
        <v>1392.43</v>
      </c>
      <c r="Y48" s="1"/>
      <c r="Z48" s="5">
        <f t="shared" si="35"/>
        <v>5.1962159943277229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7">
        <v>817.24</v>
      </c>
      <c r="E49" s="2"/>
      <c r="F49" s="6">
        <f t="shared" si="28"/>
        <v>5.4032110904537363E-2</v>
      </c>
      <c r="G49" s="2"/>
      <c r="H49" s="7">
        <v>46.94</v>
      </c>
      <c r="I49" s="2"/>
      <c r="J49" s="6">
        <f t="shared" si="29"/>
        <v>3.0092231985850114E-3</v>
      </c>
      <c r="K49" s="2"/>
      <c r="L49" s="7">
        <f t="shared" si="30"/>
        <v>770.3</v>
      </c>
      <c r="M49" s="2"/>
      <c r="N49" s="6">
        <f t="shared" si="31"/>
        <v>16.410311035364295</v>
      </c>
      <c r="O49" s="11"/>
      <c r="P49" s="7">
        <v>1660.4</v>
      </c>
      <c r="Q49" s="2"/>
      <c r="R49" s="6">
        <f t="shared" si="32"/>
        <v>8.3487278296626222E-2</v>
      </c>
      <c r="S49" s="2"/>
      <c r="T49" s="7">
        <v>267.97000000000003</v>
      </c>
      <c r="U49" s="2"/>
      <c r="V49" s="6">
        <f t="shared" si="33"/>
        <v>1.2779316554310546E-2</v>
      </c>
      <c r="W49" s="2"/>
      <c r="X49" s="7">
        <f t="shared" si="34"/>
        <v>1392.43</v>
      </c>
      <c r="Y49" s="2"/>
      <c r="Z49" s="6">
        <f t="shared" si="35"/>
        <v>5.1962159943277229</v>
      </c>
    </row>
    <row r="50" spans="1:26" s="27" customFormat="1" outlineLevel="1" collapsed="1" x14ac:dyDescent="0.25">
      <c r="A50" s="28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SUM(OSRRefD22_8x_0)</f>
        <v>682.79</v>
      </c>
      <c r="E50" s="1"/>
      <c r="F50" s="5">
        <f t="shared" si="28"/>
        <v>4.5142901723495013E-2</v>
      </c>
      <c r="G50" s="1"/>
      <c r="H50" s="1">
        <f>SUM(OSRRefH22_8x_0)</f>
        <v>352.93</v>
      </c>
      <c r="I50" s="1"/>
      <c r="J50" s="5">
        <f t="shared" si="29"/>
        <v>2.2625588910877889E-2</v>
      </c>
      <c r="K50" s="1"/>
      <c r="L50" s="1">
        <f t="shared" si="30"/>
        <v>329.85999999999996</v>
      </c>
      <c r="M50" s="1"/>
      <c r="N50" s="5">
        <f t="shared" si="31"/>
        <v>0.93463293004278458</v>
      </c>
      <c r="O50" s="14"/>
      <c r="P50" s="1">
        <f>SUM(OSRRefP22_8x_0)</f>
        <v>1010.7199999999999</v>
      </c>
      <c r="Q50" s="1"/>
      <c r="R50" s="5">
        <f t="shared" si="32"/>
        <v>5.0820442013952083E-2</v>
      </c>
      <c r="S50" s="1"/>
      <c r="T50" s="1">
        <f>SUM(OSRRefT22_8x_0)</f>
        <v>705.86</v>
      </c>
      <c r="U50" s="1"/>
      <c r="V50" s="5">
        <f t="shared" si="33"/>
        <v>3.3662008370435648E-2</v>
      </c>
      <c r="W50" s="1"/>
      <c r="X50" s="1">
        <f t="shared" si="34"/>
        <v>304.8599999999999</v>
      </c>
      <c r="Y50" s="1"/>
      <c r="Z50" s="5">
        <f t="shared" si="35"/>
        <v>0.43189867679143157</v>
      </c>
    </row>
    <row r="51" spans="1:26" s="24" customFormat="1" hidden="1" outlineLevel="2" x14ac:dyDescent="0.25">
      <c r="A51" s="29"/>
      <c r="B51" s="11" t="str">
        <f>CONCATENATE("          ", "6282", " - ", "JANITORIAL/EXTERMINATOR EXPENS")</f>
        <v xml:space="preserve">          6282 - JANITORIAL/EXTERMINATOR EXPENS</v>
      </c>
      <c r="C51" s="11"/>
      <c r="D51" s="7">
        <v>655.86</v>
      </c>
      <c r="E51" s="2"/>
      <c r="F51" s="6">
        <f t="shared" si="28"/>
        <v>4.3362415273175414E-2</v>
      </c>
      <c r="G51" s="2"/>
      <c r="H51" s="7">
        <v>327.93</v>
      </c>
      <c r="I51" s="2"/>
      <c r="J51" s="6">
        <f t="shared" si="29"/>
        <v>2.1022892277630652E-2</v>
      </c>
      <c r="K51" s="2"/>
      <c r="L51" s="7">
        <f t="shared" si="30"/>
        <v>327.93</v>
      </c>
      <c r="M51" s="2"/>
      <c r="N51" s="6">
        <f t="shared" si="31"/>
        <v>1</v>
      </c>
      <c r="O51" s="11"/>
      <c r="P51" s="7">
        <v>983.79</v>
      </c>
      <c r="Q51" s="2"/>
      <c r="R51" s="6">
        <f t="shared" si="32"/>
        <v>4.9466363235026435E-2</v>
      </c>
      <c r="S51" s="2"/>
      <c r="T51" s="7">
        <v>655.86</v>
      </c>
      <c r="U51" s="2"/>
      <c r="V51" s="6">
        <f t="shared" si="33"/>
        <v>3.1277540602717147E-2</v>
      </c>
      <c r="W51" s="2"/>
      <c r="X51" s="7">
        <f t="shared" si="34"/>
        <v>327.92999999999995</v>
      </c>
      <c r="Y51" s="2"/>
      <c r="Z51" s="6">
        <f t="shared" si="35"/>
        <v>0.49999999999999989</v>
      </c>
    </row>
    <row r="52" spans="1:26" s="24" customFormat="1" hidden="1" outlineLevel="2" x14ac:dyDescent="0.25">
      <c r="A52" s="29"/>
      <c r="B52" s="11" t="str">
        <f>CONCATENATE("          ", "6285", " - ", "JANITORIAL SERVICES")</f>
        <v xml:space="preserve">          6285 - JANITORIAL SERVICES</v>
      </c>
      <c r="C52" s="11"/>
      <c r="D52" s="7">
        <v>26.93</v>
      </c>
      <c r="E52" s="2"/>
      <c r="F52" s="6">
        <f t="shared" si="28"/>
        <v>1.7804864503196017E-3</v>
      </c>
      <c r="G52" s="2"/>
      <c r="H52" s="7">
        <v>25</v>
      </c>
      <c r="I52" s="2"/>
      <c r="J52" s="6">
        <f t="shared" si="29"/>
        <v>1.6026966332472366E-3</v>
      </c>
      <c r="K52" s="2"/>
      <c r="L52" s="7">
        <f t="shared" si="30"/>
        <v>1.9299999999999997</v>
      </c>
      <c r="M52" s="2"/>
      <c r="N52" s="6">
        <f t="shared" si="31"/>
        <v>7.7199999999999991E-2</v>
      </c>
      <c r="O52" s="11"/>
      <c r="P52" s="7">
        <v>26.93</v>
      </c>
      <c r="Q52" s="2"/>
      <c r="R52" s="6">
        <f t="shared" si="32"/>
        <v>1.3540787789256467E-3</v>
      </c>
      <c r="S52" s="2"/>
      <c r="T52" s="7">
        <v>50</v>
      </c>
      <c r="U52" s="2"/>
      <c r="V52" s="6">
        <f t="shared" si="33"/>
        <v>2.3844677677185028E-3</v>
      </c>
      <c r="W52" s="2"/>
      <c r="X52" s="7">
        <f t="shared" si="34"/>
        <v>-23.07</v>
      </c>
      <c r="Y52" s="2"/>
      <c r="Z52" s="6">
        <f t="shared" si="35"/>
        <v>-0.46140000000000003</v>
      </c>
    </row>
    <row r="53" spans="1:26" s="27" customFormat="1" outlineLevel="1" collapsed="1" x14ac:dyDescent="0.25">
      <c r="A53" s="28"/>
      <c r="B53" s="14" t="str">
        <f>CONCATENATE("     ","Subscriptions &amp; Dues                              ")</f>
        <v xml:space="preserve">     Subscriptions &amp; Dues                              </v>
      </c>
      <c r="C53" s="14"/>
      <c r="D53" s="1">
        <f>SUM(OSRRefD22_9x_0)</f>
        <v>0</v>
      </c>
      <c r="E53" s="1"/>
      <c r="F53" s="5">
        <f t="shared" ref="F53:F61" si="36">IF(D$12=0,0,D53/D$12)</f>
        <v>0</v>
      </c>
      <c r="G53" s="1"/>
      <c r="H53" s="1">
        <f>SUM(OSRRefH22_9x_0)</f>
        <v>0</v>
      </c>
      <c r="I53" s="1"/>
      <c r="J53" s="5">
        <f t="shared" ref="J53:J61" si="37">IF(H$12=0,0,H53/H$12)</f>
        <v>0</v>
      </c>
      <c r="K53" s="1"/>
      <c r="L53" s="1">
        <f t="shared" ref="L53:L61" si="38">+D53-H53</f>
        <v>0</v>
      </c>
      <c r="M53" s="1"/>
      <c r="N53" s="5">
        <f t="shared" ref="N53:N61" si="39">IF(H53=0,0,L53/H53)</f>
        <v>0</v>
      </c>
      <c r="O53" s="14"/>
      <c r="P53" s="1">
        <f>SUM(OSRRefP22_9x_0)</f>
        <v>0</v>
      </c>
      <c r="Q53" s="1"/>
      <c r="R53" s="5">
        <f t="shared" ref="R53:R61" si="40">IF(P$12=0,0,P53/P$12)</f>
        <v>0</v>
      </c>
      <c r="S53" s="1"/>
      <c r="T53" s="1">
        <f>SUM(OSRRefT22_9x_0)</f>
        <v>31.8</v>
      </c>
      <c r="U53" s="1"/>
      <c r="V53" s="5">
        <f t="shared" ref="V53:V61" si="41">IF(T$12=0,0,T53/T$12)</f>
        <v>1.516521500268968E-3</v>
      </c>
      <c r="W53" s="1"/>
      <c r="X53" s="1">
        <f t="shared" ref="X53:X61" si="42">+P53-T53</f>
        <v>-31.8</v>
      </c>
      <c r="Y53" s="1"/>
      <c r="Z53" s="5">
        <f t="shared" ref="Z53:Z61" si="43">IF(T53=0,0,X53/T53)</f>
        <v>-1</v>
      </c>
    </row>
    <row r="54" spans="1:26" s="24" customFormat="1" hidden="1" outlineLevel="2" x14ac:dyDescent="0.25">
      <c r="A54" s="29"/>
      <c r="B54" s="11" t="str">
        <f>CONCATENATE("          ", "6258", " - ", "MEMBERSHIP DUES")</f>
        <v xml:space="preserve">          6258 - MEMBERSHIP DUES</v>
      </c>
      <c r="C54" s="11"/>
      <c r="D54" s="7"/>
      <c r="E54" s="2"/>
      <c r="F54" s="6">
        <f t="shared" si="36"/>
        <v>0</v>
      </c>
      <c r="G54" s="2"/>
      <c r="H54" s="7"/>
      <c r="I54" s="2"/>
      <c r="J54" s="6">
        <f t="shared" si="37"/>
        <v>0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/>
      <c r="Q54" s="2"/>
      <c r="R54" s="6">
        <f t="shared" si="40"/>
        <v>0</v>
      </c>
      <c r="S54" s="2"/>
      <c r="T54" s="7">
        <v>31.8</v>
      </c>
      <c r="U54" s="2"/>
      <c r="V54" s="6">
        <f t="shared" si="41"/>
        <v>1.516521500268968E-3</v>
      </c>
      <c r="W54" s="2"/>
      <c r="X54" s="7">
        <f t="shared" si="42"/>
        <v>-31.8</v>
      </c>
      <c r="Y54" s="2"/>
      <c r="Z54" s="6">
        <f t="shared" si="43"/>
        <v>-1</v>
      </c>
    </row>
    <row r="55" spans="1:26" s="27" customFormat="1" outlineLevel="1" collapsed="1" x14ac:dyDescent="0.25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SUM(OSRRefD22_10x_0)</f>
        <v>1024.3599999999999</v>
      </c>
      <c r="E55" s="1"/>
      <c r="F55" s="5">
        <f t="shared" si="36"/>
        <v>6.7725922771978725E-2</v>
      </c>
      <c r="G55" s="1"/>
      <c r="H55" s="1">
        <f>SUM(OSRRefH22_10x_0)</f>
        <v>1562.85</v>
      </c>
      <c r="I55" s="1"/>
      <c r="J55" s="5">
        <f t="shared" si="37"/>
        <v>0.10019097733081773</v>
      </c>
      <c r="K55" s="1"/>
      <c r="L55" s="1">
        <f t="shared" si="38"/>
        <v>-538.49</v>
      </c>
      <c r="M55" s="1"/>
      <c r="N55" s="5">
        <f t="shared" si="39"/>
        <v>-0.34455641936206294</v>
      </c>
      <c r="O55" s="14"/>
      <c r="P55" s="1">
        <f>SUM(OSRRefP22_10x_0)</f>
        <v>4803.12</v>
      </c>
      <c r="Q55" s="1"/>
      <c r="R55" s="5">
        <f t="shared" si="40"/>
        <v>0.24150771870157267</v>
      </c>
      <c r="S55" s="1"/>
      <c r="T55" s="1">
        <f>SUM(OSRRefT22_10x_0)</f>
        <v>1658.87</v>
      </c>
      <c r="U55" s="1"/>
      <c r="V55" s="5">
        <f t="shared" si="41"/>
        <v>7.9110440916703856E-2</v>
      </c>
      <c r="W55" s="1"/>
      <c r="X55" s="1">
        <f t="shared" si="42"/>
        <v>3144.25</v>
      </c>
      <c r="Y55" s="1"/>
      <c r="Z55" s="5">
        <f t="shared" si="43"/>
        <v>1.8954167596014155</v>
      </c>
    </row>
    <row r="56" spans="1:26" s="24" customFormat="1" hidden="1" outlineLevel="2" x14ac:dyDescent="0.25">
      <c r="A56" s="29"/>
      <c r="B56" s="11" t="str">
        <f>CONCATENATE("          ", "6237", " - ", "JANITORIAL SUPPLIES")</f>
        <v xml:space="preserve">          6237 - JANITORIAL SUPPLIES</v>
      </c>
      <c r="C56" s="11"/>
      <c r="D56" s="7">
        <v>189.12</v>
      </c>
      <c r="E56" s="2"/>
      <c r="F56" s="6">
        <f t="shared" si="36"/>
        <v>1.2503735517431974E-2</v>
      </c>
      <c r="G56" s="2"/>
      <c r="H56" s="7">
        <v>125.1</v>
      </c>
      <c r="I56" s="2"/>
      <c r="J56" s="6">
        <f t="shared" si="37"/>
        <v>8.019893952769171E-3</v>
      </c>
      <c r="K56" s="2"/>
      <c r="L56" s="7">
        <f t="shared" si="38"/>
        <v>64.02000000000001</v>
      </c>
      <c r="M56" s="2"/>
      <c r="N56" s="6">
        <f t="shared" si="39"/>
        <v>0.51175059952038382</v>
      </c>
      <c r="O56" s="11"/>
      <c r="P56" s="7">
        <v>409.99</v>
      </c>
      <c r="Q56" s="2"/>
      <c r="R56" s="6">
        <f t="shared" si="40"/>
        <v>2.0614881491709095E-2</v>
      </c>
      <c r="S56" s="2"/>
      <c r="T56" s="7">
        <v>195.74</v>
      </c>
      <c r="U56" s="2"/>
      <c r="V56" s="6">
        <f t="shared" si="41"/>
        <v>9.3347144170643961E-3</v>
      </c>
      <c r="W56" s="2"/>
      <c r="X56" s="7">
        <f t="shared" si="42"/>
        <v>214.25</v>
      </c>
      <c r="Y56" s="2"/>
      <c r="Z56" s="6">
        <f t="shared" si="43"/>
        <v>1.0945642178399917</v>
      </c>
    </row>
    <row r="57" spans="1:26" s="24" customFormat="1" hidden="1" outlineLevel="2" x14ac:dyDescent="0.25">
      <c r="A57" s="29"/>
      <c r="B57" s="11" t="str">
        <f>CONCATENATE("          ", "6241", " - ", "OFFICE EXPENSE")</f>
        <v xml:space="preserve">          6241 - OFFICE EXPENSE</v>
      </c>
      <c r="C57" s="11"/>
      <c r="D57" s="7"/>
      <c r="E57" s="2"/>
      <c r="F57" s="6">
        <f t="shared" si="36"/>
        <v>0</v>
      </c>
      <c r="G57" s="2"/>
      <c r="H57" s="7">
        <v>68.36</v>
      </c>
      <c r="I57" s="2"/>
      <c r="J57" s="6">
        <f t="shared" si="37"/>
        <v>4.3824136739512437E-3</v>
      </c>
      <c r="K57" s="2"/>
      <c r="L57" s="7">
        <f t="shared" si="38"/>
        <v>-68.36</v>
      </c>
      <c r="M57" s="2"/>
      <c r="N57" s="6">
        <f t="shared" si="39"/>
        <v>-1</v>
      </c>
      <c r="O57" s="11"/>
      <c r="P57" s="7"/>
      <c r="Q57" s="2"/>
      <c r="R57" s="6">
        <f t="shared" si="40"/>
        <v>0</v>
      </c>
      <c r="S57" s="2"/>
      <c r="T57" s="7">
        <v>68.36</v>
      </c>
      <c r="U57" s="2"/>
      <c r="V57" s="6">
        <f t="shared" si="41"/>
        <v>3.2600443320247373E-3</v>
      </c>
      <c r="W57" s="2"/>
      <c r="X57" s="7">
        <f t="shared" si="42"/>
        <v>-68.36</v>
      </c>
      <c r="Y57" s="2"/>
      <c r="Z57" s="6">
        <f t="shared" si="43"/>
        <v>-1</v>
      </c>
    </row>
    <row r="58" spans="1:26" s="24" customFormat="1" hidden="1" outlineLevel="2" x14ac:dyDescent="0.25">
      <c r="A58" s="29"/>
      <c r="B58" s="11" t="str">
        <f>CONCATENATE("          ", "6243", " - ", "PAPER SUPPLIES")</f>
        <v xml:space="preserve">          6243 - PAPER SUPPLIES</v>
      </c>
      <c r="C58" s="11"/>
      <c r="D58" s="7">
        <v>298.33</v>
      </c>
      <c r="E58" s="2"/>
      <c r="F58" s="6">
        <f t="shared" si="36"/>
        <v>1.9724193194350044E-2</v>
      </c>
      <c r="G58" s="2"/>
      <c r="H58" s="7">
        <v>218.24</v>
      </c>
      <c r="I58" s="2"/>
      <c r="J58" s="6">
        <f t="shared" si="37"/>
        <v>1.3990900529595077E-2</v>
      </c>
      <c r="K58" s="2"/>
      <c r="L58" s="7">
        <f t="shared" si="38"/>
        <v>80.089999999999975</v>
      </c>
      <c r="M58" s="2"/>
      <c r="N58" s="6">
        <f t="shared" si="39"/>
        <v>0.3669813049853371</v>
      </c>
      <c r="O58" s="11"/>
      <c r="P58" s="7">
        <v>298.33</v>
      </c>
      <c r="Q58" s="2"/>
      <c r="R58" s="6">
        <f t="shared" si="40"/>
        <v>1.500045756096874E-2</v>
      </c>
      <c r="S58" s="2"/>
      <c r="T58" s="7">
        <v>264.08999999999997</v>
      </c>
      <c r="U58" s="2"/>
      <c r="V58" s="6">
        <f t="shared" si="41"/>
        <v>1.2594281855535587E-2</v>
      </c>
      <c r="W58" s="2"/>
      <c r="X58" s="7">
        <f t="shared" si="42"/>
        <v>34.240000000000009</v>
      </c>
      <c r="Y58" s="2"/>
      <c r="Z58" s="6">
        <f t="shared" si="43"/>
        <v>0.12965276988905303</v>
      </c>
    </row>
    <row r="59" spans="1:26" s="24" customFormat="1" hidden="1" outlineLevel="2" x14ac:dyDescent="0.25">
      <c r="A59" s="29"/>
      <c r="B59" s="11" t="str">
        <f>CONCATENATE("          ", "6245", " - ", "PRINTING")</f>
        <v xml:space="preserve">          6245 - PRINTING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/>
      <c r="Q59" s="2"/>
      <c r="R59" s="6">
        <f t="shared" si="40"/>
        <v>0</v>
      </c>
      <c r="S59" s="2"/>
      <c r="T59" s="7">
        <v>51.82</v>
      </c>
      <c r="U59" s="2"/>
      <c r="V59" s="6">
        <f t="shared" si="41"/>
        <v>2.4712623944634564E-3</v>
      </c>
      <c r="W59" s="2"/>
      <c r="X59" s="7">
        <f t="shared" si="42"/>
        <v>-51.82</v>
      </c>
      <c r="Y59" s="2"/>
      <c r="Z59" s="6">
        <f t="shared" si="43"/>
        <v>-1</v>
      </c>
    </row>
    <row r="60" spans="1:26" s="24" customFormat="1" hidden="1" outlineLevel="2" x14ac:dyDescent="0.25">
      <c r="A60" s="29"/>
      <c r="B60" s="11" t="str">
        <f>CONCATENATE("          ", "6247", " - ", "STORE SUPPLIES")</f>
        <v xml:space="preserve">          6247 - STORE SUPPLIES</v>
      </c>
      <c r="C60" s="11"/>
      <c r="D60" s="7">
        <v>536.91</v>
      </c>
      <c r="E60" s="2"/>
      <c r="F60" s="6">
        <f t="shared" si="36"/>
        <v>3.5497994060196707E-2</v>
      </c>
      <c r="G60" s="2"/>
      <c r="H60" s="7">
        <v>963.28</v>
      </c>
      <c r="I60" s="2"/>
      <c r="J60" s="6">
        <f t="shared" si="37"/>
        <v>6.1753824514975922E-2</v>
      </c>
      <c r="K60" s="2"/>
      <c r="L60" s="7">
        <f t="shared" si="38"/>
        <v>-426.37</v>
      </c>
      <c r="M60" s="2"/>
      <c r="N60" s="6">
        <f t="shared" si="39"/>
        <v>-0.44262312100323897</v>
      </c>
      <c r="O60" s="11"/>
      <c r="P60" s="7">
        <v>4094.8</v>
      </c>
      <c r="Q60" s="2"/>
      <c r="R60" s="6">
        <f t="shared" si="40"/>
        <v>0.20589237964889487</v>
      </c>
      <c r="S60" s="2"/>
      <c r="T60" s="7">
        <v>890.99</v>
      </c>
      <c r="U60" s="2"/>
      <c r="V60" s="6">
        <f t="shared" si="41"/>
        <v>4.2490738727190183E-2</v>
      </c>
      <c r="W60" s="2"/>
      <c r="X60" s="7">
        <f t="shared" si="42"/>
        <v>3203.8100000000004</v>
      </c>
      <c r="Y60" s="2"/>
      <c r="Z60" s="6">
        <f t="shared" si="43"/>
        <v>3.5957867091662088</v>
      </c>
    </row>
    <row r="61" spans="1:26" s="24" customFormat="1" hidden="1" outlineLevel="2" x14ac:dyDescent="0.25">
      <c r="A61" s="29"/>
      <c r="B61" s="11" t="str">
        <f>CONCATENATE("          ", "6248", " - ", "UNIFORMS")</f>
        <v xml:space="preserve">          6248 - UNIFORMS</v>
      </c>
      <c r="C61" s="11"/>
      <c r="D61" s="7"/>
      <c r="E61" s="2"/>
      <c r="F61" s="6">
        <f t="shared" si="36"/>
        <v>0</v>
      </c>
      <c r="G61" s="2"/>
      <c r="H61" s="7">
        <v>187.87</v>
      </c>
      <c r="I61" s="2"/>
      <c r="J61" s="6">
        <f t="shared" si="37"/>
        <v>1.2043944659526334E-2</v>
      </c>
      <c r="K61" s="2"/>
      <c r="L61" s="7">
        <f t="shared" si="38"/>
        <v>-187.87</v>
      </c>
      <c r="M61" s="2"/>
      <c r="N61" s="6">
        <f t="shared" si="39"/>
        <v>-1</v>
      </c>
      <c r="O61" s="11"/>
      <c r="P61" s="7"/>
      <c r="Q61" s="2"/>
      <c r="R61" s="6">
        <f t="shared" si="40"/>
        <v>0</v>
      </c>
      <c r="S61" s="2"/>
      <c r="T61" s="7">
        <v>187.87</v>
      </c>
      <c r="U61" s="2"/>
      <c r="V61" s="6">
        <f t="shared" si="41"/>
        <v>8.9593991904255033E-3</v>
      </c>
      <c r="W61" s="2"/>
      <c r="X61" s="7">
        <f t="shared" si="42"/>
        <v>-187.87</v>
      </c>
      <c r="Y61" s="2"/>
      <c r="Z61" s="6">
        <f t="shared" si="43"/>
        <v>-1</v>
      </c>
    </row>
    <row r="62" spans="1:26" s="27" customFormat="1" outlineLevel="1" collapsed="1" x14ac:dyDescent="0.25">
      <c r="A62" s="28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SUM(OSRRefD22_11x_0)</f>
        <v>91.01</v>
      </c>
      <c r="E62" s="1"/>
      <c r="F62" s="5">
        <f t="shared" ref="F62:F63" si="44">IF(D$12=0,0,D62/D$12)</f>
        <v>6.0171582563530246E-3</v>
      </c>
      <c r="G62" s="1"/>
      <c r="H62" s="1">
        <f>SUM(OSRRefH22_11x_0)</f>
        <v>91.01</v>
      </c>
      <c r="I62" s="1"/>
      <c r="J62" s="5">
        <f t="shared" ref="J62:J63" si="45">IF(H$12=0,0,H62/H$12)</f>
        <v>5.8344568236732399E-3</v>
      </c>
      <c r="K62" s="1"/>
      <c r="L62" s="1">
        <f t="shared" ref="L62:L63" si="46">+D62-H62</f>
        <v>0</v>
      </c>
      <c r="M62" s="1"/>
      <c r="N62" s="5">
        <f t="shared" ref="N62:N63" si="47">IF(H62=0,0,L62/H62)</f>
        <v>0</v>
      </c>
      <c r="O62" s="14"/>
      <c r="P62" s="1">
        <f>SUM(OSRRefP22_11x_0)</f>
        <v>160.02000000000001</v>
      </c>
      <c r="Q62" s="1"/>
      <c r="R62" s="5">
        <f t="shared" ref="R62:R63" si="48">IF(P$12=0,0,P62/P$12)</f>
        <v>8.0460336503409575E-3</v>
      </c>
      <c r="S62" s="1"/>
      <c r="T62" s="1">
        <f>SUM(OSRRefT22_11x_0)</f>
        <v>160.02000000000001</v>
      </c>
      <c r="U62" s="1"/>
      <c r="V62" s="5">
        <f t="shared" ref="V62:V63" si="49">IF(T$12=0,0,T62/T$12)</f>
        <v>7.6312506438062973E-3</v>
      </c>
      <c r="W62" s="1"/>
      <c r="X62" s="1">
        <f t="shared" ref="X62:X63" si="50">+P62-T62</f>
        <v>0</v>
      </c>
      <c r="Y62" s="1"/>
      <c r="Z62" s="5">
        <f t="shared" ref="Z62:Z63" si="51">IF(T62=0,0,X62/T62)</f>
        <v>0</v>
      </c>
    </row>
    <row r="63" spans="1:26" s="24" customFormat="1" hidden="1" outlineLevel="2" x14ac:dyDescent="0.25">
      <c r="A63" s="29"/>
      <c r="B63" s="11" t="str">
        <f>CONCATENATE("          ", "6309", " - ", "TELEPHONE")</f>
        <v xml:space="preserve">          6309 - TELEPHONE</v>
      </c>
      <c r="C63" s="11"/>
      <c r="D63" s="7">
        <v>91.01</v>
      </c>
      <c r="E63" s="2"/>
      <c r="F63" s="6">
        <f t="shared" si="44"/>
        <v>6.0171582563530246E-3</v>
      </c>
      <c r="G63" s="2"/>
      <c r="H63" s="7">
        <v>91.01</v>
      </c>
      <c r="I63" s="2"/>
      <c r="J63" s="6">
        <f t="shared" si="45"/>
        <v>5.8344568236732399E-3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>
        <v>160.02000000000001</v>
      </c>
      <c r="Q63" s="2"/>
      <c r="R63" s="6">
        <f t="shared" si="48"/>
        <v>8.0460336503409575E-3</v>
      </c>
      <c r="S63" s="2"/>
      <c r="T63" s="7">
        <v>160.02000000000001</v>
      </c>
      <c r="U63" s="2"/>
      <c r="V63" s="6">
        <f t="shared" si="49"/>
        <v>7.6312506438062973E-3</v>
      </c>
      <c r="W63" s="2"/>
      <c r="X63" s="7">
        <f t="shared" si="50"/>
        <v>0</v>
      </c>
      <c r="Y63" s="2"/>
      <c r="Z63" s="6">
        <f t="shared" si="51"/>
        <v>0</v>
      </c>
    </row>
    <row r="64" spans="1:26" s="62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5" t="s">
        <v>0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6" t="s">
        <v>3</v>
      </c>
      <c r="C67" s="26"/>
      <c r="D67" s="20">
        <f>+D20-D22+D65</f>
        <v>-3811.6300000000028</v>
      </c>
      <c r="E67" s="13"/>
      <c r="F67" s="19">
        <f>IF(D$12=0,0,D67/D$12)</f>
        <v>-0.25200726211034935</v>
      </c>
      <c r="G67" s="13"/>
      <c r="H67" s="20">
        <f>+H20-H22+H65</f>
        <v>-6276.3800000000028</v>
      </c>
      <c r="I67" s="13"/>
      <c r="J67" s="19">
        <f>IF(H$12=0,0,H67/H$12)</f>
        <v>-0.4023653237992118</v>
      </c>
      <c r="K67" s="15"/>
      <c r="L67" s="20">
        <f>+D67-H67</f>
        <v>2464.75</v>
      </c>
      <c r="M67" s="15"/>
      <c r="N67" s="19">
        <f>IF(H67=0,0,L67/H67)</f>
        <v>-0.39270248136664748</v>
      </c>
      <c r="O67" s="25"/>
      <c r="P67" s="20">
        <f>+P20-P22+P65</f>
        <v>-15614.490000000002</v>
      </c>
      <c r="Q67" s="13"/>
      <c r="R67" s="19">
        <f>IF(P$12=0,0,P67/P$12)</f>
        <v>-0.78511880997945505</v>
      </c>
      <c r="S67" s="13"/>
      <c r="T67" s="20">
        <f>+T20-T22+T65</f>
        <v>-11865.960000000001</v>
      </c>
      <c r="U67" s="13"/>
      <c r="V67" s="19">
        <f>IF(T$12=0,0,T67/T$12)</f>
        <v>-0.56587998306074105</v>
      </c>
      <c r="W67" s="15"/>
      <c r="X67" s="20">
        <f>+P67-T67</f>
        <v>-3748.5300000000007</v>
      </c>
      <c r="Y67" s="15"/>
      <c r="Z67" s="19">
        <f>IF(T67=0,0,X67/T67)</f>
        <v>0.31590617194057624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1489.32</v>
      </c>
      <c r="E69" s="4"/>
      <c r="F69" s="12">
        <f>IF(D$12=0,0,D69/D$12)</f>
        <v>9.8466917199776793E-2</v>
      </c>
      <c r="G69" s="4"/>
      <c r="H69" s="4">
        <v>1038.31</v>
      </c>
      <c r="I69" s="4"/>
      <c r="J69" s="12">
        <f>IF(H$12=0,0,H69/H$12)</f>
        <v>6.6563837650677526E-2</v>
      </c>
      <c r="K69" s="4"/>
      <c r="L69" s="4">
        <f>+D69-H69</f>
        <v>451.01</v>
      </c>
      <c r="M69" s="4"/>
      <c r="N69" s="12">
        <f>IF(H69=0,0,L69/H69)</f>
        <v>0.43436931166992521</v>
      </c>
      <c r="O69" s="10"/>
      <c r="P69" s="4">
        <v>2479.6799999999998</v>
      </c>
      <c r="Q69" s="4"/>
      <c r="R69" s="12">
        <f>IF(P$12=0,0,P69/P$12)</f>
        <v>0.12468184428244886</v>
      </c>
      <c r="S69" s="4"/>
      <c r="T69" s="4">
        <v>2140.84</v>
      </c>
      <c r="U69" s="4"/>
      <c r="V69" s="12">
        <f>IF(T$12=0,0,T69/T$12)</f>
        <v>0.1020952795168496</v>
      </c>
      <c r="W69" s="4"/>
      <c r="X69" s="4">
        <f>+P69-T69</f>
        <v>338.83999999999969</v>
      </c>
      <c r="Y69" s="4"/>
      <c r="Z69" s="12">
        <f>IF(T69=0,0,X69/T69)</f>
        <v>0.15827432222865775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6" t="s">
        <v>4</v>
      </c>
      <c r="C71" s="26"/>
      <c r="D71" s="31">
        <f>+D67-D69</f>
        <v>-5300.9500000000025</v>
      </c>
      <c r="E71" s="13"/>
      <c r="F71" s="36">
        <f>IF(D$12=0,0,D71/D$12)</f>
        <v>-0.35047417931012614</v>
      </c>
      <c r="G71" s="13"/>
      <c r="H71" s="31">
        <f>+H67-H69</f>
        <v>-7314.6900000000023</v>
      </c>
      <c r="I71" s="13"/>
      <c r="J71" s="36">
        <f>IF(H$12=0,0,H71/H$12)</f>
        <v>-0.46892916144988928</v>
      </c>
      <c r="K71" s="15"/>
      <c r="L71" s="31">
        <f>D71-H71</f>
        <v>2013.7399999999998</v>
      </c>
      <c r="M71" s="15"/>
      <c r="N71" s="36">
        <f>IF(H71=0,0,L71/H71)</f>
        <v>-0.2753007988035035</v>
      </c>
      <c r="O71" s="25"/>
      <c r="P71" s="31">
        <f>+P67-P69</f>
        <v>-18094.170000000002</v>
      </c>
      <c r="Q71" s="13"/>
      <c r="R71" s="36">
        <f>IF(P$12=0,0,P71/P$12)</f>
        <v>-0.90980065426190393</v>
      </c>
      <c r="S71" s="13"/>
      <c r="T71" s="31">
        <f>+T67-T69</f>
        <v>-14006.800000000001</v>
      </c>
      <c r="U71" s="13"/>
      <c r="V71" s="36">
        <f>IF(T$12=0,0,T71/T$12)</f>
        <v>-0.66797526257759066</v>
      </c>
      <c r="W71" s="15"/>
      <c r="X71" s="31">
        <f>P71-T71</f>
        <v>-4087.3700000000008</v>
      </c>
      <c r="Y71" s="15"/>
      <c r="Z71" s="36">
        <f>IF(T71=0,0,X71/T71)</f>
        <v>0.29181326212982267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5</v>
      </c>
      <c r="C74" s="26"/>
      <c r="D74" s="32">
        <f>SUM(D71:D73)</f>
        <v>-5300.9500000000025</v>
      </c>
      <c r="E74" s="13"/>
      <c r="F74" s="30">
        <f>IF(D$12=0,0,D74/D$12)</f>
        <v>-0.35047417931012614</v>
      </c>
      <c r="G74" s="13"/>
      <c r="H74" s="32">
        <f>SUM(H71:H73)</f>
        <v>-7314.6900000000023</v>
      </c>
      <c r="I74" s="13"/>
      <c r="J74" s="30">
        <f>IF(H$12=0,0,H74/H$12)</f>
        <v>-0.46892916144988928</v>
      </c>
      <c r="K74" s="15"/>
      <c r="L74" s="32">
        <f>+D74-H74</f>
        <v>2013.7399999999998</v>
      </c>
      <c r="M74" s="15"/>
      <c r="N74" s="30">
        <f>IF(H74=0,0,L74/H74)</f>
        <v>-0.2753007988035035</v>
      </c>
      <c r="O74" s="25"/>
      <c r="P74" s="32">
        <f>SUM(P71:P73)</f>
        <v>-18094.170000000002</v>
      </c>
      <c r="Q74" s="13"/>
      <c r="R74" s="30">
        <f>IF(P$12=0,0,P74/P$12)</f>
        <v>-0.90980065426190393</v>
      </c>
      <c r="S74" s="13"/>
      <c r="T74" s="32">
        <f>SUM(T71:T73)</f>
        <v>-14006.800000000001</v>
      </c>
      <c r="U74" s="13"/>
      <c r="V74" s="30">
        <f>IF(T$12=0,0,T74/T$12)</f>
        <v>-0.66797526257759066</v>
      </c>
      <c r="W74" s="15"/>
      <c r="X74" s="32">
        <f>+P74-T74</f>
        <v>-4087.3700000000008</v>
      </c>
      <c r="Y74" s="15"/>
      <c r="Z74" s="30">
        <f>IF(T74=0,0,X74/T74)</f>
        <v>0.29181326212982267</v>
      </c>
    </row>
    <row r="75" spans="1:26" ht="15.75" thickTop="1" x14ac:dyDescent="0.25">
      <c r="A75" s="9"/>
      <c r="C75" s="9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7">
        <v>43732.709670138887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60" t="s">
        <v>313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6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","313", " - ", "Convenience Store")</f>
        <v>Department 313 - Convenience 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31680.65</v>
      </c>
      <c r="E12" s="4"/>
      <c r="F12" s="12"/>
      <c r="G12" s="4"/>
      <c r="H12" s="4">
        <f>SUM(OSRRefH13x_0)</f>
        <v>35215</v>
      </c>
      <c r="I12" s="4"/>
      <c r="J12" s="12"/>
      <c r="K12" s="4"/>
      <c r="L12" s="4">
        <f t="shared" ref="L12:L18" si="0">+D12-H12</f>
        <v>-3534.3499999999985</v>
      </c>
      <c r="M12" s="4"/>
      <c r="N12" s="12">
        <f t="shared" ref="N12:N18" si="1">IF(H12=0,0,L12/H12)</f>
        <v>-0.10036490132045998</v>
      </c>
      <c r="O12" s="10"/>
      <c r="P12" s="4">
        <f>SUM(OSRRefP13x_0)</f>
        <v>51250.95</v>
      </c>
      <c r="Q12" s="4"/>
      <c r="R12" s="12"/>
      <c r="S12" s="4"/>
      <c r="T12" s="4">
        <f>SUM(OSRRefT13x_0)</f>
        <v>52081.43</v>
      </c>
      <c r="U12" s="4"/>
      <c r="V12" s="12"/>
      <c r="W12" s="4"/>
      <c r="X12" s="4">
        <f t="shared" ref="X12:X18" si="2">+P12-T12</f>
        <v>-830.4800000000032</v>
      </c>
      <c r="Y12" s="4"/>
      <c r="Z12" s="12">
        <f t="shared" ref="Z12:Z18" si="3">IF(T12=0,0,X12/T12)</f>
        <v>-1.5945798723268605E-2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2">
        <f>--6573.83</f>
        <v>6573.83</v>
      </c>
      <c r="E13" s="2"/>
      <c r="F13" s="21"/>
      <c r="G13" s="2"/>
      <c r="H13" s="2">
        <f>--7293.11</f>
        <v>7293.11</v>
      </c>
      <c r="I13" s="2"/>
      <c r="J13" s="21"/>
      <c r="K13" s="2"/>
      <c r="L13" s="2">
        <f t="shared" si="0"/>
        <v>-719.27999999999975</v>
      </c>
      <c r="M13" s="2"/>
      <c r="N13" s="21">
        <f t="shared" si="1"/>
        <v>-9.862459225213932E-2</v>
      </c>
      <c r="O13" s="11"/>
      <c r="P13" s="2">
        <f>--10268.35</f>
        <v>10268.35</v>
      </c>
      <c r="Q13" s="2"/>
      <c r="R13" s="21"/>
      <c r="S13" s="2"/>
      <c r="T13" s="2">
        <f>--10433.48</f>
        <v>10433.48</v>
      </c>
      <c r="U13" s="2"/>
      <c r="V13" s="21"/>
      <c r="W13" s="2"/>
      <c r="X13" s="2">
        <f t="shared" si="2"/>
        <v>-165.1299999999992</v>
      </c>
      <c r="Y13" s="2"/>
      <c r="Z13" s="21">
        <f t="shared" si="3"/>
        <v>-1.5826934062268698E-2</v>
      </c>
    </row>
    <row r="14" spans="1:26" s="24" customFormat="1" hidden="1" outlineLevel="1" x14ac:dyDescent="0.25">
      <c r="A14" s="50"/>
      <c r="B14" s="11" t="str">
        <f>CONCATENATE("          ", "4034", " - ", "TAXABLE SALES-SODA")</f>
        <v xml:space="preserve">          4034 - TAXABLE SALES-SODA</v>
      </c>
      <c r="C14" s="11"/>
      <c r="D14" s="2">
        <f>--357.65</f>
        <v>357.65</v>
      </c>
      <c r="E14" s="2"/>
      <c r="F14" s="21"/>
      <c r="G14" s="2"/>
      <c r="H14" s="2">
        <f>--296.31</f>
        <v>296.31</v>
      </c>
      <c r="I14" s="2"/>
      <c r="J14" s="21"/>
      <c r="K14" s="2"/>
      <c r="L14" s="2">
        <f t="shared" si="0"/>
        <v>61.339999999999975</v>
      </c>
      <c r="M14" s="2"/>
      <c r="N14" s="21">
        <f t="shared" si="1"/>
        <v>0.20701292565218851</v>
      </c>
      <c r="O14" s="11"/>
      <c r="P14" s="2">
        <f>--646.4</f>
        <v>646.4</v>
      </c>
      <c r="Q14" s="2"/>
      <c r="R14" s="21"/>
      <c r="S14" s="2"/>
      <c r="T14" s="2">
        <f>--496.86</f>
        <v>496.86</v>
      </c>
      <c r="U14" s="2"/>
      <c r="V14" s="21"/>
      <c r="W14" s="2"/>
      <c r="X14" s="2">
        <f t="shared" si="2"/>
        <v>149.53999999999996</v>
      </c>
      <c r="Y14" s="2"/>
      <c r="Z14" s="21">
        <f t="shared" si="3"/>
        <v>0.30097009217888332</v>
      </c>
    </row>
    <row r="15" spans="1:26" s="24" customFormat="1" hidden="1" outlineLevel="1" x14ac:dyDescent="0.25">
      <c r="A15" s="50"/>
      <c r="B15" s="11" t="str">
        <f>CONCATENATE("          ", "4132", " - ", "NON-TAXABLE SALES-JUICE")</f>
        <v xml:space="preserve">          4132 - NON-TAXABLE SALES-JUICE</v>
      </c>
      <c r="C15" s="11"/>
      <c r="D15" s="2">
        <f>--24576.15</f>
        <v>24576.15</v>
      </c>
      <c r="E15" s="2"/>
      <c r="F15" s="21"/>
      <c r="G15" s="2"/>
      <c r="H15" s="2">
        <f>--27246.99</f>
        <v>27246.99</v>
      </c>
      <c r="I15" s="2"/>
      <c r="J15" s="21"/>
      <c r="K15" s="2"/>
      <c r="L15" s="2">
        <f t="shared" si="0"/>
        <v>-2670.84</v>
      </c>
      <c r="M15" s="2"/>
      <c r="N15" s="21">
        <f t="shared" si="1"/>
        <v>-9.8023304592543978E-2</v>
      </c>
      <c r="O15" s="11"/>
      <c r="P15" s="2">
        <f>--39956.07</f>
        <v>39956.07</v>
      </c>
      <c r="Q15" s="2"/>
      <c r="R15" s="21"/>
      <c r="S15" s="2"/>
      <c r="T15" s="2">
        <f>--40568.32</f>
        <v>40568.32</v>
      </c>
      <c r="U15" s="2"/>
      <c r="V15" s="21"/>
      <c r="W15" s="2"/>
      <c r="X15" s="2">
        <f t="shared" si="2"/>
        <v>-612.25</v>
      </c>
      <c r="Y15" s="2"/>
      <c r="Z15" s="21">
        <f t="shared" si="3"/>
        <v>-1.509182534549126E-2</v>
      </c>
    </row>
    <row r="16" spans="1:26" s="24" customFormat="1" hidden="1" outlineLevel="1" x14ac:dyDescent="0.25">
      <c r="A16" s="50"/>
      <c r="B16" s="11" t="str">
        <f>CONCATENATE("          ", "4134", " - ", "NON-TAXABLE SALES-SODA")</f>
        <v xml:space="preserve">          4134 - NON-TAXABLE SALES-SODA</v>
      </c>
      <c r="C16" s="11"/>
      <c r="D16" s="2">
        <f>0</f>
        <v>0</v>
      </c>
      <c r="E16" s="2"/>
      <c r="F16" s="21"/>
      <c r="G16" s="2"/>
      <c r="H16" s="2">
        <f>--31.24</f>
        <v>31.24</v>
      </c>
      <c r="I16" s="2"/>
      <c r="J16" s="21"/>
      <c r="K16" s="2"/>
      <c r="L16" s="2">
        <f t="shared" si="0"/>
        <v>-31.24</v>
      </c>
      <c r="M16" s="2"/>
      <c r="N16" s="21">
        <f t="shared" si="1"/>
        <v>-1</v>
      </c>
      <c r="O16" s="11"/>
      <c r="P16" s="2">
        <f>-3.39</f>
        <v>-3.39</v>
      </c>
      <c r="Q16" s="2"/>
      <c r="R16" s="21"/>
      <c r="S16" s="2"/>
      <c r="T16" s="2">
        <f>--48.74</f>
        <v>48.74</v>
      </c>
      <c r="U16" s="2"/>
      <c r="V16" s="21"/>
      <c r="W16" s="2"/>
      <c r="X16" s="2">
        <f t="shared" si="2"/>
        <v>-52.13</v>
      </c>
      <c r="Y16" s="2"/>
      <c r="Z16" s="21">
        <f t="shared" si="3"/>
        <v>-1.0695527287648749</v>
      </c>
    </row>
    <row r="17" spans="1:26" s="24" customFormat="1" hidden="1" outlineLevel="1" x14ac:dyDescent="0.25">
      <c r="A17" s="50"/>
      <c r="B17" s="11" t="str">
        <f>CONCATENATE("          ", "4137", " - ", "NON-TAXABLE SALES-WATER")</f>
        <v xml:space="preserve">          4137 - NON-TAXABLE SALES-WATER</v>
      </c>
      <c r="C17" s="11"/>
      <c r="D17" s="2">
        <f>--173.02</f>
        <v>173.02</v>
      </c>
      <c r="E17" s="2"/>
      <c r="F17" s="21"/>
      <c r="G17" s="2"/>
      <c r="H17" s="2">
        <f>--349.04</f>
        <v>349.04</v>
      </c>
      <c r="I17" s="2"/>
      <c r="J17" s="21"/>
      <c r="K17" s="2"/>
      <c r="L17" s="2">
        <f t="shared" si="0"/>
        <v>-176.02</v>
      </c>
      <c r="M17" s="2"/>
      <c r="N17" s="21">
        <f t="shared" si="1"/>
        <v>-0.50429750171900067</v>
      </c>
      <c r="O17" s="11"/>
      <c r="P17" s="2">
        <f>--383.52</f>
        <v>383.52</v>
      </c>
      <c r="Q17" s="2"/>
      <c r="R17" s="21"/>
      <c r="S17" s="2"/>
      <c r="T17" s="2">
        <f>--535.72</f>
        <v>535.72</v>
      </c>
      <c r="U17" s="2"/>
      <c r="V17" s="21"/>
      <c r="W17" s="2"/>
      <c r="X17" s="2">
        <f t="shared" si="2"/>
        <v>-152.20000000000005</v>
      </c>
      <c r="Y17" s="2"/>
      <c r="Z17" s="21">
        <f t="shared" si="3"/>
        <v>-0.28410363622788032</v>
      </c>
    </row>
    <row r="18" spans="1:26" s="24" customFormat="1" hidden="1" outlineLevel="1" x14ac:dyDescent="0.25">
      <c r="A18" s="50"/>
      <c r="B18" s="11" t="str">
        <f>CONCATENATE("          ", "4233", " - ", "SALES RETURN TAXABLE-CANDY")</f>
        <v xml:space="preserve">          4233 - SALES RETURN TAXABLE-CANDY</v>
      </c>
      <c r="C18" s="11"/>
      <c r="D18" s="2">
        <f>0</f>
        <v>0</v>
      </c>
      <c r="E18" s="2"/>
      <c r="F18" s="21"/>
      <c r="G18" s="2"/>
      <c r="H18" s="2">
        <f>-1.69</f>
        <v>-1.69</v>
      </c>
      <c r="I18" s="2"/>
      <c r="J18" s="21"/>
      <c r="K18" s="2"/>
      <c r="L18" s="2">
        <f t="shared" si="0"/>
        <v>1.69</v>
      </c>
      <c r="M18" s="2"/>
      <c r="N18" s="21">
        <f t="shared" si="1"/>
        <v>-1</v>
      </c>
      <c r="O18" s="11"/>
      <c r="P18" s="2">
        <f>0</f>
        <v>0</v>
      </c>
      <c r="Q18" s="2"/>
      <c r="R18" s="21"/>
      <c r="S18" s="2"/>
      <c r="T18" s="2">
        <f>-1.69</f>
        <v>-1.69</v>
      </c>
      <c r="U18" s="2"/>
      <c r="V18" s="21"/>
      <c r="W18" s="2"/>
      <c r="X18" s="2">
        <f t="shared" si="2"/>
        <v>1.69</v>
      </c>
      <c r="Y18" s="2"/>
      <c r="Z18" s="21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5" t="s">
        <v>8</v>
      </c>
      <c r="C20" s="10"/>
      <c r="D20" s="4">
        <f>SUM(OSRRefD16x_0)</f>
        <v>14807.23</v>
      </c>
      <c r="E20" s="4"/>
      <c r="F20" s="12">
        <f t="shared" ref="F20:F22" si="4">IF(D$12=0,0,D20/D$12)</f>
        <v>0.46739034710462063</v>
      </c>
      <c r="G20" s="4"/>
      <c r="H20" s="4">
        <f>SUM(OSRRefH16x_0)</f>
        <v>18007.86</v>
      </c>
      <c r="I20" s="4"/>
      <c r="J20" s="12">
        <f t="shared" ref="J20:J22" si="5">IF(H$12=0,0,H20/H$12)</f>
        <v>0.51136901888399833</v>
      </c>
      <c r="K20" s="4"/>
      <c r="L20" s="4">
        <f t="shared" ref="L20:L22" si="6">+D20-H20</f>
        <v>-3200.630000000001</v>
      </c>
      <c r="M20" s="4"/>
      <c r="N20" s="12">
        <f t="shared" ref="N20:N22" si="7">IF(H20=0,0,L20/H20)</f>
        <v>-0.17773516675496148</v>
      </c>
      <c r="O20" s="10"/>
      <c r="P20" s="4">
        <f>SUM(OSRRefP16x_0)</f>
        <v>23875.54</v>
      </c>
      <c r="Q20" s="4"/>
      <c r="R20" s="12">
        <f t="shared" ref="R20:R22" si="8">IF(P$12=0,0,P20/P$12)</f>
        <v>0.46585555975059978</v>
      </c>
      <c r="S20" s="4"/>
      <c r="T20" s="4">
        <f>SUM(OSRRefT16x_0)</f>
        <v>17561.22</v>
      </c>
      <c r="U20" s="4"/>
      <c r="V20" s="12">
        <f t="shared" ref="V20:V22" si="9">IF(T$12=0,0,T20/T$12)</f>
        <v>0.33718774618899677</v>
      </c>
      <c r="W20" s="4"/>
      <c r="X20" s="4">
        <f t="shared" ref="X20:X22" si="10">+P20-T20</f>
        <v>6314.32</v>
      </c>
      <c r="Y20" s="4"/>
      <c r="Z20" s="12">
        <f t="shared" ref="Z20:Z22" si="11">IF(T20=0,0,X20/T20)</f>
        <v>0.3595604405616466</v>
      </c>
    </row>
    <row r="21" spans="1:26" s="24" customFormat="1" hidden="1" outlineLevel="1" x14ac:dyDescent="0.25">
      <c r="A21" s="50"/>
      <c r="B21" s="11" t="str">
        <f>CONCATENATE("          ", "5053", " - ", "PURCHASES @ COST-FOOD")</f>
        <v xml:space="preserve">          5053 - PURCHASES @ COST-FOOD</v>
      </c>
      <c r="C21" s="11"/>
      <c r="D21" s="2">
        <v>22428.28</v>
      </c>
      <c r="E21" s="2"/>
      <c r="F21" s="21">
        <f t="shared" si="4"/>
        <v>0.70794885837253962</v>
      </c>
      <c r="G21" s="2"/>
      <c r="H21" s="2">
        <v>21768.1</v>
      </c>
      <c r="I21" s="2"/>
      <c r="J21" s="21">
        <f t="shared" si="5"/>
        <v>0.61814851625727674</v>
      </c>
      <c r="K21" s="2"/>
      <c r="L21" s="2">
        <f t="shared" si="6"/>
        <v>660.18000000000029</v>
      </c>
      <c r="M21" s="2"/>
      <c r="N21" s="21">
        <f t="shared" si="7"/>
        <v>3.0327865086985099E-2</v>
      </c>
      <c r="O21" s="11"/>
      <c r="P21" s="2">
        <v>36585.07</v>
      </c>
      <c r="Q21" s="2"/>
      <c r="R21" s="21">
        <f t="shared" si="8"/>
        <v>0.71384179220092514</v>
      </c>
      <c r="S21" s="2"/>
      <c r="T21" s="2">
        <v>29347.5</v>
      </c>
      <c r="U21" s="2"/>
      <c r="V21" s="21">
        <f t="shared" si="9"/>
        <v>0.56349259227329207</v>
      </c>
      <c r="W21" s="2"/>
      <c r="X21" s="2">
        <f t="shared" si="10"/>
        <v>7237.57</v>
      </c>
      <c r="Y21" s="2"/>
      <c r="Z21" s="21">
        <f t="shared" si="11"/>
        <v>0.24661623647670158</v>
      </c>
    </row>
    <row r="22" spans="1:26" s="24" customFormat="1" hidden="1" outlineLevel="1" x14ac:dyDescent="0.25">
      <c r="A22" s="50"/>
      <c r="B22" s="11" t="str">
        <f>CONCATENATE("          ", "5059", " - ", "PURCHASES @ COST-FOOD")</f>
        <v xml:space="preserve">          5059 - PURCHASES @ COST-FOOD</v>
      </c>
      <c r="C22" s="11"/>
      <c r="D22" s="2">
        <v>-7621.05</v>
      </c>
      <c r="E22" s="2"/>
      <c r="F22" s="21">
        <f t="shared" si="4"/>
        <v>-0.24055851126791905</v>
      </c>
      <c r="G22" s="2"/>
      <c r="H22" s="2">
        <v>-3760.24</v>
      </c>
      <c r="I22" s="2"/>
      <c r="J22" s="21">
        <f t="shared" si="5"/>
        <v>-0.10677949737327842</v>
      </c>
      <c r="K22" s="2"/>
      <c r="L22" s="2">
        <f t="shared" si="6"/>
        <v>-3860.8100000000004</v>
      </c>
      <c r="M22" s="2"/>
      <c r="N22" s="21">
        <f t="shared" si="7"/>
        <v>1.0267456332574518</v>
      </c>
      <c r="O22" s="11"/>
      <c r="P22" s="2">
        <v>-12709.53</v>
      </c>
      <c r="Q22" s="2"/>
      <c r="R22" s="21">
        <f t="shared" si="8"/>
        <v>-0.24798623245032533</v>
      </c>
      <c r="S22" s="2"/>
      <c r="T22" s="2">
        <v>-11786.28</v>
      </c>
      <c r="U22" s="2"/>
      <c r="V22" s="21">
        <f t="shared" si="9"/>
        <v>-0.22630484608429532</v>
      </c>
      <c r="W22" s="2"/>
      <c r="X22" s="2">
        <f t="shared" si="10"/>
        <v>-923.25</v>
      </c>
      <c r="Y22" s="2"/>
      <c r="Z22" s="21">
        <f t="shared" si="11"/>
        <v>7.8332603671387405E-2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6</v>
      </c>
      <c r="C24" s="26"/>
      <c r="D24" s="20">
        <f>D12-D20</f>
        <v>16873.420000000002</v>
      </c>
      <c r="E24" s="13"/>
      <c r="F24" s="19">
        <f>IF(D$12=0,0,D24/D$12)</f>
        <v>0.53260965289537943</v>
      </c>
      <c r="G24" s="13"/>
      <c r="H24" s="20">
        <f>H12-H20</f>
        <v>17207.14</v>
      </c>
      <c r="I24" s="13"/>
      <c r="J24" s="19">
        <f>IF(H$12=0,0,H24/H$12)</f>
        <v>0.48863098111600167</v>
      </c>
      <c r="K24" s="15"/>
      <c r="L24" s="20">
        <f>+D24-H24</f>
        <v>-333.71999999999753</v>
      </c>
      <c r="M24" s="15"/>
      <c r="N24" s="19">
        <f>IF(H24=0,0,L24/H24)</f>
        <v>-1.9394274702245553E-2</v>
      </c>
      <c r="O24" s="25"/>
      <c r="P24" s="20">
        <f>P12-P20</f>
        <v>27375.409999999996</v>
      </c>
      <c r="Q24" s="13"/>
      <c r="R24" s="19">
        <f>IF(P$12=0,0,P24/P$12)</f>
        <v>0.53414444024940022</v>
      </c>
      <c r="S24" s="13"/>
      <c r="T24" s="20">
        <f>T12-T20</f>
        <v>34520.21</v>
      </c>
      <c r="U24" s="13"/>
      <c r="V24" s="19">
        <f>IF(T$12=0,0,T24/T$12)</f>
        <v>0.66281225381100328</v>
      </c>
      <c r="W24" s="15"/>
      <c r="X24" s="20">
        <f>+P24-T24</f>
        <v>-7144.8000000000029</v>
      </c>
      <c r="Y24" s="15"/>
      <c r="Z24" s="19">
        <f>IF(T24=0,0,X24/T24)</f>
        <v>-0.20697440716612103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9</v>
      </c>
      <c r="C26" s="10"/>
      <c r="D26" s="22">
        <f>SUM(OSRRefD22x_0)</f>
        <v>17394.499999999996</v>
      </c>
      <c r="E26" s="22"/>
      <c r="F26" s="33">
        <f t="shared" ref="F26:F35" si="12">IF(D$12=0,0,D26/D$12)</f>
        <v>0.54905754774602145</v>
      </c>
      <c r="G26" s="22"/>
      <c r="H26" s="22">
        <f>SUM(OSRRefH22x_0)</f>
        <v>20828.100000000006</v>
      </c>
      <c r="I26" s="22"/>
      <c r="J26" s="33">
        <f t="shared" ref="J26:J35" si="13">IF(H$12=0,0,H26/H$12)</f>
        <v>0.59145534573335246</v>
      </c>
      <c r="K26" s="4"/>
      <c r="L26" s="22">
        <f t="shared" ref="L26:L35" si="14">+D26-H26</f>
        <v>-3433.6000000000095</v>
      </c>
      <c r="M26" s="4"/>
      <c r="N26" s="33">
        <f t="shared" ref="N26:N35" si="15">IF(H26=0,0,L26/H26)</f>
        <v>-0.16485421137789855</v>
      </c>
      <c r="O26" s="10"/>
      <c r="P26" s="22">
        <f>SUM(OSRRefP22x_0)</f>
        <v>34083.740000000005</v>
      </c>
      <c r="Q26" s="22"/>
      <c r="R26" s="33">
        <f t="shared" ref="R26:R35" si="16">IF(P$12=0,0,P26/P$12)</f>
        <v>0.6650362578644885</v>
      </c>
      <c r="S26" s="22"/>
      <c r="T26" s="22">
        <f>SUM(OSRRefT22x_0)</f>
        <v>38783.120000000003</v>
      </c>
      <c r="U26" s="22"/>
      <c r="V26" s="33">
        <f t="shared" ref="V26:V35" si="17">IF(T$12=0,0,T26/T$12)</f>
        <v>0.7446631169689466</v>
      </c>
      <c r="W26" s="4"/>
      <c r="X26" s="22">
        <f t="shared" ref="X26:X35" si="18">+P26-T26</f>
        <v>-4699.3799999999974</v>
      </c>
      <c r="Y26" s="4"/>
      <c r="Z26" s="33">
        <f t="shared" ref="Z26:Z35" si="19">IF(T26=0,0,X26/T26)</f>
        <v>-0.12117075676222019</v>
      </c>
    </row>
    <row r="27" spans="1:26" s="27" customFormat="1" outlineLevel="1" collapsed="1" x14ac:dyDescent="0.25">
      <c r="A27" s="28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4094.5999999999995</v>
      </c>
      <c r="E27" s="1"/>
      <c r="F27" s="5">
        <f t="shared" si="12"/>
        <v>0.12924608554433067</v>
      </c>
      <c r="G27" s="1"/>
      <c r="H27" s="1">
        <f>SUM(OSRRefH22_0x_0)</f>
        <v>4244.6100000000006</v>
      </c>
      <c r="I27" s="1"/>
      <c r="J27" s="5">
        <f t="shared" si="13"/>
        <v>0.1205341473803777</v>
      </c>
      <c r="K27" s="1"/>
      <c r="L27" s="1">
        <f t="shared" si="14"/>
        <v>-150.01000000000113</v>
      </c>
      <c r="M27" s="1"/>
      <c r="N27" s="5">
        <f t="shared" si="15"/>
        <v>-3.5341291661660577E-2</v>
      </c>
      <c r="O27" s="14"/>
      <c r="P27" s="1">
        <f>SUM(OSRRefP22_0x_0)</f>
        <v>8761.93</v>
      </c>
      <c r="Q27" s="1"/>
      <c r="R27" s="5">
        <f t="shared" si="16"/>
        <v>0.17096131876579851</v>
      </c>
      <c r="S27" s="1"/>
      <c r="T27" s="1">
        <f>SUM(OSRRefT22_0x_0)</f>
        <v>7993.0499999999993</v>
      </c>
      <c r="U27" s="1"/>
      <c r="V27" s="5">
        <f t="shared" si="17"/>
        <v>0.15347216848692516</v>
      </c>
      <c r="W27" s="1"/>
      <c r="X27" s="1">
        <f t="shared" si="18"/>
        <v>768.88000000000102</v>
      </c>
      <c r="Y27" s="1"/>
      <c r="Z27" s="5">
        <f t="shared" si="19"/>
        <v>9.6193568162341175E-2</v>
      </c>
    </row>
    <row r="28" spans="1:26" s="24" customFormat="1" hidden="1" outlineLevel="2" x14ac:dyDescent="0.25">
      <c r="A28" s="29"/>
      <c r="B28" s="11" t="str">
        <f>CONCATENATE("          ", "6111", " - ", "F.I.C.A.")</f>
        <v xml:space="preserve">          6111 - F.I.C.A.</v>
      </c>
      <c r="C28" s="11"/>
      <c r="D28" s="7">
        <v>508.04</v>
      </c>
      <c r="E28" s="2"/>
      <c r="F28" s="6">
        <f t="shared" si="12"/>
        <v>1.6036287134260186E-2</v>
      </c>
      <c r="G28" s="2"/>
      <c r="H28" s="7">
        <v>790.73</v>
      </c>
      <c r="I28" s="2"/>
      <c r="J28" s="6">
        <f t="shared" si="13"/>
        <v>2.2454351838705099E-2</v>
      </c>
      <c r="K28" s="2"/>
      <c r="L28" s="7">
        <f t="shared" si="14"/>
        <v>-282.69</v>
      </c>
      <c r="M28" s="2"/>
      <c r="N28" s="6">
        <f t="shared" si="15"/>
        <v>-0.35750509023307575</v>
      </c>
      <c r="O28" s="11"/>
      <c r="P28" s="7">
        <v>904.1</v>
      </c>
      <c r="Q28" s="2"/>
      <c r="R28" s="6">
        <f t="shared" si="16"/>
        <v>1.7640648612367187E-2</v>
      </c>
      <c r="S28" s="2"/>
      <c r="T28" s="7">
        <v>1490.66</v>
      </c>
      <c r="U28" s="2"/>
      <c r="V28" s="6">
        <f t="shared" si="17"/>
        <v>2.8621717952060841E-2</v>
      </c>
      <c r="W28" s="2"/>
      <c r="X28" s="7">
        <f t="shared" si="18"/>
        <v>-586.56000000000006</v>
      </c>
      <c r="Y28" s="2"/>
      <c r="Z28" s="6">
        <f t="shared" si="19"/>
        <v>-0.39349013188788862</v>
      </c>
    </row>
    <row r="29" spans="1:26" s="24" customFormat="1" hidden="1" outlineLevel="2" x14ac:dyDescent="0.25">
      <c r="A29" s="29"/>
      <c r="B29" s="11" t="str">
        <f>CONCATENATE("          ", "6112", " - ", "COMPENSATION INSURANCE")</f>
        <v xml:space="preserve">          6112 - COMPENSATION INSURANCE</v>
      </c>
      <c r="C29" s="11"/>
      <c r="D29" s="7">
        <v>161.97999999999999</v>
      </c>
      <c r="E29" s="2"/>
      <c r="F29" s="6">
        <f t="shared" si="12"/>
        <v>5.1129001456725158E-3</v>
      </c>
      <c r="G29" s="2"/>
      <c r="H29" s="7">
        <v>102.44</v>
      </c>
      <c r="I29" s="2"/>
      <c r="J29" s="6">
        <f t="shared" si="13"/>
        <v>2.9089876473093849E-3</v>
      </c>
      <c r="K29" s="2"/>
      <c r="L29" s="7">
        <f t="shared" si="14"/>
        <v>59.539999999999992</v>
      </c>
      <c r="M29" s="2"/>
      <c r="N29" s="6">
        <f t="shared" si="15"/>
        <v>0.58121827411167504</v>
      </c>
      <c r="O29" s="11"/>
      <c r="P29" s="7">
        <v>298.5</v>
      </c>
      <c r="Q29" s="2"/>
      <c r="R29" s="6">
        <f t="shared" si="16"/>
        <v>5.8242822815967321E-3</v>
      </c>
      <c r="S29" s="2"/>
      <c r="T29" s="7">
        <v>241.63</v>
      </c>
      <c r="U29" s="2"/>
      <c r="V29" s="6">
        <f t="shared" si="17"/>
        <v>4.6394655446288626E-3</v>
      </c>
      <c r="W29" s="2"/>
      <c r="X29" s="7">
        <f t="shared" si="18"/>
        <v>56.870000000000005</v>
      </c>
      <c r="Y29" s="2"/>
      <c r="Z29" s="6">
        <f t="shared" si="19"/>
        <v>0.23535984770103052</v>
      </c>
    </row>
    <row r="30" spans="1:26" s="24" customFormat="1" hidden="1" outlineLevel="2" x14ac:dyDescent="0.25">
      <c r="A30" s="29"/>
      <c r="B30" s="11" t="str">
        <f>CONCATENATE("          ", "6113", " - ", "GROUP INSURANCE")</f>
        <v xml:space="preserve">          6113 - GROUP INSURANCE</v>
      </c>
      <c r="C30" s="11"/>
      <c r="D30" s="7">
        <v>2019.97</v>
      </c>
      <c r="E30" s="2"/>
      <c r="F30" s="6">
        <f t="shared" si="12"/>
        <v>6.3760371078244921E-2</v>
      </c>
      <c r="G30" s="2"/>
      <c r="H30" s="7">
        <v>2019.97</v>
      </c>
      <c r="I30" s="2"/>
      <c r="J30" s="6">
        <f t="shared" si="13"/>
        <v>5.7361067726820959E-2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>
        <v>4039.94</v>
      </c>
      <c r="Q30" s="2"/>
      <c r="R30" s="6">
        <f t="shared" si="16"/>
        <v>7.882663638430118E-2</v>
      </c>
      <c r="S30" s="2"/>
      <c r="T30" s="7">
        <v>2769.41</v>
      </c>
      <c r="U30" s="2"/>
      <c r="V30" s="6">
        <f t="shared" si="17"/>
        <v>5.3174615213138349E-2</v>
      </c>
      <c r="W30" s="2"/>
      <c r="X30" s="7">
        <f t="shared" si="18"/>
        <v>1270.5300000000002</v>
      </c>
      <c r="Y30" s="2"/>
      <c r="Z30" s="6">
        <f t="shared" si="19"/>
        <v>0.45877280720442271</v>
      </c>
    </row>
    <row r="31" spans="1:26" s="24" customFormat="1" hidden="1" outlineLevel="2" x14ac:dyDescent="0.25">
      <c r="A31" s="29"/>
      <c r="B31" s="11" t="str">
        <f>CONCATENATE("          ", "6114", " - ", "STATE UNEMPLOYMENT INSURANCE")</f>
        <v xml:space="preserve">          6114 - STATE UNEMPLOYMENT INSURANCE</v>
      </c>
      <c r="C31" s="11"/>
      <c r="D31" s="7">
        <v>21.82</v>
      </c>
      <c r="E31" s="2"/>
      <c r="F31" s="6">
        <f t="shared" si="12"/>
        <v>6.8874849474363689E-4</v>
      </c>
      <c r="G31" s="2"/>
      <c r="H31" s="7">
        <v>29.54</v>
      </c>
      <c r="I31" s="2"/>
      <c r="J31" s="6">
        <f t="shared" si="13"/>
        <v>8.3884708220928581E-4</v>
      </c>
      <c r="K31" s="2"/>
      <c r="L31" s="7">
        <f t="shared" si="14"/>
        <v>-7.7199999999999989</v>
      </c>
      <c r="M31" s="2"/>
      <c r="N31" s="6">
        <f t="shared" si="15"/>
        <v>-0.26134055517941773</v>
      </c>
      <c r="O31" s="11"/>
      <c r="P31" s="7">
        <v>40.5</v>
      </c>
      <c r="Q31" s="2"/>
      <c r="R31" s="6">
        <f t="shared" si="16"/>
        <v>7.9022925428699374E-4</v>
      </c>
      <c r="S31" s="2"/>
      <c r="T31" s="7">
        <v>70.069999999999993</v>
      </c>
      <c r="U31" s="2"/>
      <c r="V31" s="6">
        <f t="shared" si="17"/>
        <v>1.34539316604786E-3</v>
      </c>
      <c r="W31" s="2"/>
      <c r="X31" s="7">
        <f t="shared" si="18"/>
        <v>-29.569999999999993</v>
      </c>
      <c r="Y31" s="2"/>
      <c r="Z31" s="6">
        <f t="shared" si="19"/>
        <v>-0.42200656486370769</v>
      </c>
    </row>
    <row r="32" spans="1:26" s="24" customFormat="1" hidden="1" outlineLevel="2" x14ac:dyDescent="0.25">
      <c r="A32" s="29"/>
      <c r="B32" s="11" t="str">
        <f>CONCATENATE("          ", "6115", " - ", "P.E.R.S.")</f>
        <v xml:space="preserve">          6115 - P.E.R.S.</v>
      </c>
      <c r="C32" s="11"/>
      <c r="D32" s="7">
        <v>568.97</v>
      </c>
      <c r="E32" s="2"/>
      <c r="F32" s="6">
        <f t="shared" si="12"/>
        <v>1.795954312806082E-2</v>
      </c>
      <c r="G32" s="2"/>
      <c r="H32" s="7">
        <v>508.51</v>
      </c>
      <c r="I32" s="2"/>
      <c r="J32" s="6">
        <f t="shared" si="13"/>
        <v>1.4440153343745562E-2</v>
      </c>
      <c r="K32" s="2"/>
      <c r="L32" s="7">
        <f t="shared" si="14"/>
        <v>60.460000000000036</v>
      </c>
      <c r="M32" s="2"/>
      <c r="N32" s="6">
        <f t="shared" si="15"/>
        <v>0.11889638355194596</v>
      </c>
      <c r="O32" s="11"/>
      <c r="P32" s="7">
        <v>1137.94</v>
      </c>
      <c r="Q32" s="2"/>
      <c r="R32" s="6">
        <f t="shared" si="16"/>
        <v>2.2203295743786215E-2</v>
      </c>
      <c r="S32" s="2"/>
      <c r="T32" s="7">
        <v>1263.8699999999999</v>
      </c>
      <c r="U32" s="2"/>
      <c r="V32" s="6">
        <f t="shared" si="17"/>
        <v>2.4267190820221333E-2</v>
      </c>
      <c r="W32" s="2"/>
      <c r="X32" s="7">
        <f t="shared" si="18"/>
        <v>-125.92999999999984</v>
      </c>
      <c r="Y32" s="2"/>
      <c r="Z32" s="6">
        <f t="shared" si="19"/>
        <v>-9.9638412178467597E-2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407.06</v>
      </c>
      <c r="E33" s="2"/>
      <c r="F33" s="6">
        <f t="shared" si="12"/>
        <v>1.2848852533013053E-2</v>
      </c>
      <c r="G33" s="2"/>
      <c r="H33" s="7">
        <v>395.2</v>
      </c>
      <c r="I33" s="2"/>
      <c r="J33" s="6">
        <f t="shared" si="13"/>
        <v>1.1222490416015902E-2</v>
      </c>
      <c r="K33" s="2"/>
      <c r="L33" s="7">
        <f t="shared" si="14"/>
        <v>11.860000000000014</v>
      </c>
      <c r="M33" s="2"/>
      <c r="N33" s="6">
        <f t="shared" si="15"/>
        <v>3.0010121457489915E-2</v>
      </c>
      <c r="O33" s="11"/>
      <c r="P33" s="7">
        <v>1123.01</v>
      </c>
      <c r="Q33" s="2"/>
      <c r="R33" s="6">
        <f t="shared" si="16"/>
        <v>2.1911984070539181E-2</v>
      </c>
      <c r="S33" s="2"/>
      <c r="T33" s="7">
        <v>1030.18</v>
      </c>
      <c r="U33" s="2"/>
      <c r="V33" s="6">
        <f t="shared" si="17"/>
        <v>1.9780178846855779E-2</v>
      </c>
      <c r="W33" s="2"/>
      <c r="X33" s="7">
        <f t="shared" si="18"/>
        <v>92.829999999999927</v>
      </c>
      <c r="Y33" s="2"/>
      <c r="Z33" s="6">
        <f t="shared" si="19"/>
        <v>9.0110466132132166E-2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256.76</v>
      </c>
      <c r="E34" s="2"/>
      <c r="F34" s="6">
        <f t="shared" si="12"/>
        <v>8.1046316915846101E-3</v>
      </c>
      <c r="G34" s="2"/>
      <c r="H34" s="7">
        <v>249.28</v>
      </c>
      <c r="I34" s="2"/>
      <c r="J34" s="6">
        <f t="shared" si="13"/>
        <v>7.078801647025415E-3</v>
      </c>
      <c r="K34" s="2"/>
      <c r="L34" s="7">
        <f t="shared" si="14"/>
        <v>7.4799999999999898</v>
      </c>
      <c r="M34" s="2"/>
      <c r="N34" s="6">
        <f t="shared" si="15"/>
        <v>3.0006418485237444E-2</v>
      </c>
      <c r="O34" s="11"/>
      <c r="P34" s="7">
        <v>917.94</v>
      </c>
      <c r="Q34" s="2"/>
      <c r="R34" s="6">
        <f t="shared" si="16"/>
        <v>1.7910692387165507E-2</v>
      </c>
      <c r="S34" s="2"/>
      <c r="T34" s="7">
        <v>828.29</v>
      </c>
      <c r="U34" s="2"/>
      <c r="V34" s="6">
        <f t="shared" si="17"/>
        <v>1.5903749186610274E-2</v>
      </c>
      <c r="W34" s="2"/>
      <c r="X34" s="7">
        <f t="shared" si="18"/>
        <v>89.650000000000091</v>
      </c>
      <c r="Y34" s="2"/>
      <c r="Z34" s="6">
        <f t="shared" si="19"/>
        <v>0.10823503845271595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7">
        <v>150</v>
      </c>
      <c r="E35" s="2"/>
      <c r="F35" s="6">
        <f t="shared" si="12"/>
        <v>4.7347513387509411E-3</v>
      </c>
      <c r="G35" s="2"/>
      <c r="H35" s="7">
        <v>148.94</v>
      </c>
      <c r="I35" s="2"/>
      <c r="J35" s="6">
        <f t="shared" si="13"/>
        <v>4.2294476785460743E-3</v>
      </c>
      <c r="K35" s="2"/>
      <c r="L35" s="7">
        <f t="shared" si="14"/>
        <v>1.0600000000000023</v>
      </c>
      <c r="M35" s="2"/>
      <c r="N35" s="6">
        <f t="shared" si="15"/>
        <v>7.1169598496038829E-3</v>
      </c>
      <c r="O35" s="11"/>
      <c r="P35" s="7">
        <v>300</v>
      </c>
      <c r="Q35" s="2"/>
      <c r="R35" s="6">
        <f t="shared" si="16"/>
        <v>5.8535500317555096E-3</v>
      </c>
      <c r="S35" s="2"/>
      <c r="T35" s="7">
        <v>298.94</v>
      </c>
      <c r="U35" s="2"/>
      <c r="V35" s="6">
        <f t="shared" si="17"/>
        <v>5.7398577573618851E-3</v>
      </c>
      <c r="W35" s="2"/>
      <c r="X35" s="7">
        <f t="shared" si="18"/>
        <v>1.0600000000000023</v>
      </c>
      <c r="Y35" s="2"/>
      <c r="Z35" s="6">
        <f t="shared" si="19"/>
        <v>3.5458620458955052E-3</v>
      </c>
    </row>
    <row r="36" spans="1:26" s="27" customFormat="1" outlineLevel="1" collapsed="1" x14ac:dyDescent="0.25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10231.36</v>
      </c>
      <c r="E36" s="1"/>
      <c r="F36" s="5">
        <f t="shared" ref="F36:F41" si="20">IF(D$12=0,0,D36/D$12)</f>
        <v>0.32295296971495219</v>
      </c>
      <c r="G36" s="1"/>
      <c r="H36" s="1">
        <f>SUM(OSRRefH22_1x_0)</f>
        <v>13500.579999999998</v>
      </c>
      <c r="I36" s="1"/>
      <c r="J36" s="5">
        <f t="shared" ref="J36:J41" si="21">IF(H$12=0,0,H36/H$12)</f>
        <v>0.38337583416157883</v>
      </c>
      <c r="K36" s="1"/>
      <c r="L36" s="1">
        <f t="shared" ref="L36:L41" si="22">+D36-H36</f>
        <v>-3269.2199999999975</v>
      </c>
      <c r="M36" s="1"/>
      <c r="N36" s="5">
        <f t="shared" ref="N36:N41" si="23">IF(H36=0,0,L36/H36)</f>
        <v>-0.24215404078935854</v>
      </c>
      <c r="O36" s="14"/>
      <c r="P36" s="1">
        <f>SUM(OSRRefP22_1x_0)</f>
        <v>19237.060000000001</v>
      </c>
      <c r="Q36" s="1"/>
      <c r="R36" s="5">
        <f t="shared" ref="R36:R41" si="24">IF(P$12=0,0,P36/P$12)</f>
        <v>0.37535031057960883</v>
      </c>
      <c r="S36" s="1"/>
      <c r="T36" s="1">
        <f>SUM(OSRRefT22_1x_0)</f>
        <v>26626.170000000002</v>
      </c>
      <c r="U36" s="1"/>
      <c r="V36" s="5">
        <f t="shared" ref="V36:V41" si="25">IF(T$12=0,0,T36/T$12)</f>
        <v>0.51124114679646859</v>
      </c>
      <c r="W36" s="1"/>
      <c r="X36" s="1">
        <f t="shared" ref="X36:X41" si="26">+P36-T36</f>
        <v>-7389.1100000000006</v>
      </c>
      <c r="Y36" s="1"/>
      <c r="Z36" s="5">
        <f t="shared" ref="Z36:Z41" si="27">IF(T36=0,0,X36/T36)</f>
        <v>-0.27751306327571706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5566.66</v>
      </c>
      <c r="E37" s="2"/>
      <c r="F37" s="6">
        <f t="shared" si="20"/>
        <v>0.17571167258247541</v>
      </c>
      <c r="G37" s="2"/>
      <c r="H37" s="7">
        <v>4965.3999999999996</v>
      </c>
      <c r="I37" s="2"/>
      <c r="J37" s="6">
        <f t="shared" si="21"/>
        <v>0.1410024137441431</v>
      </c>
      <c r="K37" s="2"/>
      <c r="L37" s="7">
        <f t="shared" si="22"/>
        <v>601.26000000000022</v>
      </c>
      <c r="M37" s="2"/>
      <c r="N37" s="6">
        <f t="shared" si="23"/>
        <v>0.12108994240141786</v>
      </c>
      <c r="O37" s="11"/>
      <c r="P37" s="7">
        <v>11794.7</v>
      </c>
      <c r="Q37" s="2"/>
      <c r="R37" s="6">
        <f t="shared" si="24"/>
        <v>0.2301362218651557</v>
      </c>
      <c r="S37" s="2"/>
      <c r="T37" s="7">
        <v>11180.46</v>
      </c>
      <c r="U37" s="2"/>
      <c r="V37" s="6">
        <f t="shared" si="25"/>
        <v>0.21467267699830822</v>
      </c>
      <c r="W37" s="2"/>
      <c r="X37" s="7">
        <f t="shared" si="26"/>
        <v>614.2400000000016</v>
      </c>
      <c r="Y37" s="2"/>
      <c r="Z37" s="6">
        <f t="shared" si="27"/>
        <v>5.4938705563098628E-2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7">
        <v>158.62</v>
      </c>
      <c r="E38" s="2"/>
      <c r="F38" s="6">
        <f t="shared" si="20"/>
        <v>5.0068417156844949E-3</v>
      </c>
      <c r="G38" s="2"/>
      <c r="H38" s="7">
        <v>5272.24</v>
      </c>
      <c r="I38" s="2"/>
      <c r="J38" s="6">
        <f t="shared" si="21"/>
        <v>0.14971574613091013</v>
      </c>
      <c r="K38" s="2"/>
      <c r="L38" s="7">
        <f t="shared" si="22"/>
        <v>-5113.62</v>
      </c>
      <c r="M38" s="2"/>
      <c r="N38" s="6">
        <f t="shared" si="23"/>
        <v>-0.96991411620108348</v>
      </c>
      <c r="O38" s="11"/>
      <c r="P38" s="7">
        <v>158.62</v>
      </c>
      <c r="Q38" s="2"/>
      <c r="R38" s="6">
        <f t="shared" si="24"/>
        <v>3.0949670201235297E-3</v>
      </c>
      <c r="S38" s="2"/>
      <c r="T38" s="7">
        <v>9907.27</v>
      </c>
      <c r="U38" s="2"/>
      <c r="V38" s="6">
        <f t="shared" si="25"/>
        <v>0.19022653563851838</v>
      </c>
      <c r="W38" s="2"/>
      <c r="X38" s="7">
        <f t="shared" si="26"/>
        <v>-9748.65</v>
      </c>
      <c r="Y38" s="2"/>
      <c r="Z38" s="6">
        <f t="shared" si="27"/>
        <v>-0.98398953495766228</v>
      </c>
    </row>
    <row r="39" spans="1:26" s="24" customFormat="1" hidden="1" outlineLevel="2" x14ac:dyDescent="0.25">
      <c r="A39" s="29"/>
      <c r="B39" s="11" t="str">
        <f>CONCATENATE("          ", "6006", " - ", "TEMPORARY PART TIME")</f>
        <v xml:space="preserve">          6006 - TEMPORARY PART TIME</v>
      </c>
      <c r="C39" s="11"/>
      <c r="D39" s="7">
        <v>156.19</v>
      </c>
      <c r="E39" s="2"/>
      <c r="F39" s="6">
        <f t="shared" si="20"/>
        <v>4.9301387439967294E-3</v>
      </c>
      <c r="G39" s="2"/>
      <c r="H39" s="7"/>
      <c r="I39" s="2"/>
      <c r="J39" s="6">
        <f t="shared" si="21"/>
        <v>0</v>
      </c>
      <c r="K39" s="2"/>
      <c r="L39" s="7">
        <f t="shared" si="22"/>
        <v>156.19</v>
      </c>
      <c r="M39" s="2"/>
      <c r="N39" s="6">
        <f t="shared" si="23"/>
        <v>0</v>
      </c>
      <c r="O39" s="11"/>
      <c r="P39" s="7">
        <v>156.19</v>
      </c>
      <c r="Q39" s="2"/>
      <c r="R39" s="6">
        <f t="shared" si="24"/>
        <v>3.04755326486631E-3</v>
      </c>
      <c r="S39" s="2"/>
      <c r="T39" s="7"/>
      <c r="U39" s="2"/>
      <c r="V39" s="6">
        <f t="shared" si="25"/>
        <v>0</v>
      </c>
      <c r="W39" s="2"/>
      <c r="X39" s="7">
        <f t="shared" si="26"/>
        <v>156.19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7">
        <v>2724.26</v>
      </c>
      <c r="E40" s="2"/>
      <c r="F40" s="6">
        <f t="shared" si="20"/>
        <v>8.5991291214037591E-2</v>
      </c>
      <c r="G40" s="2"/>
      <c r="H40" s="7">
        <v>1999.81</v>
      </c>
      <c r="I40" s="2"/>
      <c r="J40" s="6">
        <f t="shared" si="21"/>
        <v>5.678858441005253E-2</v>
      </c>
      <c r="K40" s="2"/>
      <c r="L40" s="7">
        <f t="shared" si="22"/>
        <v>724.45000000000027</v>
      </c>
      <c r="M40" s="2"/>
      <c r="N40" s="6">
        <f t="shared" si="23"/>
        <v>0.36225941464439138</v>
      </c>
      <c r="O40" s="11"/>
      <c r="P40" s="7">
        <v>3817.32</v>
      </c>
      <c r="Q40" s="2"/>
      <c r="R40" s="6">
        <f t="shared" si="24"/>
        <v>7.44829120240698E-2</v>
      </c>
      <c r="S40" s="2"/>
      <c r="T40" s="7">
        <v>3452.81</v>
      </c>
      <c r="U40" s="2"/>
      <c r="V40" s="6">
        <f t="shared" si="25"/>
        <v>6.6296374734718305E-2</v>
      </c>
      <c r="W40" s="2"/>
      <c r="X40" s="7">
        <f t="shared" si="26"/>
        <v>364.51000000000022</v>
      </c>
      <c r="Y40" s="2"/>
      <c r="Z40" s="6">
        <f t="shared" si="27"/>
        <v>0.10556908720723128</v>
      </c>
    </row>
    <row r="41" spans="1:26" s="24" customFormat="1" hidden="1" outlineLevel="2" x14ac:dyDescent="0.2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7">
        <v>1625.63</v>
      </c>
      <c r="E41" s="2"/>
      <c r="F41" s="6">
        <f t="shared" si="20"/>
        <v>5.1313025458757947E-2</v>
      </c>
      <c r="G41" s="2"/>
      <c r="H41" s="7">
        <v>1263.1300000000001</v>
      </c>
      <c r="I41" s="2"/>
      <c r="J41" s="6">
        <f t="shared" si="21"/>
        <v>3.5869089876473095E-2</v>
      </c>
      <c r="K41" s="2"/>
      <c r="L41" s="7">
        <f t="shared" si="22"/>
        <v>362.5</v>
      </c>
      <c r="M41" s="2"/>
      <c r="N41" s="6">
        <f t="shared" si="23"/>
        <v>0.28698550426321912</v>
      </c>
      <c r="O41" s="11"/>
      <c r="P41" s="7">
        <v>3310.23</v>
      </c>
      <c r="Q41" s="2"/>
      <c r="R41" s="6">
        <f t="shared" si="24"/>
        <v>6.4588656405393463E-2</v>
      </c>
      <c r="S41" s="2"/>
      <c r="T41" s="7">
        <v>2085.63</v>
      </c>
      <c r="U41" s="2"/>
      <c r="V41" s="6">
        <f t="shared" si="25"/>
        <v>4.0045559424923625E-2</v>
      </c>
      <c r="W41" s="2"/>
      <c r="X41" s="7">
        <f t="shared" si="26"/>
        <v>1224.5999999999999</v>
      </c>
      <c r="Y41" s="2"/>
      <c r="Z41" s="6">
        <f t="shared" si="27"/>
        <v>0.5871607140288545</v>
      </c>
    </row>
    <row r="42" spans="1:26" s="27" customFormat="1" outlineLevel="1" collapsed="1" x14ac:dyDescent="0.25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52.61</v>
      </c>
      <c r="E42" s="1"/>
      <c r="F42" s="5">
        <f t="shared" ref="F42:F63" si="28">IF(D$12=0,0,D42/D$12)</f>
        <v>1.6606351195445799E-3</v>
      </c>
      <c r="G42" s="1"/>
      <c r="H42" s="1">
        <f>SUM(OSRRefH22_2x_0)</f>
        <v>6</v>
      </c>
      <c r="I42" s="1"/>
      <c r="J42" s="5">
        <f t="shared" ref="J42:J63" si="29">IF(H$12=0,0,H42/H$12)</f>
        <v>1.7038193951441147E-4</v>
      </c>
      <c r="K42" s="1"/>
      <c r="L42" s="1">
        <f t="shared" ref="L42:L63" si="30">+D42-H42</f>
        <v>46.61</v>
      </c>
      <c r="M42" s="1"/>
      <c r="N42" s="5">
        <f t="shared" ref="N42:N63" si="31">IF(H42=0,0,L42/H42)</f>
        <v>7.7683333333333335</v>
      </c>
      <c r="O42" s="14"/>
      <c r="P42" s="1">
        <f>SUM(OSRRefP22_2x_0)</f>
        <v>147.22999999999999</v>
      </c>
      <c r="Q42" s="1"/>
      <c r="R42" s="5">
        <f t="shared" ref="R42:R63" si="32">IF(P$12=0,0,P42/P$12)</f>
        <v>2.872727237251212E-3</v>
      </c>
      <c r="S42" s="1"/>
      <c r="T42" s="1">
        <f>SUM(OSRRefT22_2x_0)</f>
        <v>18</v>
      </c>
      <c r="U42" s="1"/>
      <c r="V42" s="5">
        <f t="shared" ref="V42:V63" si="33">IF(T$12=0,0,T42/T$12)</f>
        <v>3.4561263006795318E-4</v>
      </c>
      <c r="W42" s="1"/>
      <c r="X42" s="1">
        <f t="shared" ref="X42:X63" si="34">+P42-T42</f>
        <v>129.22999999999999</v>
      </c>
      <c r="Y42" s="1"/>
      <c r="Z42" s="5">
        <f t="shared" ref="Z42:Z63" si="35">IF(T42=0,0,X42/T42)</f>
        <v>7.1794444444444441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7">
        <v>52.61</v>
      </c>
      <c r="E43" s="2"/>
      <c r="F43" s="6">
        <f t="shared" si="28"/>
        <v>1.6606351195445799E-3</v>
      </c>
      <c r="G43" s="2"/>
      <c r="H43" s="7">
        <v>6</v>
      </c>
      <c r="I43" s="2"/>
      <c r="J43" s="6">
        <f t="shared" si="29"/>
        <v>1.7038193951441147E-4</v>
      </c>
      <c r="K43" s="2"/>
      <c r="L43" s="7">
        <f t="shared" si="30"/>
        <v>46.61</v>
      </c>
      <c r="M43" s="2"/>
      <c r="N43" s="6">
        <f t="shared" si="31"/>
        <v>7.7683333333333335</v>
      </c>
      <c r="O43" s="11"/>
      <c r="P43" s="7">
        <v>147.22999999999999</v>
      </c>
      <c r="Q43" s="2"/>
      <c r="R43" s="6">
        <f t="shared" si="32"/>
        <v>2.872727237251212E-3</v>
      </c>
      <c r="S43" s="2"/>
      <c r="T43" s="7">
        <v>18</v>
      </c>
      <c r="U43" s="2"/>
      <c r="V43" s="6">
        <f t="shared" si="33"/>
        <v>3.4561263006795318E-4</v>
      </c>
      <c r="W43" s="2"/>
      <c r="X43" s="7">
        <f t="shared" si="34"/>
        <v>129.22999999999999</v>
      </c>
      <c r="Y43" s="2"/>
      <c r="Z43" s="6">
        <f t="shared" si="35"/>
        <v>7.1794444444444441</v>
      </c>
    </row>
    <row r="44" spans="1:26" s="27" customFormat="1" outlineLevel="1" collapsed="1" x14ac:dyDescent="0.25">
      <c r="A44" s="28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-27.84</v>
      </c>
      <c r="E44" s="1"/>
      <c r="F44" s="5">
        <f t="shared" si="28"/>
        <v>-8.7876984847217463E-4</v>
      </c>
      <c r="G44" s="1"/>
      <c r="H44" s="1">
        <f>SUM(OSRRefH22_3x_0)</f>
        <v>-23.86</v>
      </c>
      <c r="I44" s="1"/>
      <c r="J44" s="5">
        <f t="shared" si="29"/>
        <v>-6.7755217946897624E-4</v>
      </c>
      <c r="K44" s="1"/>
      <c r="L44" s="1">
        <f t="shared" si="30"/>
        <v>-3.9800000000000004</v>
      </c>
      <c r="M44" s="1"/>
      <c r="N44" s="5">
        <f t="shared" si="31"/>
        <v>0.16680637049455158</v>
      </c>
      <c r="O44" s="14"/>
      <c r="P44" s="1">
        <f>SUM(OSRRefP22_3x_0)</f>
        <v>-12.73</v>
      </c>
      <c r="Q44" s="1"/>
      <c r="R44" s="5">
        <f t="shared" si="32"/>
        <v>-2.4838563968082545E-4</v>
      </c>
      <c r="S44" s="1"/>
      <c r="T44" s="1">
        <f>SUM(OSRRefT22_3x_0)</f>
        <v>-30.82</v>
      </c>
      <c r="U44" s="1"/>
      <c r="V44" s="5">
        <f t="shared" si="33"/>
        <v>-5.9176562548301766E-4</v>
      </c>
      <c r="W44" s="1"/>
      <c r="X44" s="1">
        <f t="shared" si="34"/>
        <v>18.09</v>
      </c>
      <c r="Y44" s="1"/>
      <c r="Z44" s="5">
        <f t="shared" si="35"/>
        <v>-0.58695652173913038</v>
      </c>
    </row>
    <row r="45" spans="1:26" s="24" customFormat="1" hidden="1" outlineLevel="2" x14ac:dyDescent="0.25">
      <c r="A45" s="29"/>
      <c r="B45" s="11" t="str">
        <f>CONCATENATE("          ", "6272", " - ", "CASH (OVER/SHORT)")</f>
        <v xml:space="preserve">          6272 - CASH (OVER/SHORT)</v>
      </c>
      <c r="C45" s="11"/>
      <c r="D45" s="7">
        <v>-27.84</v>
      </c>
      <c r="E45" s="2"/>
      <c r="F45" s="6">
        <f t="shared" si="28"/>
        <v>-8.7876984847217463E-4</v>
      </c>
      <c r="G45" s="2"/>
      <c r="H45" s="7">
        <v>-23.86</v>
      </c>
      <c r="I45" s="2"/>
      <c r="J45" s="6">
        <f t="shared" si="29"/>
        <v>-6.7755217946897624E-4</v>
      </c>
      <c r="K45" s="2"/>
      <c r="L45" s="7">
        <f t="shared" si="30"/>
        <v>-3.9800000000000004</v>
      </c>
      <c r="M45" s="2"/>
      <c r="N45" s="6">
        <f t="shared" si="31"/>
        <v>0.16680637049455158</v>
      </c>
      <c r="O45" s="11"/>
      <c r="P45" s="7">
        <v>-12.73</v>
      </c>
      <c r="Q45" s="2"/>
      <c r="R45" s="6">
        <f t="shared" si="32"/>
        <v>-2.4838563968082545E-4</v>
      </c>
      <c r="S45" s="2"/>
      <c r="T45" s="7">
        <v>-30.82</v>
      </c>
      <c r="U45" s="2"/>
      <c r="V45" s="6">
        <f t="shared" si="33"/>
        <v>-5.9176562548301766E-4</v>
      </c>
      <c r="W45" s="2"/>
      <c r="X45" s="7">
        <f t="shared" si="34"/>
        <v>18.09</v>
      </c>
      <c r="Y45" s="2"/>
      <c r="Z45" s="6">
        <f t="shared" si="35"/>
        <v>-0.58695652173913038</v>
      </c>
    </row>
    <row r="46" spans="1:26" s="27" customFormat="1" outlineLevel="1" collapsed="1" x14ac:dyDescent="0.25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1087.81</v>
      </c>
      <c r="E46" s="1"/>
      <c r="F46" s="5">
        <f t="shared" si="28"/>
        <v>3.433673235871107E-2</v>
      </c>
      <c r="G46" s="1"/>
      <c r="H46" s="1">
        <f>SUM(OSRRefH22_4x_0)</f>
        <v>1087.73</v>
      </c>
      <c r="I46" s="1"/>
      <c r="J46" s="5">
        <f t="shared" si="29"/>
        <v>3.0888257844668466E-2</v>
      </c>
      <c r="K46" s="1"/>
      <c r="L46" s="1">
        <f t="shared" si="30"/>
        <v>7.999999999992724E-2</v>
      </c>
      <c r="M46" s="1"/>
      <c r="N46" s="5">
        <f t="shared" si="31"/>
        <v>7.3547663482598837E-5</v>
      </c>
      <c r="O46" s="14"/>
      <c r="P46" s="1">
        <f>SUM(OSRRefP22_4x_0)</f>
        <v>1558.9</v>
      </c>
      <c r="Q46" s="1"/>
      <c r="R46" s="5">
        <f t="shared" si="32"/>
        <v>3.0416997148345545E-2</v>
      </c>
      <c r="S46" s="1"/>
      <c r="T46" s="1">
        <f>SUM(OSRRefT22_4x_0)</f>
        <v>1459.97</v>
      </c>
      <c r="U46" s="1"/>
      <c r="V46" s="5">
        <f t="shared" si="33"/>
        <v>2.8032448417794981E-2</v>
      </c>
      <c r="W46" s="1"/>
      <c r="X46" s="1">
        <f t="shared" si="34"/>
        <v>98.930000000000064</v>
      </c>
      <c r="Y46" s="1"/>
      <c r="Z46" s="5">
        <f t="shared" si="35"/>
        <v>6.7761666335609677E-2</v>
      </c>
    </row>
    <row r="47" spans="1:26" s="24" customFormat="1" hidden="1" outlineLevel="2" x14ac:dyDescent="0.25">
      <c r="A47" s="29"/>
      <c r="B47" s="11" t="str">
        <f>CONCATENATE("          ", "6381", " - ", "BANK/CREDIT CARD FEES")</f>
        <v xml:space="preserve">          6381 - BANK/CREDIT CARD FEES</v>
      </c>
      <c r="C47" s="11"/>
      <c r="D47" s="7">
        <v>1087.81</v>
      </c>
      <c r="E47" s="2"/>
      <c r="F47" s="6">
        <f t="shared" si="28"/>
        <v>3.433673235871107E-2</v>
      </c>
      <c r="G47" s="2"/>
      <c r="H47" s="7">
        <v>1087.73</v>
      </c>
      <c r="I47" s="2"/>
      <c r="J47" s="6">
        <f t="shared" si="29"/>
        <v>3.0888257844668466E-2</v>
      </c>
      <c r="K47" s="2"/>
      <c r="L47" s="7">
        <f t="shared" si="30"/>
        <v>7.999999999992724E-2</v>
      </c>
      <c r="M47" s="2"/>
      <c r="N47" s="6">
        <f t="shared" si="31"/>
        <v>7.3547663482598837E-5</v>
      </c>
      <c r="O47" s="11"/>
      <c r="P47" s="7">
        <v>1558.9</v>
      </c>
      <c r="Q47" s="2"/>
      <c r="R47" s="6">
        <f t="shared" si="32"/>
        <v>3.0416997148345545E-2</v>
      </c>
      <c r="S47" s="2"/>
      <c r="T47" s="7">
        <v>1459.97</v>
      </c>
      <c r="U47" s="2"/>
      <c r="V47" s="6">
        <f t="shared" si="33"/>
        <v>2.8032448417794981E-2</v>
      </c>
      <c r="W47" s="2"/>
      <c r="X47" s="7">
        <f t="shared" si="34"/>
        <v>98.930000000000064</v>
      </c>
      <c r="Y47" s="2"/>
      <c r="Z47" s="6">
        <f t="shared" si="35"/>
        <v>6.7761666335609677E-2</v>
      </c>
    </row>
    <row r="48" spans="1:26" s="27" customFormat="1" outlineLevel="1" collapsed="1" x14ac:dyDescent="0.25">
      <c r="A48" s="28"/>
      <c r="B48" s="14" t="str">
        <f>CONCATENATE("     ","Discounts and Markdowns                           ")</f>
        <v xml:space="preserve">     Discounts and Markdowns                           </v>
      </c>
      <c r="C48" s="14"/>
      <c r="D48" s="1">
        <f>SUM(OSRRefD22_5x_0)</f>
        <v>6.18</v>
      </c>
      <c r="E48" s="1"/>
      <c r="F48" s="5">
        <f t="shared" si="28"/>
        <v>1.9507175515653876E-4</v>
      </c>
      <c r="G48" s="1"/>
      <c r="H48" s="1">
        <f>SUM(OSRRefH22_5x_0)</f>
        <v>12.31</v>
      </c>
      <c r="I48" s="1"/>
      <c r="J48" s="5">
        <f t="shared" si="29"/>
        <v>3.4956694590373424E-4</v>
      </c>
      <c r="K48" s="1"/>
      <c r="L48" s="1">
        <f t="shared" si="30"/>
        <v>-6.1300000000000008</v>
      </c>
      <c r="M48" s="1"/>
      <c r="N48" s="5">
        <f t="shared" si="31"/>
        <v>-0.49796913078797728</v>
      </c>
      <c r="O48" s="14"/>
      <c r="P48" s="1">
        <f>SUM(OSRRefP22_5x_0)</f>
        <v>20.09</v>
      </c>
      <c r="Q48" s="1"/>
      <c r="R48" s="5">
        <f t="shared" si="32"/>
        <v>3.9199273379322727E-4</v>
      </c>
      <c r="S48" s="1"/>
      <c r="T48" s="1">
        <f>SUM(OSRRefT22_5x_0)</f>
        <v>22.36</v>
      </c>
      <c r="U48" s="1"/>
      <c r="V48" s="5">
        <f t="shared" si="33"/>
        <v>4.2932768935107966E-4</v>
      </c>
      <c r="W48" s="1"/>
      <c r="X48" s="1">
        <f t="shared" si="34"/>
        <v>-2.2699999999999996</v>
      </c>
      <c r="Y48" s="1"/>
      <c r="Z48" s="5">
        <f t="shared" si="35"/>
        <v>-0.10152057245080499</v>
      </c>
    </row>
    <row r="49" spans="1:26" s="24" customFormat="1" hidden="1" outlineLevel="2" x14ac:dyDescent="0.25">
      <c r="A49" s="29"/>
      <c r="B49" s="11" t="str">
        <f>CONCATENATE("          ", "6382", " - ", "DISCOUNTS/MARK DOWNS")</f>
        <v xml:space="preserve">          6382 - DISCOUNTS/MARK DOWNS</v>
      </c>
      <c r="C49" s="11"/>
      <c r="D49" s="7">
        <v>6.18</v>
      </c>
      <c r="E49" s="2"/>
      <c r="F49" s="6">
        <f t="shared" si="28"/>
        <v>1.9507175515653876E-4</v>
      </c>
      <c r="G49" s="2"/>
      <c r="H49" s="7">
        <v>12.31</v>
      </c>
      <c r="I49" s="2"/>
      <c r="J49" s="6">
        <f t="shared" si="29"/>
        <v>3.4956694590373424E-4</v>
      </c>
      <c r="K49" s="2"/>
      <c r="L49" s="7">
        <f t="shared" si="30"/>
        <v>-6.1300000000000008</v>
      </c>
      <c r="M49" s="2"/>
      <c r="N49" s="6">
        <f t="shared" si="31"/>
        <v>-0.49796913078797728</v>
      </c>
      <c r="O49" s="11"/>
      <c r="P49" s="7">
        <v>20.09</v>
      </c>
      <c r="Q49" s="2"/>
      <c r="R49" s="6">
        <f t="shared" si="32"/>
        <v>3.9199273379322727E-4</v>
      </c>
      <c r="S49" s="2"/>
      <c r="T49" s="7">
        <v>22.36</v>
      </c>
      <c r="U49" s="2"/>
      <c r="V49" s="6">
        <f t="shared" si="33"/>
        <v>4.2932768935107966E-4</v>
      </c>
      <c r="W49" s="2"/>
      <c r="X49" s="7">
        <f t="shared" si="34"/>
        <v>-2.2699999999999996</v>
      </c>
      <c r="Y49" s="2"/>
      <c r="Z49" s="6">
        <f t="shared" si="35"/>
        <v>-0.10152057245080499</v>
      </c>
    </row>
    <row r="50" spans="1:26" s="27" customFormat="1" outlineLevel="1" collapsed="1" x14ac:dyDescent="0.25">
      <c r="A50" s="28"/>
      <c r="B50" s="14" t="str">
        <f>CONCATENATE("     ","Freight out/Postage                               ")</f>
        <v xml:space="preserve">     Freight out/Postage                               </v>
      </c>
      <c r="C50" s="14"/>
      <c r="D50" s="1">
        <f>SUM(OSRRefD22_6x_0)</f>
        <v>44.96</v>
      </c>
      <c r="E50" s="1"/>
      <c r="F50" s="5">
        <f t="shared" si="28"/>
        <v>1.419162801268282E-3</v>
      </c>
      <c r="G50" s="1"/>
      <c r="H50" s="1">
        <f>SUM(OSRRefH22_6x_0)</f>
        <v>7.61</v>
      </c>
      <c r="I50" s="1"/>
      <c r="J50" s="5">
        <f t="shared" si="29"/>
        <v>2.1610109328411189E-4</v>
      </c>
      <c r="K50" s="1"/>
      <c r="L50" s="1">
        <f t="shared" si="30"/>
        <v>37.35</v>
      </c>
      <c r="M50" s="1"/>
      <c r="N50" s="5">
        <f t="shared" si="31"/>
        <v>4.9080157687253614</v>
      </c>
      <c r="O50" s="14"/>
      <c r="P50" s="1">
        <f>SUM(OSRRefP22_6x_0)</f>
        <v>116.65</v>
      </c>
      <c r="Q50" s="1"/>
      <c r="R50" s="5">
        <f t="shared" si="32"/>
        <v>2.2760553706809338E-3</v>
      </c>
      <c r="S50" s="1"/>
      <c r="T50" s="1">
        <f>SUM(OSRRefT22_6x_0)</f>
        <v>73.13</v>
      </c>
      <c r="U50" s="1"/>
      <c r="V50" s="5">
        <f t="shared" si="33"/>
        <v>1.4041473131594119E-3</v>
      </c>
      <c r="W50" s="1"/>
      <c r="X50" s="1">
        <f t="shared" si="34"/>
        <v>43.52000000000001</v>
      </c>
      <c r="Y50" s="1"/>
      <c r="Z50" s="5">
        <f t="shared" si="35"/>
        <v>0.59510460823191591</v>
      </c>
    </row>
    <row r="51" spans="1:26" s="24" customFormat="1" hidden="1" outlineLevel="2" x14ac:dyDescent="0.25">
      <c r="A51" s="29"/>
      <c r="B51" s="11" t="str">
        <f>CONCATENATE("          ", "6305", " - ", "FREIGHT OUT")</f>
        <v xml:space="preserve">          6305 - FREIGHT OUT</v>
      </c>
      <c r="C51" s="11"/>
      <c r="D51" s="7">
        <v>44.96</v>
      </c>
      <c r="E51" s="2"/>
      <c r="F51" s="6">
        <f t="shared" si="28"/>
        <v>1.419162801268282E-3</v>
      </c>
      <c r="G51" s="2"/>
      <c r="H51" s="7">
        <v>7.61</v>
      </c>
      <c r="I51" s="2"/>
      <c r="J51" s="6">
        <f t="shared" si="29"/>
        <v>2.1610109328411189E-4</v>
      </c>
      <c r="K51" s="2"/>
      <c r="L51" s="7">
        <f t="shared" si="30"/>
        <v>37.35</v>
      </c>
      <c r="M51" s="2"/>
      <c r="N51" s="6">
        <f t="shared" si="31"/>
        <v>4.9080157687253614</v>
      </c>
      <c r="O51" s="11"/>
      <c r="P51" s="7">
        <v>116.65</v>
      </c>
      <c r="Q51" s="2"/>
      <c r="R51" s="6">
        <f t="shared" si="32"/>
        <v>2.2760553706809338E-3</v>
      </c>
      <c r="S51" s="2"/>
      <c r="T51" s="7">
        <v>73.13</v>
      </c>
      <c r="U51" s="2"/>
      <c r="V51" s="6">
        <f t="shared" si="33"/>
        <v>1.4041473131594119E-3</v>
      </c>
      <c r="W51" s="2"/>
      <c r="X51" s="7">
        <f t="shared" si="34"/>
        <v>43.52000000000001</v>
      </c>
      <c r="Y51" s="2"/>
      <c r="Z51" s="6">
        <f t="shared" si="35"/>
        <v>0.59510460823191591</v>
      </c>
    </row>
    <row r="52" spans="1:26" s="27" customFormat="1" outlineLevel="1" collapsed="1" x14ac:dyDescent="0.25">
      <c r="A52" s="28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59.05</v>
      </c>
      <c r="E52" s="1"/>
      <c r="F52" s="5">
        <f t="shared" si="28"/>
        <v>1.8639137770216203E-3</v>
      </c>
      <c r="G52" s="1"/>
      <c r="H52" s="1">
        <f>SUM(OSRRefH22_7x_0)</f>
        <v>28.65</v>
      </c>
      <c r="I52" s="1"/>
      <c r="J52" s="5">
        <f t="shared" si="29"/>
        <v>8.1357376118131475E-4</v>
      </c>
      <c r="K52" s="1"/>
      <c r="L52" s="1">
        <f t="shared" si="30"/>
        <v>30.4</v>
      </c>
      <c r="M52" s="1"/>
      <c r="N52" s="5">
        <f t="shared" si="31"/>
        <v>1.0610820244328099</v>
      </c>
      <c r="O52" s="14"/>
      <c r="P52" s="1">
        <f>SUM(OSRRefP22_7x_0)</f>
        <v>809.8</v>
      </c>
      <c r="Q52" s="1"/>
      <c r="R52" s="5">
        <f t="shared" si="32"/>
        <v>1.5800682719052037E-2</v>
      </c>
      <c r="S52" s="1"/>
      <c r="T52" s="1">
        <f>SUM(OSRRefT22_7x_0)</f>
        <v>741.8</v>
      </c>
      <c r="U52" s="1"/>
      <c r="V52" s="5">
        <f t="shared" si="33"/>
        <v>1.4243080499133759E-2</v>
      </c>
      <c r="W52" s="1"/>
      <c r="X52" s="1">
        <f t="shared" si="34"/>
        <v>68</v>
      </c>
      <c r="Y52" s="1"/>
      <c r="Z52" s="5">
        <f t="shared" si="35"/>
        <v>9.1668913453761131E-2</v>
      </c>
    </row>
    <row r="53" spans="1:26" s="24" customFormat="1" hidden="1" outlineLevel="2" x14ac:dyDescent="0.25">
      <c r="A53" s="29"/>
      <c r="B53" s="11" t="str">
        <f>CONCATENATE("          ", "6279", " - ", "GENERAL EXPENSE")</f>
        <v xml:space="preserve">          6279 - GENERAL EXPENSE</v>
      </c>
      <c r="C53" s="11"/>
      <c r="D53" s="7">
        <v>59.05</v>
      </c>
      <c r="E53" s="2"/>
      <c r="F53" s="6">
        <f t="shared" si="28"/>
        <v>1.8639137770216203E-3</v>
      </c>
      <c r="G53" s="2"/>
      <c r="H53" s="7">
        <v>28.65</v>
      </c>
      <c r="I53" s="2"/>
      <c r="J53" s="6">
        <f t="shared" si="29"/>
        <v>8.1357376118131475E-4</v>
      </c>
      <c r="K53" s="2"/>
      <c r="L53" s="7">
        <f t="shared" si="30"/>
        <v>30.4</v>
      </c>
      <c r="M53" s="2"/>
      <c r="N53" s="6">
        <f t="shared" si="31"/>
        <v>1.0610820244328099</v>
      </c>
      <c r="O53" s="11"/>
      <c r="P53" s="7">
        <v>809.8</v>
      </c>
      <c r="Q53" s="2"/>
      <c r="R53" s="6">
        <f t="shared" si="32"/>
        <v>1.5800682719052037E-2</v>
      </c>
      <c r="S53" s="2"/>
      <c r="T53" s="7">
        <v>741.8</v>
      </c>
      <c r="U53" s="2"/>
      <c r="V53" s="6">
        <f t="shared" si="33"/>
        <v>1.4243080499133759E-2</v>
      </c>
      <c r="W53" s="2"/>
      <c r="X53" s="7">
        <f t="shared" si="34"/>
        <v>68</v>
      </c>
      <c r="Y53" s="2"/>
      <c r="Z53" s="6">
        <f t="shared" si="35"/>
        <v>9.1668913453761131E-2</v>
      </c>
    </row>
    <row r="54" spans="1:26" s="27" customFormat="1" outlineLevel="1" collapsed="1" x14ac:dyDescent="0.25">
      <c r="A54" s="28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SUM(OSRRefD22_8x_0)</f>
        <v>337.5</v>
      </c>
      <c r="E54" s="1"/>
      <c r="F54" s="5">
        <f t="shared" si="28"/>
        <v>1.0653190512189617E-2</v>
      </c>
      <c r="G54" s="1"/>
      <c r="H54" s="1">
        <f>SUM(OSRRefH22_8x_0)</f>
        <v>235.99</v>
      </c>
      <c r="I54" s="1"/>
      <c r="J54" s="5">
        <f t="shared" si="29"/>
        <v>6.7014056510009941E-3</v>
      </c>
      <c r="K54" s="1"/>
      <c r="L54" s="1">
        <f t="shared" si="30"/>
        <v>101.50999999999999</v>
      </c>
      <c r="M54" s="1"/>
      <c r="N54" s="5">
        <f t="shared" si="31"/>
        <v>0.43014534514174324</v>
      </c>
      <c r="O54" s="14"/>
      <c r="P54" s="1">
        <f>SUM(OSRRefP22_8x_0)</f>
        <v>580.58000000000004</v>
      </c>
      <c r="Q54" s="1"/>
      <c r="R54" s="5">
        <f t="shared" si="32"/>
        <v>1.1328180258122047E-2</v>
      </c>
      <c r="S54" s="1"/>
      <c r="T54" s="1">
        <f>SUM(OSRRefT22_8x_0)</f>
        <v>235.99</v>
      </c>
      <c r="U54" s="1"/>
      <c r="V54" s="5">
        <f t="shared" si="33"/>
        <v>4.5311735872075711E-3</v>
      </c>
      <c r="W54" s="1"/>
      <c r="X54" s="1">
        <f t="shared" si="34"/>
        <v>344.59000000000003</v>
      </c>
      <c r="Y54" s="1"/>
      <c r="Z54" s="5">
        <f t="shared" si="35"/>
        <v>1.4601889910589432</v>
      </c>
    </row>
    <row r="55" spans="1:26" s="24" customFormat="1" hidden="1" outlineLevel="2" x14ac:dyDescent="0.25">
      <c r="A55" s="29"/>
      <c r="B55" s="11" t="str">
        <f>CONCATENATE("          ", "6375", " - ", "OUTSIDE REPAIRS &amp; MAINTENANCE")</f>
        <v xml:space="preserve">          6375 - OUTSIDE REPAIRS &amp; MAINTENANCE</v>
      </c>
      <c r="C55" s="11"/>
      <c r="D55" s="7">
        <v>337.5</v>
      </c>
      <c r="E55" s="2"/>
      <c r="F55" s="6">
        <f t="shared" si="28"/>
        <v>1.0653190512189617E-2</v>
      </c>
      <c r="G55" s="2"/>
      <c r="H55" s="7">
        <v>235.99</v>
      </c>
      <c r="I55" s="2"/>
      <c r="J55" s="6">
        <f t="shared" si="29"/>
        <v>6.7014056510009941E-3</v>
      </c>
      <c r="K55" s="2"/>
      <c r="L55" s="7">
        <f t="shared" si="30"/>
        <v>101.50999999999999</v>
      </c>
      <c r="M55" s="2"/>
      <c r="N55" s="6">
        <f t="shared" si="31"/>
        <v>0.43014534514174324</v>
      </c>
      <c r="O55" s="11"/>
      <c r="P55" s="7">
        <v>580.58000000000004</v>
      </c>
      <c r="Q55" s="2"/>
      <c r="R55" s="6">
        <f t="shared" si="32"/>
        <v>1.1328180258122047E-2</v>
      </c>
      <c r="S55" s="2"/>
      <c r="T55" s="7">
        <v>235.99</v>
      </c>
      <c r="U55" s="2"/>
      <c r="V55" s="6">
        <f t="shared" si="33"/>
        <v>4.5311735872075711E-3</v>
      </c>
      <c r="W55" s="2"/>
      <c r="X55" s="7">
        <f t="shared" si="34"/>
        <v>344.59000000000003</v>
      </c>
      <c r="Y55" s="2"/>
      <c r="Z55" s="6">
        <f t="shared" si="35"/>
        <v>1.4601889910589432</v>
      </c>
    </row>
    <row r="56" spans="1:26" s="27" customFormat="1" outlineLevel="1" collapsed="1" x14ac:dyDescent="0.25">
      <c r="A56" s="28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SUM(OSRRefD22_9x_0)</f>
        <v>162.71</v>
      </c>
      <c r="E56" s="1"/>
      <c r="F56" s="5">
        <f t="shared" si="28"/>
        <v>5.1359426021877711E-3</v>
      </c>
      <c r="G56" s="1"/>
      <c r="H56" s="1">
        <f>SUM(OSRRefH22_9x_0)</f>
        <v>125.08</v>
      </c>
      <c r="I56" s="1"/>
      <c r="J56" s="5">
        <f t="shared" si="29"/>
        <v>3.5518954990770976E-3</v>
      </c>
      <c r="K56" s="1"/>
      <c r="L56" s="1">
        <f t="shared" si="30"/>
        <v>37.63000000000001</v>
      </c>
      <c r="M56" s="1"/>
      <c r="N56" s="5">
        <f t="shared" si="31"/>
        <v>0.30084745762711873</v>
      </c>
      <c r="O56" s="14"/>
      <c r="P56" s="1">
        <f>SUM(OSRRefP22_9x_0)</f>
        <v>319.06</v>
      </c>
      <c r="Q56" s="1"/>
      <c r="R56" s="5">
        <f t="shared" si="32"/>
        <v>6.2254455771063762E-3</v>
      </c>
      <c r="S56" s="1"/>
      <c r="T56" s="1">
        <f>SUM(OSRRefT22_9x_0)</f>
        <v>281.43</v>
      </c>
      <c r="U56" s="1"/>
      <c r="V56" s="5">
        <f t="shared" si="33"/>
        <v>5.4036534711124481E-3</v>
      </c>
      <c r="W56" s="1"/>
      <c r="X56" s="1">
        <f t="shared" si="34"/>
        <v>37.629999999999995</v>
      </c>
      <c r="Y56" s="1"/>
      <c r="Z56" s="5">
        <f t="shared" si="35"/>
        <v>0.13370998116760827</v>
      </c>
    </row>
    <row r="57" spans="1:26" s="24" customFormat="1" hidden="1" outlineLevel="2" x14ac:dyDescent="0.25">
      <c r="A57" s="29"/>
      <c r="B57" s="11" t="str">
        <f>CONCATENATE("          ", "6286", " - ", "LAUNDRY EXPENSE")</f>
        <v xml:space="preserve">          6286 - LAUNDRY EXPENSE</v>
      </c>
      <c r="C57" s="11"/>
      <c r="D57" s="7">
        <v>162.71</v>
      </c>
      <c r="E57" s="2"/>
      <c r="F57" s="6">
        <f t="shared" si="28"/>
        <v>5.1359426021877711E-3</v>
      </c>
      <c r="G57" s="2"/>
      <c r="H57" s="7">
        <v>125.08</v>
      </c>
      <c r="I57" s="2"/>
      <c r="J57" s="6">
        <f t="shared" si="29"/>
        <v>3.5518954990770976E-3</v>
      </c>
      <c r="K57" s="2"/>
      <c r="L57" s="7">
        <f t="shared" si="30"/>
        <v>37.63000000000001</v>
      </c>
      <c r="M57" s="2"/>
      <c r="N57" s="6">
        <f t="shared" si="31"/>
        <v>0.30084745762711873</v>
      </c>
      <c r="O57" s="11"/>
      <c r="P57" s="7">
        <v>319.06</v>
      </c>
      <c r="Q57" s="2"/>
      <c r="R57" s="6">
        <f t="shared" si="32"/>
        <v>6.2254455771063762E-3</v>
      </c>
      <c r="S57" s="2"/>
      <c r="T57" s="7">
        <v>281.43</v>
      </c>
      <c r="U57" s="2"/>
      <c r="V57" s="6">
        <f t="shared" si="33"/>
        <v>5.4036534711124481E-3</v>
      </c>
      <c r="W57" s="2"/>
      <c r="X57" s="7">
        <f t="shared" si="34"/>
        <v>37.629999999999995</v>
      </c>
      <c r="Y57" s="2"/>
      <c r="Z57" s="6">
        <f t="shared" si="35"/>
        <v>0.13370998116760827</v>
      </c>
    </row>
    <row r="58" spans="1:26" s="27" customFormat="1" outlineLevel="1" collapsed="1" x14ac:dyDescent="0.25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SUM(OSRRefD22_10x_0)</f>
        <v>1220.51</v>
      </c>
      <c r="E58" s="1"/>
      <c r="F58" s="5">
        <f t="shared" si="28"/>
        <v>3.8525409043059407E-2</v>
      </c>
      <c r="G58" s="1"/>
      <c r="H58" s="1">
        <f>SUM(OSRRefH22_10x_0)</f>
        <v>1477</v>
      </c>
      <c r="I58" s="1"/>
      <c r="J58" s="5">
        <f t="shared" si="29"/>
        <v>4.1942354110464292E-2</v>
      </c>
      <c r="K58" s="1"/>
      <c r="L58" s="1">
        <f t="shared" si="30"/>
        <v>-256.49</v>
      </c>
      <c r="M58" s="1"/>
      <c r="N58" s="5">
        <f t="shared" si="31"/>
        <v>-0.1736560595802302</v>
      </c>
      <c r="O58" s="14"/>
      <c r="P58" s="1">
        <f>SUM(OSRRefP22_10x_0)</f>
        <v>2346.5699999999997</v>
      </c>
      <c r="Q58" s="1"/>
      <c r="R58" s="5">
        <f t="shared" si="32"/>
        <v>4.5785882993388413E-2</v>
      </c>
      <c r="S58" s="1"/>
      <c r="T58" s="1">
        <f>SUM(OSRRefT22_10x_0)</f>
        <v>993.87</v>
      </c>
      <c r="U58" s="1"/>
      <c r="V58" s="5">
        <f t="shared" si="33"/>
        <v>1.9083001369202036E-2</v>
      </c>
      <c r="W58" s="1"/>
      <c r="X58" s="1">
        <f t="shared" si="34"/>
        <v>1352.6999999999998</v>
      </c>
      <c r="Y58" s="1"/>
      <c r="Z58" s="5">
        <f t="shared" si="35"/>
        <v>1.3610431947840258</v>
      </c>
    </row>
    <row r="59" spans="1:26" s="24" customFormat="1" hidden="1" outlineLevel="2" x14ac:dyDescent="0.25">
      <c r="A59" s="29"/>
      <c r="B59" s="11" t="str">
        <f>CONCATENATE("          ", "6234", " - ", "EXPENDABLE SUPPLIES &amp; EQUIPMEN")</f>
        <v xml:space="preserve">          6234 - EXPENDABLE SUPPLIES &amp; EQUIPMEN</v>
      </c>
      <c r="C59" s="11"/>
      <c r="D59" s="7">
        <v>354.82</v>
      </c>
      <c r="E59" s="2"/>
      <c r="F59" s="6">
        <f t="shared" si="28"/>
        <v>1.1199896466770725E-2</v>
      </c>
      <c r="G59" s="2"/>
      <c r="H59" s="7"/>
      <c r="I59" s="2"/>
      <c r="J59" s="6">
        <f t="shared" si="29"/>
        <v>0</v>
      </c>
      <c r="K59" s="2"/>
      <c r="L59" s="7">
        <f t="shared" si="30"/>
        <v>354.82</v>
      </c>
      <c r="M59" s="2"/>
      <c r="N59" s="6">
        <f t="shared" si="31"/>
        <v>0</v>
      </c>
      <c r="O59" s="11"/>
      <c r="P59" s="7">
        <v>354.82</v>
      </c>
      <c r="Q59" s="2"/>
      <c r="R59" s="6">
        <f t="shared" si="32"/>
        <v>6.9231887408916322E-3</v>
      </c>
      <c r="S59" s="2"/>
      <c r="T59" s="7"/>
      <c r="U59" s="2"/>
      <c r="V59" s="6">
        <f t="shared" si="33"/>
        <v>0</v>
      </c>
      <c r="W59" s="2"/>
      <c r="X59" s="7">
        <f t="shared" si="34"/>
        <v>354.82</v>
      </c>
      <c r="Y59" s="2"/>
      <c r="Z59" s="6">
        <f t="shared" si="35"/>
        <v>0</v>
      </c>
    </row>
    <row r="60" spans="1:26" s="24" customFormat="1" hidden="1" outlineLevel="2" x14ac:dyDescent="0.25">
      <c r="A60" s="29"/>
      <c r="B60" s="11" t="str">
        <f>CONCATENATE("          ", "6237", " - ", "JANITORIAL SUPPLIES")</f>
        <v xml:space="preserve">          6237 - JANITORIAL SUPPLIES</v>
      </c>
      <c r="C60" s="11"/>
      <c r="D60" s="7"/>
      <c r="E60" s="2"/>
      <c r="F60" s="6">
        <f t="shared" si="28"/>
        <v>0</v>
      </c>
      <c r="G60" s="2"/>
      <c r="H60" s="7">
        <v>40.21</v>
      </c>
      <c r="I60" s="2"/>
      <c r="J60" s="6">
        <f t="shared" si="29"/>
        <v>1.1418429646457475E-3</v>
      </c>
      <c r="K60" s="2"/>
      <c r="L60" s="7">
        <f t="shared" si="30"/>
        <v>-40.21</v>
      </c>
      <c r="M60" s="2"/>
      <c r="N60" s="6">
        <f t="shared" si="31"/>
        <v>-1</v>
      </c>
      <c r="O60" s="11"/>
      <c r="P60" s="7">
        <v>111.27</v>
      </c>
      <c r="Q60" s="2"/>
      <c r="R60" s="6">
        <f t="shared" si="32"/>
        <v>2.1710817067781183E-3</v>
      </c>
      <c r="S60" s="2"/>
      <c r="T60" s="7">
        <v>40.21</v>
      </c>
      <c r="U60" s="2"/>
      <c r="V60" s="6">
        <f t="shared" si="33"/>
        <v>7.7206021416846658E-4</v>
      </c>
      <c r="W60" s="2"/>
      <c r="X60" s="7">
        <f t="shared" si="34"/>
        <v>71.06</v>
      </c>
      <c r="Y60" s="2"/>
      <c r="Z60" s="6">
        <f t="shared" si="35"/>
        <v>1.7672220840586919</v>
      </c>
    </row>
    <row r="61" spans="1:26" s="24" customFormat="1" hidden="1" outlineLevel="2" x14ac:dyDescent="0.25">
      <c r="A61" s="29"/>
      <c r="B61" s="11" t="str">
        <f>CONCATENATE("          ", "6241", " - ", "OFFICE EXPENSE")</f>
        <v xml:space="preserve">          6241 - OFFICE EXPENSE</v>
      </c>
      <c r="C61" s="11"/>
      <c r="D61" s="7">
        <v>29.21</v>
      </c>
      <c r="E61" s="2"/>
      <c r="F61" s="6">
        <f t="shared" si="28"/>
        <v>9.2201391069943325E-4</v>
      </c>
      <c r="G61" s="2"/>
      <c r="H61" s="7">
        <v>31.85</v>
      </c>
      <c r="I61" s="2"/>
      <c r="J61" s="6">
        <f t="shared" si="29"/>
        <v>9.044441289223343E-4</v>
      </c>
      <c r="K61" s="2"/>
      <c r="L61" s="7">
        <f t="shared" si="30"/>
        <v>-2.6400000000000006</v>
      </c>
      <c r="M61" s="2"/>
      <c r="N61" s="6">
        <f t="shared" si="31"/>
        <v>-8.2888540031397187E-2</v>
      </c>
      <c r="O61" s="11"/>
      <c r="P61" s="7">
        <v>107.74</v>
      </c>
      <c r="Q61" s="2"/>
      <c r="R61" s="6">
        <f t="shared" si="32"/>
        <v>2.1022049347377953E-3</v>
      </c>
      <c r="S61" s="2"/>
      <c r="T61" s="7">
        <v>114.68</v>
      </c>
      <c r="U61" s="2"/>
      <c r="V61" s="6">
        <f t="shared" si="33"/>
        <v>2.2019364675662707E-3</v>
      </c>
      <c r="W61" s="2"/>
      <c r="X61" s="7">
        <f t="shared" si="34"/>
        <v>-6.9400000000000119</v>
      </c>
      <c r="Y61" s="2"/>
      <c r="Z61" s="6">
        <f t="shared" si="35"/>
        <v>-6.0516219044297277E-2</v>
      </c>
    </row>
    <row r="62" spans="1:26" s="24" customFormat="1" hidden="1" outlineLevel="2" x14ac:dyDescent="0.25">
      <c r="A62" s="29"/>
      <c r="B62" s="11" t="str">
        <f>CONCATENATE("          ", "6247", " - ", "STORE SUPPLIES")</f>
        <v xml:space="preserve">          6247 - STORE SUPPLIES</v>
      </c>
      <c r="C62" s="11"/>
      <c r="D62" s="7">
        <v>836.48</v>
      </c>
      <c r="E62" s="2"/>
      <c r="F62" s="6">
        <f t="shared" si="28"/>
        <v>2.6403498665589248E-2</v>
      </c>
      <c r="G62" s="2"/>
      <c r="H62" s="7">
        <v>1217.07</v>
      </c>
      <c r="I62" s="2"/>
      <c r="J62" s="6">
        <f t="shared" si="29"/>
        <v>3.456112452080079E-2</v>
      </c>
      <c r="K62" s="2"/>
      <c r="L62" s="7">
        <f t="shared" si="30"/>
        <v>-380.58999999999992</v>
      </c>
      <c r="M62" s="2"/>
      <c r="N62" s="6">
        <f t="shared" si="31"/>
        <v>-0.31271003311231066</v>
      </c>
      <c r="O62" s="11"/>
      <c r="P62" s="7">
        <v>1772.74</v>
      </c>
      <c r="Q62" s="2"/>
      <c r="R62" s="6">
        <f t="shared" si="32"/>
        <v>3.4589407610980873E-2</v>
      </c>
      <c r="S62" s="2"/>
      <c r="T62" s="7">
        <v>651.11</v>
      </c>
      <c r="U62" s="2"/>
      <c r="V62" s="6">
        <f t="shared" si="33"/>
        <v>1.250176886464139E-2</v>
      </c>
      <c r="W62" s="2"/>
      <c r="X62" s="7">
        <f t="shared" si="34"/>
        <v>1121.6300000000001</v>
      </c>
      <c r="Y62" s="2"/>
      <c r="Z62" s="6">
        <f t="shared" si="35"/>
        <v>1.7226428714042175</v>
      </c>
    </row>
    <row r="63" spans="1:26" s="24" customFormat="1" hidden="1" outlineLevel="2" x14ac:dyDescent="0.25">
      <c r="A63" s="29"/>
      <c r="B63" s="11" t="str">
        <f>CONCATENATE("          ", "6248", " - ", "UNIFORMS")</f>
        <v xml:space="preserve">          6248 - UNIFORMS</v>
      </c>
      <c r="C63" s="11"/>
      <c r="D63" s="7"/>
      <c r="E63" s="2"/>
      <c r="F63" s="6">
        <f t="shared" si="28"/>
        <v>0</v>
      </c>
      <c r="G63" s="2"/>
      <c r="H63" s="7">
        <v>187.87</v>
      </c>
      <c r="I63" s="2"/>
      <c r="J63" s="6">
        <f t="shared" si="29"/>
        <v>5.3349424960954144E-3</v>
      </c>
      <c r="K63" s="2"/>
      <c r="L63" s="7">
        <f t="shared" si="30"/>
        <v>-187.87</v>
      </c>
      <c r="M63" s="2"/>
      <c r="N63" s="6">
        <f t="shared" si="31"/>
        <v>-1</v>
      </c>
      <c r="O63" s="11"/>
      <c r="P63" s="7"/>
      <c r="Q63" s="2"/>
      <c r="R63" s="6">
        <f t="shared" si="32"/>
        <v>0</v>
      </c>
      <c r="S63" s="2"/>
      <c r="T63" s="7">
        <v>187.87</v>
      </c>
      <c r="U63" s="2"/>
      <c r="V63" s="6">
        <f t="shared" si="33"/>
        <v>3.6072358228259093E-3</v>
      </c>
      <c r="W63" s="2"/>
      <c r="X63" s="7">
        <f t="shared" si="34"/>
        <v>-187.87</v>
      </c>
      <c r="Y63" s="2"/>
      <c r="Z63" s="6">
        <f t="shared" si="35"/>
        <v>-1</v>
      </c>
    </row>
    <row r="64" spans="1:26" s="27" customFormat="1" outlineLevel="1" collapsed="1" x14ac:dyDescent="0.25">
      <c r="A64" s="28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SUM(OSRRefD22_11x_0)</f>
        <v>125.05</v>
      </c>
      <c r="E64" s="1"/>
      <c r="F64" s="5">
        <f t="shared" ref="F64:F67" si="36">IF(D$12=0,0,D64/D$12)</f>
        <v>3.947204366072034E-3</v>
      </c>
      <c r="G64" s="1"/>
      <c r="H64" s="1">
        <f>SUM(OSRRefH22_11x_0)</f>
        <v>126.4</v>
      </c>
      <c r="I64" s="1"/>
      <c r="J64" s="5">
        <f t="shared" ref="J64:J67" si="37">IF(H$12=0,0,H64/H$12)</f>
        <v>3.5893795257702686E-3</v>
      </c>
      <c r="K64" s="1"/>
      <c r="L64" s="1">
        <f t="shared" ref="L64:L67" si="38">+D64-H64</f>
        <v>-1.3500000000000085</v>
      </c>
      <c r="M64" s="1"/>
      <c r="N64" s="5">
        <f t="shared" ref="N64:N67" si="39">IF(H64=0,0,L64/H64)</f>
        <v>-1.068037974683551E-2</v>
      </c>
      <c r="O64" s="14"/>
      <c r="P64" s="1">
        <f>SUM(OSRRefP22_11x_0)</f>
        <v>198.6</v>
      </c>
      <c r="Q64" s="1"/>
      <c r="R64" s="5">
        <f t="shared" ref="R64:R67" si="40">IF(P$12=0,0,P64/P$12)</f>
        <v>3.8750501210221468E-3</v>
      </c>
      <c r="S64" s="1"/>
      <c r="T64" s="1">
        <f>SUM(OSRRefT22_11x_0)</f>
        <v>269.35000000000002</v>
      </c>
      <c r="U64" s="1"/>
      <c r="V64" s="5">
        <f t="shared" ref="V64:V67" si="41">IF(T$12=0,0,T64/T$12)</f>
        <v>5.1717089949335111E-3</v>
      </c>
      <c r="W64" s="1"/>
      <c r="X64" s="1">
        <f t="shared" ref="X64:X67" si="42">+P64-T64</f>
        <v>-70.750000000000028</v>
      </c>
      <c r="Y64" s="1"/>
      <c r="Z64" s="5">
        <f t="shared" ref="Z64:Z67" si="43">IF(T64=0,0,X64/T64)</f>
        <v>-0.26266938927046601</v>
      </c>
    </row>
    <row r="65" spans="1:26" s="24" customFormat="1" hidden="1" outlineLevel="2" x14ac:dyDescent="0.25">
      <c r="A65" s="29"/>
      <c r="B65" s="11" t="str">
        <f>CONCATENATE("          ", "6309", " - ", "TELEPHONE")</f>
        <v xml:space="preserve">          6309 - TELEPHONE</v>
      </c>
      <c r="C65" s="11"/>
      <c r="D65" s="7">
        <v>125.05</v>
      </c>
      <c r="E65" s="2"/>
      <c r="F65" s="6">
        <f t="shared" si="36"/>
        <v>3.947204366072034E-3</v>
      </c>
      <c r="G65" s="2"/>
      <c r="H65" s="7">
        <v>126.4</v>
      </c>
      <c r="I65" s="2"/>
      <c r="J65" s="6">
        <f t="shared" si="37"/>
        <v>3.5893795257702686E-3</v>
      </c>
      <c r="K65" s="2"/>
      <c r="L65" s="7">
        <f t="shared" si="38"/>
        <v>-1.3500000000000085</v>
      </c>
      <c r="M65" s="2"/>
      <c r="N65" s="6">
        <f t="shared" si="39"/>
        <v>-1.068037974683551E-2</v>
      </c>
      <c r="O65" s="11"/>
      <c r="P65" s="7">
        <v>198.6</v>
      </c>
      <c r="Q65" s="2"/>
      <c r="R65" s="6">
        <f t="shared" si="40"/>
        <v>3.8750501210221468E-3</v>
      </c>
      <c r="S65" s="2"/>
      <c r="T65" s="7">
        <v>269.35000000000002</v>
      </c>
      <c r="U65" s="2"/>
      <c r="V65" s="6">
        <f t="shared" si="41"/>
        <v>5.1717089949335111E-3</v>
      </c>
      <c r="W65" s="2"/>
      <c r="X65" s="7">
        <f t="shared" si="42"/>
        <v>-70.750000000000028</v>
      </c>
      <c r="Y65" s="2"/>
      <c r="Z65" s="6">
        <f t="shared" si="43"/>
        <v>-0.26266938927046601</v>
      </c>
    </row>
    <row r="66" spans="1:26" s="27" customFormat="1" outlineLevel="1" collapsed="1" x14ac:dyDescent="0.25">
      <c r="A66" s="28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SUM(OSRRefD22_12x_0)</f>
        <v>0</v>
      </c>
      <c r="E66" s="1"/>
      <c r="F66" s="5">
        <f t="shared" si="36"/>
        <v>0</v>
      </c>
      <c r="G66" s="1"/>
      <c r="H66" s="1">
        <f>SUM(OSRRefH22_12x_0)</f>
        <v>0</v>
      </c>
      <c r="I66" s="1"/>
      <c r="J66" s="5">
        <f t="shared" si="37"/>
        <v>0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SUM(OSRRefP22_12x_0)</f>
        <v>0</v>
      </c>
      <c r="Q66" s="1"/>
      <c r="R66" s="5">
        <f t="shared" si="40"/>
        <v>0</v>
      </c>
      <c r="S66" s="1"/>
      <c r="T66" s="1">
        <f>SUM(OSRRefT22_12x_0)</f>
        <v>98.82</v>
      </c>
      <c r="U66" s="1"/>
      <c r="V66" s="5">
        <f t="shared" si="41"/>
        <v>1.897413339073063E-3</v>
      </c>
      <c r="W66" s="1"/>
      <c r="X66" s="1">
        <f t="shared" si="42"/>
        <v>-98.82</v>
      </c>
      <c r="Y66" s="1"/>
      <c r="Z66" s="5">
        <f t="shared" si="43"/>
        <v>-1</v>
      </c>
    </row>
    <row r="67" spans="1:26" s="24" customFormat="1" hidden="1" outlineLevel="2" x14ac:dyDescent="0.25">
      <c r="A67" s="29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/>
      <c r="Q67" s="2"/>
      <c r="R67" s="6">
        <f t="shared" si="40"/>
        <v>0</v>
      </c>
      <c r="S67" s="2"/>
      <c r="T67" s="7">
        <v>98.82</v>
      </c>
      <c r="U67" s="2"/>
      <c r="V67" s="6">
        <f t="shared" si="41"/>
        <v>1.897413339073063E-3</v>
      </c>
      <c r="W67" s="2"/>
      <c r="X67" s="7">
        <f t="shared" si="42"/>
        <v>-98.82</v>
      </c>
      <c r="Y67" s="2"/>
      <c r="Z67" s="6">
        <f t="shared" si="43"/>
        <v>-1</v>
      </c>
    </row>
    <row r="68" spans="1:26" s="62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5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3</v>
      </c>
      <c r="C71" s="26"/>
      <c r="D71" s="20">
        <f>+D24-D26+D69</f>
        <v>-521.07999999999447</v>
      </c>
      <c r="E71" s="13"/>
      <c r="F71" s="19">
        <f>IF(D$12=0,0,D71/D$12)</f>
        <v>-1.6447894850642093E-2</v>
      </c>
      <c r="G71" s="13"/>
      <c r="H71" s="20">
        <f>+H24-H26+H69</f>
        <v>-3620.9600000000064</v>
      </c>
      <c r="I71" s="13"/>
      <c r="J71" s="19">
        <f>IF(H$12=0,0,H71/H$12)</f>
        <v>-0.10282436461735074</v>
      </c>
      <c r="K71" s="15"/>
      <c r="L71" s="20">
        <f>+D71-H71</f>
        <v>3099.8800000000119</v>
      </c>
      <c r="M71" s="15"/>
      <c r="N71" s="19">
        <f>IF(H71=0,0,L71/H71)</f>
        <v>-0.85609341169192876</v>
      </c>
      <c r="O71" s="25"/>
      <c r="P71" s="20">
        <f>+P24-P26+P69</f>
        <v>-6708.330000000009</v>
      </c>
      <c r="Q71" s="13"/>
      <c r="R71" s="19">
        <f>IF(P$12=0,0,P71/P$12)</f>
        <v>-0.13089181761508831</v>
      </c>
      <c r="S71" s="13"/>
      <c r="T71" s="20">
        <f>+T24-T26+T69</f>
        <v>-4262.9100000000035</v>
      </c>
      <c r="U71" s="13"/>
      <c r="V71" s="19">
        <f>IF(T$12=0,0,T71/T$12)</f>
        <v>-8.1850863157943307E-2</v>
      </c>
      <c r="W71" s="15"/>
      <c r="X71" s="20">
        <f>+P71-T71</f>
        <v>-2445.4200000000055</v>
      </c>
      <c r="Y71" s="15"/>
      <c r="Z71" s="19">
        <f>IF(T71=0,0,X71/T71)</f>
        <v>0.57365039374511861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>
        <v>2320.8200000000002</v>
      </c>
      <c r="E73" s="4"/>
      <c r="F73" s="12">
        <f>IF(D$12=0,0,D73/D$12)</f>
        <v>7.3256704013333063E-2</v>
      </c>
      <c r="G73" s="4"/>
      <c r="H73" s="4">
        <v>1854.58</v>
      </c>
      <c r="I73" s="4"/>
      <c r="J73" s="12">
        <f>IF(H$12=0,0,H73/H$12)</f>
        <v>5.2664489564106201E-2</v>
      </c>
      <c r="K73" s="4"/>
      <c r="L73" s="4">
        <f>+D73-H73</f>
        <v>466.24000000000024</v>
      </c>
      <c r="M73" s="4"/>
      <c r="N73" s="12">
        <f>IF(H73=0,0,L73/H73)</f>
        <v>0.25139923864163327</v>
      </c>
      <c r="O73" s="10"/>
      <c r="P73" s="4">
        <v>6390.06</v>
      </c>
      <c r="Q73" s="4"/>
      <c r="R73" s="12">
        <f>IF(P$12=0,0,P73/P$12)</f>
        <v>0.12468178638639871</v>
      </c>
      <c r="S73" s="4"/>
      <c r="T73" s="4">
        <v>5317.27</v>
      </c>
      <c r="U73" s="4"/>
      <c r="V73" s="12">
        <f>IF(T$12=0,0,T73/T$12)</f>
        <v>0.10209531497119032</v>
      </c>
      <c r="W73" s="4"/>
      <c r="X73" s="4">
        <f>+P73-T73</f>
        <v>1072.79</v>
      </c>
      <c r="Y73" s="4"/>
      <c r="Z73" s="12">
        <f>IF(T73=0,0,X73/T73)</f>
        <v>0.20175578821462892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4</v>
      </c>
      <c r="C75" s="26"/>
      <c r="D75" s="31">
        <f>+D71-D73</f>
        <v>-2841.8999999999946</v>
      </c>
      <c r="E75" s="13"/>
      <c r="F75" s="36">
        <f>IF(D$12=0,0,D75/D$12)</f>
        <v>-8.9704598863975152E-2</v>
      </c>
      <c r="G75" s="13"/>
      <c r="H75" s="31">
        <f>+H71-H73</f>
        <v>-5475.5400000000063</v>
      </c>
      <c r="I75" s="13"/>
      <c r="J75" s="36">
        <f>IF(H$12=0,0,H75/H$12)</f>
        <v>-0.15548885418145694</v>
      </c>
      <c r="K75" s="15"/>
      <c r="L75" s="31">
        <f>D75-H75</f>
        <v>2633.6400000000117</v>
      </c>
      <c r="M75" s="15"/>
      <c r="N75" s="36">
        <f>IF(H75=0,0,L75/H75)</f>
        <v>-0.48098269759695095</v>
      </c>
      <c r="O75" s="25"/>
      <c r="P75" s="31">
        <f>+P71-P73</f>
        <v>-13098.39000000001</v>
      </c>
      <c r="Q75" s="13"/>
      <c r="R75" s="36">
        <f>IF(P$12=0,0,P75/P$12)</f>
        <v>-0.25557360400148704</v>
      </c>
      <c r="S75" s="13"/>
      <c r="T75" s="31">
        <f>+T71-T73</f>
        <v>-9580.1800000000039</v>
      </c>
      <c r="U75" s="13"/>
      <c r="V75" s="36">
        <f>IF(T$12=0,0,T75/T$12)</f>
        <v>-0.18394617812913364</v>
      </c>
      <c r="W75" s="15"/>
      <c r="X75" s="31">
        <f>P75-T75</f>
        <v>-3518.2100000000064</v>
      </c>
      <c r="Y75" s="15"/>
      <c r="Z75" s="36">
        <f>IF(T75=0,0,X75/T75)</f>
        <v>0.36723840261874047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5</v>
      </c>
      <c r="C78" s="26"/>
      <c r="D78" s="32">
        <f>SUM(D75:D77)</f>
        <v>-2841.8999999999946</v>
      </c>
      <c r="E78" s="13"/>
      <c r="F78" s="30">
        <f>IF(D$12=0,0,D78/D$12)</f>
        <v>-8.9704598863975152E-2</v>
      </c>
      <c r="G78" s="13"/>
      <c r="H78" s="32">
        <f>SUM(H75:H77)</f>
        <v>-5475.5400000000063</v>
      </c>
      <c r="I78" s="13"/>
      <c r="J78" s="30">
        <f>IF(H$12=0,0,H78/H$12)</f>
        <v>-0.15548885418145694</v>
      </c>
      <c r="K78" s="15"/>
      <c r="L78" s="32">
        <f>+D78-H78</f>
        <v>2633.6400000000117</v>
      </c>
      <c r="M78" s="15"/>
      <c r="N78" s="30">
        <f>IF(H78=0,0,L78/H78)</f>
        <v>-0.48098269759695095</v>
      </c>
      <c r="O78" s="25"/>
      <c r="P78" s="32">
        <f>SUM(P75:P77)</f>
        <v>-13098.39000000001</v>
      </c>
      <c r="Q78" s="13"/>
      <c r="R78" s="30">
        <f>IF(P$12=0,0,P78/P$12)</f>
        <v>-0.25557360400148704</v>
      </c>
      <c r="S78" s="13"/>
      <c r="T78" s="32">
        <f>SUM(T75:T77)</f>
        <v>-9580.1800000000039</v>
      </c>
      <c r="U78" s="13"/>
      <c r="V78" s="30">
        <f>IF(T$12=0,0,T78/T$12)</f>
        <v>-0.18394617812913364</v>
      </c>
      <c r="W78" s="15"/>
      <c r="X78" s="32">
        <f>+P78-T78</f>
        <v>-3518.2100000000064</v>
      </c>
      <c r="Y78" s="15"/>
      <c r="Z78" s="30">
        <f>IF(T78=0,0,X78/T78)</f>
        <v>0.36723840261874047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7">
        <v>43732.709715543984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0" t="s">
        <v>313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6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","321", " - ", "Student Union C-Store")</f>
        <v>Department 321 - Student Union C-Store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17114.38</v>
      </c>
      <c r="E12" s="4"/>
      <c r="F12" s="12"/>
      <c r="G12" s="4"/>
      <c r="H12" s="4">
        <f>SUM(OSRRefH13x_0)</f>
        <v>16452.349999999999</v>
      </c>
      <c r="I12" s="4"/>
      <c r="J12" s="12"/>
      <c r="K12" s="4"/>
      <c r="L12" s="4">
        <f t="shared" ref="L12:L14" si="0">+D12-H12</f>
        <v>662.03000000000247</v>
      </c>
      <c r="M12" s="4"/>
      <c r="N12" s="12">
        <f t="shared" ref="N12:N14" si="1">IF(H12=0,0,L12/H12)</f>
        <v>4.0239236340097469E-2</v>
      </c>
      <c r="O12" s="10"/>
      <c r="P12" s="4">
        <f>SUM(OSRRefP13x_0)</f>
        <v>22516.13</v>
      </c>
      <c r="Q12" s="4"/>
      <c r="R12" s="12"/>
      <c r="S12" s="4"/>
      <c r="T12" s="4">
        <f>SUM(OSRRefT13x_0)</f>
        <v>22336.639999999999</v>
      </c>
      <c r="U12" s="4"/>
      <c r="V12" s="12"/>
      <c r="W12" s="4"/>
      <c r="X12" s="4">
        <f t="shared" ref="X12:X14" si="2">+P12-T12</f>
        <v>179.4900000000016</v>
      </c>
      <c r="Y12" s="4"/>
      <c r="Z12" s="12">
        <f t="shared" ref="Z12:Z14" si="3">IF(T12=0,0,X12/T12)</f>
        <v>8.0356759118650617E-3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2">
        <f>--4305.47</f>
        <v>4305.47</v>
      </c>
      <c r="E13" s="2"/>
      <c r="F13" s="21"/>
      <c r="G13" s="2"/>
      <c r="H13" s="2">
        <f>--4206.93</f>
        <v>4206.93</v>
      </c>
      <c r="I13" s="2"/>
      <c r="J13" s="21"/>
      <c r="K13" s="2"/>
      <c r="L13" s="2">
        <f t="shared" si="0"/>
        <v>98.539999999999964</v>
      </c>
      <c r="M13" s="2"/>
      <c r="N13" s="21">
        <f t="shared" si="1"/>
        <v>2.3423256388863129E-2</v>
      </c>
      <c r="O13" s="11"/>
      <c r="P13" s="2">
        <f>--5358.84</f>
        <v>5358.84</v>
      </c>
      <c r="Q13" s="2"/>
      <c r="R13" s="21"/>
      <c r="S13" s="2"/>
      <c r="T13" s="2">
        <f>--5485.58</f>
        <v>5485.58</v>
      </c>
      <c r="U13" s="2"/>
      <c r="V13" s="21"/>
      <c r="W13" s="2"/>
      <c r="X13" s="2">
        <f t="shared" si="2"/>
        <v>-126.73999999999978</v>
      </c>
      <c r="Y13" s="2"/>
      <c r="Z13" s="21">
        <f t="shared" si="3"/>
        <v>-2.3104211405174983E-2</v>
      </c>
    </row>
    <row r="14" spans="1:26" s="24" customFormat="1" hidden="1" outlineLevel="1" x14ac:dyDescent="0.25">
      <c r="A14" s="50"/>
      <c r="B14" s="11" t="str">
        <f>CONCATENATE("          ", "4132", " - ", "NON-TAXABLE SALES-JUICE")</f>
        <v xml:space="preserve">          4132 - NON-TAXABLE SALES-JUICE</v>
      </c>
      <c r="C14" s="11"/>
      <c r="D14" s="2">
        <f>--12808.91</f>
        <v>12808.91</v>
      </c>
      <c r="E14" s="2"/>
      <c r="F14" s="21"/>
      <c r="G14" s="2"/>
      <c r="H14" s="2">
        <f>--12245.42</f>
        <v>12245.42</v>
      </c>
      <c r="I14" s="2"/>
      <c r="J14" s="21"/>
      <c r="K14" s="2"/>
      <c r="L14" s="2">
        <f t="shared" si="0"/>
        <v>563.48999999999978</v>
      </c>
      <c r="M14" s="2"/>
      <c r="N14" s="21">
        <f t="shared" si="1"/>
        <v>4.6016388167984423E-2</v>
      </c>
      <c r="O14" s="11"/>
      <c r="P14" s="2">
        <f>--17157.29</f>
        <v>17157.29</v>
      </c>
      <c r="Q14" s="2"/>
      <c r="R14" s="21"/>
      <c r="S14" s="2"/>
      <c r="T14" s="2">
        <f>--16851.06</f>
        <v>16851.060000000001</v>
      </c>
      <c r="U14" s="2"/>
      <c r="V14" s="21"/>
      <c r="W14" s="2"/>
      <c r="X14" s="2">
        <f t="shared" si="2"/>
        <v>306.22999999999956</v>
      </c>
      <c r="Y14" s="2"/>
      <c r="Z14" s="21">
        <f t="shared" si="3"/>
        <v>1.8172744029158968E-2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8063.8000000000011</v>
      </c>
      <c r="E16" s="4"/>
      <c r="F16" s="12">
        <f t="shared" ref="F16:F18" si="4">IF(D$12=0,0,D16/D$12)</f>
        <v>0.47117102693758117</v>
      </c>
      <c r="G16" s="4"/>
      <c r="H16" s="4">
        <f>SUM(OSRRefH16x_0)</f>
        <v>9222.49</v>
      </c>
      <c r="I16" s="4"/>
      <c r="J16" s="12">
        <f t="shared" ref="J16:J18" si="5">IF(H$12=0,0,H16/H$12)</f>
        <v>0.56055761031098905</v>
      </c>
      <c r="K16" s="4"/>
      <c r="L16" s="4">
        <f t="shared" ref="L16:L18" si="6">+D16-H16</f>
        <v>-1158.6899999999987</v>
      </c>
      <c r="M16" s="4"/>
      <c r="N16" s="12">
        <f t="shared" ref="N16:N18" si="7">IF(H16=0,0,L16/H16)</f>
        <v>-0.12563743631058411</v>
      </c>
      <c r="O16" s="10"/>
      <c r="P16" s="4">
        <f>SUM(OSRRefP16x_0)</f>
        <v>10759.530000000002</v>
      </c>
      <c r="Q16" s="4"/>
      <c r="R16" s="12">
        <f t="shared" ref="R16:R18" si="8">IF(P$12=0,0,P16/P$12)</f>
        <v>0.4778587616966149</v>
      </c>
      <c r="S16" s="4"/>
      <c r="T16" s="4">
        <f>SUM(OSRRefT16x_0)</f>
        <v>9029.9000000000015</v>
      </c>
      <c r="U16" s="4"/>
      <c r="V16" s="12">
        <f t="shared" ref="V16:V18" si="9">IF(T$12=0,0,T16/T$12)</f>
        <v>0.40426402538609219</v>
      </c>
      <c r="W16" s="4"/>
      <c r="X16" s="4">
        <f t="shared" ref="X16:X18" si="10">+P16-T16</f>
        <v>1729.630000000001</v>
      </c>
      <c r="Y16" s="4"/>
      <c r="Z16" s="12">
        <f t="shared" ref="Z16:Z18" si="11">IF(T16=0,0,X16/T16)</f>
        <v>0.19154475686330974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12411.79</v>
      </c>
      <c r="E17" s="2"/>
      <c r="F17" s="21">
        <f t="shared" si="4"/>
        <v>0.72522580426518524</v>
      </c>
      <c r="G17" s="2"/>
      <c r="H17" s="2">
        <v>13005.72</v>
      </c>
      <c r="I17" s="2"/>
      <c r="J17" s="21">
        <f t="shared" si="5"/>
        <v>0.79050834683191162</v>
      </c>
      <c r="K17" s="2"/>
      <c r="L17" s="2">
        <f t="shared" si="6"/>
        <v>-593.92999999999847</v>
      </c>
      <c r="M17" s="2"/>
      <c r="N17" s="21">
        <f t="shared" si="7"/>
        <v>-4.5666829671867339E-2</v>
      </c>
      <c r="O17" s="11"/>
      <c r="P17" s="2">
        <v>16773.47</v>
      </c>
      <c r="Q17" s="2"/>
      <c r="R17" s="21">
        <f t="shared" si="8"/>
        <v>0.74495350666388938</v>
      </c>
      <c r="S17" s="2"/>
      <c r="T17" s="2">
        <v>16803.310000000001</v>
      </c>
      <c r="U17" s="2"/>
      <c r="V17" s="21">
        <f t="shared" si="9"/>
        <v>0.75227563321967861</v>
      </c>
      <c r="W17" s="2"/>
      <c r="X17" s="2">
        <f t="shared" si="10"/>
        <v>-29.840000000000146</v>
      </c>
      <c r="Y17" s="2"/>
      <c r="Z17" s="21">
        <f t="shared" si="11"/>
        <v>-1.7758405933116835E-3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-4347.99</v>
      </c>
      <c r="E18" s="2"/>
      <c r="F18" s="21">
        <f t="shared" si="4"/>
        <v>-0.25405477732760401</v>
      </c>
      <c r="G18" s="2"/>
      <c r="H18" s="2">
        <v>-3783.23</v>
      </c>
      <c r="I18" s="2"/>
      <c r="J18" s="21">
        <f t="shared" si="5"/>
        <v>-0.22995073652092257</v>
      </c>
      <c r="K18" s="2"/>
      <c r="L18" s="2">
        <f t="shared" si="6"/>
        <v>-564.75999999999976</v>
      </c>
      <c r="M18" s="2"/>
      <c r="N18" s="21">
        <f t="shared" si="7"/>
        <v>0.14927984817206455</v>
      </c>
      <c r="O18" s="11"/>
      <c r="P18" s="2">
        <v>-6013.94</v>
      </c>
      <c r="Q18" s="2"/>
      <c r="R18" s="21">
        <f t="shared" si="8"/>
        <v>-0.26709474496727453</v>
      </c>
      <c r="S18" s="2"/>
      <c r="T18" s="2">
        <v>-7773.41</v>
      </c>
      <c r="U18" s="2"/>
      <c r="V18" s="21">
        <f t="shared" si="9"/>
        <v>-0.34801160783358642</v>
      </c>
      <c r="W18" s="2"/>
      <c r="X18" s="2">
        <f t="shared" si="10"/>
        <v>1759.4700000000003</v>
      </c>
      <c r="Y18" s="2"/>
      <c r="Z18" s="21">
        <f t="shared" si="11"/>
        <v>-0.22634468013394382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9050.58</v>
      </c>
      <c r="E20" s="13"/>
      <c r="F20" s="19">
        <f>IF(D$12=0,0,D20/D$12)</f>
        <v>0.52882897306241883</v>
      </c>
      <c r="G20" s="13"/>
      <c r="H20" s="20">
        <f>H12-H16</f>
        <v>7229.8599999999988</v>
      </c>
      <c r="I20" s="13"/>
      <c r="J20" s="19">
        <f>IF(H$12=0,0,H20/H$12)</f>
        <v>0.43944238968901095</v>
      </c>
      <c r="K20" s="15"/>
      <c r="L20" s="20">
        <f>+D20-H20</f>
        <v>1820.7200000000012</v>
      </c>
      <c r="M20" s="15"/>
      <c r="N20" s="19">
        <f>IF(H20=0,0,L20/H20)</f>
        <v>0.2518333688342515</v>
      </c>
      <c r="O20" s="25"/>
      <c r="P20" s="20">
        <f>P12-P16</f>
        <v>11756.599999999999</v>
      </c>
      <c r="Q20" s="13"/>
      <c r="R20" s="19">
        <f>IF(P$12=0,0,P20/P$12)</f>
        <v>0.5221412383033851</v>
      </c>
      <c r="S20" s="13"/>
      <c r="T20" s="20">
        <f>T12-T16</f>
        <v>13306.739999999998</v>
      </c>
      <c r="U20" s="13"/>
      <c r="V20" s="19">
        <f>IF(T$12=0,0,T20/T$12)</f>
        <v>0.59573597461390781</v>
      </c>
      <c r="W20" s="15"/>
      <c r="X20" s="20">
        <f>+P20-T20</f>
        <v>-1550.1399999999994</v>
      </c>
      <c r="Y20" s="15"/>
      <c r="Z20" s="19">
        <f>IF(T20=0,0,X20/T20)</f>
        <v>-0.11649284497931121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8667</v>
      </c>
      <c r="E22" s="22"/>
      <c r="F22" s="33">
        <f t="shared" ref="F22:F30" si="12">IF(D$12=0,0,D22/D$12)</f>
        <v>0.50641624178030398</v>
      </c>
      <c r="G22" s="22"/>
      <c r="H22" s="22">
        <f>SUM(OSRRefH22x_0)</f>
        <v>6266.3200000000006</v>
      </c>
      <c r="I22" s="22"/>
      <c r="J22" s="33">
        <f t="shared" ref="J22:J30" si="13">IF(H$12=0,0,H22/H$12)</f>
        <v>0.38087689600573787</v>
      </c>
      <c r="K22" s="4"/>
      <c r="L22" s="22">
        <f t="shared" ref="L22:L30" si="14">+D22-H22</f>
        <v>2400.6799999999994</v>
      </c>
      <c r="M22" s="4"/>
      <c r="N22" s="33">
        <f t="shared" ref="N22:N30" si="15">IF(H22=0,0,L22/H22)</f>
        <v>0.38310842727470018</v>
      </c>
      <c r="O22" s="10"/>
      <c r="P22" s="22">
        <f>SUM(OSRRefP22x_0)</f>
        <v>18309.399999999994</v>
      </c>
      <c r="Q22" s="22"/>
      <c r="R22" s="33">
        <f t="shared" ref="R22:R30" si="16">IF(P$12=0,0,P22/P$12)</f>
        <v>0.8131681598924857</v>
      </c>
      <c r="S22" s="22"/>
      <c r="T22" s="22">
        <f>SUM(OSRRefT22x_0)</f>
        <v>10025.859999999999</v>
      </c>
      <c r="U22" s="22"/>
      <c r="V22" s="33">
        <f t="shared" ref="V22:V30" si="17">IF(T$12=0,0,T22/T$12)</f>
        <v>0.44885264748861059</v>
      </c>
      <c r="W22" s="4"/>
      <c r="X22" s="22">
        <f t="shared" ref="X22:X30" si="18">+P22-T22</f>
        <v>8283.5399999999954</v>
      </c>
      <c r="Y22" s="4"/>
      <c r="Z22" s="33">
        <f t="shared" ref="Z22:Z30" si="19">IF(T22=0,0,X22/T22)</f>
        <v>0.82621740179894754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1596.2399999999998</v>
      </c>
      <c r="E23" s="1"/>
      <c r="F23" s="5">
        <f t="shared" si="12"/>
        <v>9.3268935246266574E-2</v>
      </c>
      <c r="G23" s="1"/>
      <c r="H23" s="1">
        <f>SUM(OSRRefH22_0x_0)</f>
        <v>129.32999999999998</v>
      </c>
      <c r="I23" s="1"/>
      <c r="J23" s="5">
        <f t="shared" si="13"/>
        <v>7.8608830957279663E-3</v>
      </c>
      <c r="K23" s="1"/>
      <c r="L23" s="1">
        <f t="shared" si="14"/>
        <v>1466.9099999999999</v>
      </c>
      <c r="M23" s="1"/>
      <c r="N23" s="5">
        <f t="shared" si="15"/>
        <v>11.342379958246347</v>
      </c>
      <c r="O23" s="14"/>
      <c r="P23" s="1">
        <f>SUM(OSRRefP22_0x_0)</f>
        <v>3021.8699999999994</v>
      </c>
      <c r="Q23" s="1"/>
      <c r="R23" s="5">
        <f t="shared" si="16"/>
        <v>0.13420912030619825</v>
      </c>
      <c r="S23" s="1"/>
      <c r="T23" s="1">
        <f>SUM(OSRRefT22_0x_0)</f>
        <v>222.53</v>
      </c>
      <c r="U23" s="1"/>
      <c r="V23" s="5">
        <f t="shared" si="17"/>
        <v>9.9625547978567947E-3</v>
      </c>
      <c r="W23" s="1"/>
      <c r="X23" s="1">
        <f t="shared" si="18"/>
        <v>2799.3399999999992</v>
      </c>
      <c r="Y23" s="1"/>
      <c r="Z23" s="5">
        <f t="shared" si="19"/>
        <v>12.579607243967102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275.95999999999998</v>
      </c>
      <c r="E24" s="2"/>
      <c r="F24" s="6">
        <f t="shared" si="12"/>
        <v>1.6124452068961889E-2</v>
      </c>
      <c r="G24" s="2"/>
      <c r="H24" s="7">
        <v>103.11</v>
      </c>
      <c r="I24" s="2"/>
      <c r="J24" s="6">
        <f t="shared" si="13"/>
        <v>6.2671897935553285E-3</v>
      </c>
      <c r="K24" s="2"/>
      <c r="L24" s="7">
        <f t="shared" si="14"/>
        <v>172.84999999999997</v>
      </c>
      <c r="M24" s="2"/>
      <c r="N24" s="6">
        <f t="shared" si="15"/>
        <v>1.6763650470371445</v>
      </c>
      <c r="O24" s="11"/>
      <c r="P24" s="7">
        <v>601</v>
      </c>
      <c r="Q24" s="2"/>
      <c r="R24" s="6">
        <f t="shared" si="16"/>
        <v>2.6691975930144298E-2</v>
      </c>
      <c r="S24" s="2"/>
      <c r="T24" s="7">
        <v>177.94</v>
      </c>
      <c r="U24" s="2"/>
      <c r="V24" s="6">
        <f t="shared" si="17"/>
        <v>7.9662832010544103E-3</v>
      </c>
      <c r="W24" s="2"/>
      <c r="X24" s="7">
        <f t="shared" si="18"/>
        <v>423.06</v>
      </c>
      <c r="Y24" s="2"/>
      <c r="Z24" s="6">
        <f t="shared" si="19"/>
        <v>2.3775429920197819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78.040000000000006</v>
      </c>
      <c r="E25" s="2"/>
      <c r="F25" s="6">
        <f t="shared" si="12"/>
        <v>4.559908100673235E-3</v>
      </c>
      <c r="G25" s="2"/>
      <c r="H25" s="7">
        <v>21.52</v>
      </c>
      <c r="I25" s="2"/>
      <c r="J25" s="6">
        <f t="shared" si="13"/>
        <v>1.308019826954812E-3</v>
      </c>
      <c r="K25" s="2"/>
      <c r="L25" s="7">
        <f t="shared" si="14"/>
        <v>56.52000000000001</v>
      </c>
      <c r="M25" s="2"/>
      <c r="N25" s="6">
        <f t="shared" si="15"/>
        <v>2.6263940520446103</v>
      </c>
      <c r="O25" s="11"/>
      <c r="P25" s="7">
        <v>105.47</v>
      </c>
      <c r="Q25" s="2"/>
      <c r="R25" s="6">
        <f t="shared" si="16"/>
        <v>4.6841975064098491E-3</v>
      </c>
      <c r="S25" s="2"/>
      <c r="T25" s="7">
        <v>36.6</v>
      </c>
      <c r="U25" s="2"/>
      <c r="V25" s="6">
        <f t="shared" si="17"/>
        <v>1.6385633649465632E-3</v>
      </c>
      <c r="W25" s="2"/>
      <c r="X25" s="7">
        <f t="shared" si="18"/>
        <v>68.87</v>
      </c>
      <c r="Y25" s="2"/>
      <c r="Z25" s="6">
        <f t="shared" si="19"/>
        <v>1.8816939890710382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935.3</v>
      </c>
      <c r="E26" s="2"/>
      <c r="F26" s="6">
        <f t="shared" si="12"/>
        <v>5.4649949340846694E-2</v>
      </c>
      <c r="G26" s="2"/>
      <c r="H26" s="7"/>
      <c r="I26" s="2"/>
      <c r="J26" s="6">
        <f t="shared" si="13"/>
        <v>0</v>
      </c>
      <c r="K26" s="2"/>
      <c r="L26" s="7">
        <f t="shared" si="14"/>
        <v>935.3</v>
      </c>
      <c r="M26" s="2"/>
      <c r="N26" s="6">
        <f t="shared" si="15"/>
        <v>0</v>
      </c>
      <c r="O26" s="11"/>
      <c r="P26" s="7">
        <v>1870.6</v>
      </c>
      <c r="Q26" s="2"/>
      <c r="R26" s="6">
        <f t="shared" si="16"/>
        <v>8.3078219925004873E-2</v>
      </c>
      <c r="S26" s="2"/>
      <c r="T26" s="7"/>
      <c r="U26" s="2"/>
      <c r="V26" s="6">
        <f t="shared" si="17"/>
        <v>0</v>
      </c>
      <c r="W26" s="2"/>
      <c r="X26" s="7">
        <f t="shared" si="18"/>
        <v>1870.6</v>
      </c>
      <c r="Y26" s="2"/>
      <c r="Z26" s="6">
        <f t="shared" si="19"/>
        <v>0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10.35</v>
      </c>
      <c r="E27" s="2"/>
      <c r="F27" s="6">
        <f t="shared" si="12"/>
        <v>6.0475459818000996E-4</v>
      </c>
      <c r="G27" s="2"/>
      <c r="H27" s="7">
        <v>4.7</v>
      </c>
      <c r="I27" s="2"/>
      <c r="J27" s="6">
        <f t="shared" si="13"/>
        <v>2.8567347521782604E-4</v>
      </c>
      <c r="K27" s="2"/>
      <c r="L27" s="7">
        <f t="shared" si="14"/>
        <v>5.6499999999999995</v>
      </c>
      <c r="M27" s="2"/>
      <c r="N27" s="6">
        <f t="shared" si="15"/>
        <v>1.2021276595744679</v>
      </c>
      <c r="O27" s="11"/>
      <c r="P27" s="7">
        <v>14.1</v>
      </c>
      <c r="Q27" s="2"/>
      <c r="R27" s="6">
        <f t="shared" si="16"/>
        <v>6.2621773812817738E-4</v>
      </c>
      <c r="S27" s="2"/>
      <c r="T27" s="7">
        <v>7.99</v>
      </c>
      <c r="U27" s="2"/>
      <c r="V27" s="6">
        <f t="shared" si="17"/>
        <v>3.5770823185582077E-4</v>
      </c>
      <c r="W27" s="2"/>
      <c r="X27" s="7">
        <f t="shared" si="18"/>
        <v>6.1099999999999994</v>
      </c>
      <c r="Y27" s="2"/>
      <c r="Z27" s="6">
        <f t="shared" si="19"/>
        <v>0.76470588235294112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134.11000000000001</v>
      </c>
      <c r="E28" s="2"/>
      <c r="F28" s="6">
        <f t="shared" si="12"/>
        <v>7.8361004021179851E-3</v>
      </c>
      <c r="G28" s="2"/>
      <c r="H28" s="7"/>
      <c r="I28" s="2"/>
      <c r="J28" s="6">
        <f t="shared" si="13"/>
        <v>0</v>
      </c>
      <c r="K28" s="2"/>
      <c r="L28" s="7">
        <f t="shared" si="14"/>
        <v>134.11000000000001</v>
      </c>
      <c r="M28" s="2"/>
      <c r="N28" s="6">
        <f t="shared" si="15"/>
        <v>0</v>
      </c>
      <c r="O28" s="11"/>
      <c r="P28" s="7">
        <v>268.22000000000003</v>
      </c>
      <c r="Q28" s="2"/>
      <c r="R28" s="6">
        <f t="shared" si="16"/>
        <v>1.1912349058208494E-2</v>
      </c>
      <c r="S28" s="2"/>
      <c r="T28" s="7"/>
      <c r="U28" s="2"/>
      <c r="V28" s="6">
        <f t="shared" si="17"/>
        <v>0</v>
      </c>
      <c r="W28" s="2"/>
      <c r="X28" s="7">
        <f t="shared" si="18"/>
        <v>268.22000000000003</v>
      </c>
      <c r="Y28" s="2"/>
      <c r="Z28" s="6">
        <f t="shared" si="19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73.92</v>
      </c>
      <c r="E29" s="2"/>
      <c r="F29" s="6">
        <f t="shared" si="12"/>
        <v>4.3191748693204189E-3</v>
      </c>
      <c r="G29" s="2"/>
      <c r="H29" s="7"/>
      <c r="I29" s="2"/>
      <c r="J29" s="6">
        <f t="shared" si="13"/>
        <v>0</v>
      </c>
      <c r="K29" s="2"/>
      <c r="L29" s="7">
        <f t="shared" si="14"/>
        <v>73.92</v>
      </c>
      <c r="M29" s="2"/>
      <c r="N29" s="6">
        <f t="shared" si="15"/>
        <v>0</v>
      </c>
      <c r="O29" s="11"/>
      <c r="P29" s="7">
        <v>73.92</v>
      </c>
      <c r="Q29" s="2"/>
      <c r="R29" s="6">
        <f t="shared" si="16"/>
        <v>3.282979801591126E-3</v>
      </c>
      <c r="S29" s="2"/>
      <c r="T29" s="7"/>
      <c r="U29" s="2"/>
      <c r="V29" s="6">
        <f t="shared" si="17"/>
        <v>0</v>
      </c>
      <c r="W29" s="2"/>
      <c r="X29" s="7">
        <f t="shared" si="18"/>
        <v>73.92</v>
      </c>
      <c r="Y29" s="2"/>
      <c r="Z29" s="6">
        <f t="shared" si="19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88.56</v>
      </c>
      <c r="E30" s="2"/>
      <c r="F30" s="6">
        <f t="shared" si="12"/>
        <v>5.1745958661663467E-3</v>
      </c>
      <c r="G30" s="2"/>
      <c r="H30" s="7"/>
      <c r="I30" s="2"/>
      <c r="J30" s="6">
        <f t="shared" si="13"/>
        <v>0</v>
      </c>
      <c r="K30" s="2"/>
      <c r="L30" s="7">
        <f t="shared" si="14"/>
        <v>88.56</v>
      </c>
      <c r="M30" s="2"/>
      <c r="N30" s="6">
        <f t="shared" si="15"/>
        <v>0</v>
      </c>
      <c r="O30" s="11"/>
      <c r="P30" s="7">
        <v>88.56</v>
      </c>
      <c r="Q30" s="2"/>
      <c r="R30" s="6">
        <f t="shared" si="16"/>
        <v>3.9331803467114465E-3</v>
      </c>
      <c r="S30" s="2"/>
      <c r="T30" s="7"/>
      <c r="U30" s="2"/>
      <c r="V30" s="6">
        <f t="shared" si="17"/>
        <v>0</v>
      </c>
      <c r="W30" s="2"/>
      <c r="X30" s="7">
        <f t="shared" si="18"/>
        <v>88.56</v>
      </c>
      <c r="Y30" s="2"/>
      <c r="Z30" s="6">
        <f t="shared" si="19"/>
        <v>0</v>
      </c>
    </row>
    <row r="31" spans="1:26" s="27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4544.93</v>
      </c>
      <c r="E31" s="1"/>
      <c r="F31" s="5">
        <f t="shared" ref="F31:F36" si="20">IF(D$12=0,0,D31/D$12)</f>
        <v>0.26556205950785244</v>
      </c>
      <c r="G31" s="1"/>
      <c r="H31" s="1">
        <f>SUM(OSRRefH22_1x_0)</f>
        <v>1885.63</v>
      </c>
      <c r="I31" s="1"/>
      <c r="J31" s="5">
        <f t="shared" ref="J31:J36" si="21">IF(H$12=0,0,H31/H$12)</f>
        <v>0.1146115904414871</v>
      </c>
      <c r="K31" s="1"/>
      <c r="L31" s="1">
        <f t="shared" ref="L31:L36" si="22">+D31-H31</f>
        <v>2659.3</v>
      </c>
      <c r="M31" s="1"/>
      <c r="N31" s="5">
        <f t="shared" ref="N31:N36" si="23">IF(H31=0,0,L31/H31)</f>
        <v>1.4102978845266569</v>
      </c>
      <c r="O31" s="14"/>
      <c r="P31" s="1">
        <f>SUM(OSRRefP22_1x_0)</f>
        <v>9599.65</v>
      </c>
      <c r="Q31" s="1"/>
      <c r="R31" s="5">
        <f t="shared" ref="R31:R36" si="24">IF(P$12=0,0,P31/P$12)</f>
        <v>0.42634546878171337</v>
      </c>
      <c r="S31" s="1"/>
      <c r="T31" s="1">
        <f>SUM(OSRRefT22_1x_0)</f>
        <v>3150.76</v>
      </c>
      <c r="U31" s="1"/>
      <c r="V31" s="5">
        <f t="shared" ref="V31:V36" si="25">IF(T$12=0,0,T31/T$12)</f>
        <v>0.14105792097647632</v>
      </c>
      <c r="W31" s="1"/>
      <c r="X31" s="1">
        <f t="shared" ref="X31:X36" si="26">+P31-T31</f>
        <v>6448.8899999999994</v>
      </c>
      <c r="Y31" s="1"/>
      <c r="Z31" s="5">
        <f t="shared" ref="Z31:Z36" si="27">IF(T31=0,0,X31/T31)</f>
        <v>2.0467728421079356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1728</v>
      </c>
      <c r="E32" s="2"/>
      <c r="F32" s="6">
        <f t="shared" si="20"/>
        <v>0.10096772421787993</v>
      </c>
      <c r="G32" s="2"/>
      <c r="H32" s="7"/>
      <c r="I32" s="2"/>
      <c r="J32" s="6">
        <f t="shared" si="21"/>
        <v>0</v>
      </c>
      <c r="K32" s="2"/>
      <c r="L32" s="7">
        <f t="shared" si="22"/>
        <v>1728</v>
      </c>
      <c r="M32" s="2"/>
      <c r="N32" s="6">
        <f t="shared" si="23"/>
        <v>0</v>
      </c>
      <c r="O32" s="11"/>
      <c r="P32" s="7">
        <v>4128</v>
      </c>
      <c r="Q32" s="2"/>
      <c r="R32" s="6">
        <f t="shared" si="24"/>
        <v>0.18333523567327067</v>
      </c>
      <c r="S32" s="2"/>
      <c r="T32" s="7"/>
      <c r="U32" s="2"/>
      <c r="V32" s="6">
        <f t="shared" si="25"/>
        <v>0</v>
      </c>
      <c r="W32" s="2"/>
      <c r="X32" s="7">
        <f t="shared" si="26"/>
        <v>4128</v>
      </c>
      <c r="Y32" s="2"/>
      <c r="Z32" s="6">
        <f t="shared" si="27"/>
        <v>0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>
        <v>757.06</v>
      </c>
      <c r="E33" s="2"/>
      <c r="F33" s="6">
        <f t="shared" si="20"/>
        <v>4.423531556503945E-2</v>
      </c>
      <c r="G33" s="2"/>
      <c r="H33" s="7"/>
      <c r="I33" s="2"/>
      <c r="J33" s="6">
        <f t="shared" si="21"/>
        <v>0</v>
      </c>
      <c r="K33" s="2"/>
      <c r="L33" s="7">
        <f t="shared" si="22"/>
        <v>757.06</v>
      </c>
      <c r="M33" s="2"/>
      <c r="N33" s="6">
        <f t="shared" si="23"/>
        <v>0</v>
      </c>
      <c r="O33" s="11"/>
      <c r="P33" s="7">
        <v>1708.78</v>
      </c>
      <c r="Q33" s="2"/>
      <c r="R33" s="6">
        <f t="shared" si="24"/>
        <v>7.5891372096359364E-2</v>
      </c>
      <c r="S33" s="2"/>
      <c r="T33" s="7"/>
      <c r="U33" s="2"/>
      <c r="V33" s="6">
        <f t="shared" si="25"/>
        <v>0</v>
      </c>
      <c r="W33" s="2"/>
      <c r="X33" s="7">
        <f t="shared" si="26"/>
        <v>1708.78</v>
      </c>
      <c r="Y33" s="2"/>
      <c r="Z33" s="6">
        <f t="shared" si="27"/>
        <v>0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7">
        <v>226.31</v>
      </c>
      <c r="E34" s="2"/>
      <c r="F34" s="6">
        <f t="shared" si="20"/>
        <v>1.3223382909576625E-2</v>
      </c>
      <c r="G34" s="2"/>
      <c r="H34" s="7">
        <v>287.88</v>
      </c>
      <c r="I34" s="2"/>
      <c r="J34" s="6">
        <f t="shared" si="21"/>
        <v>1.7497804265044204E-2</v>
      </c>
      <c r="K34" s="2"/>
      <c r="L34" s="7">
        <f t="shared" si="22"/>
        <v>-61.569999999999993</v>
      </c>
      <c r="M34" s="2"/>
      <c r="N34" s="6">
        <f t="shared" si="23"/>
        <v>-0.21387383632068915</v>
      </c>
      <c r="O34" s="11"/>
      <c r="P34" s="7">
        <v>908.43</v>
      </c>
      <c r="Q34" s="2"/>
      <c r="R34" s="6">
        <f t="shared" si="24"/>
        <v>4.0345743251615614E-2</v>
      </c>
      <c r="S34" s="2"/>
      <c r="T34" s="7">
        <v>575.76</v>
      </c>
      <c r="U34" s="2"/>
      <c r="V34" s="6">
        <f t="shared" si="25"/>
        <v>2.577648204922495E-2</v>
      </c>
      <c r="W34" s="2"/>
      <c r="X34" s="7">
        <f t="shared" si="26"/>
        <v>332.66999999999996</v>
      </c>
      <c r="Y34" s="2"/>
      <c r="Z34" s="6">
        <f t="shared" si="27"/>
        <v>0.57779283034597739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>
        <v>1760.25</v>
      </c>
      <c r="E35" s="2"/>
      <c r="F35" s="6">
        <f t="shared" si="20"/>
        <v>0.10285210448757126</v>
      </c>
      <c r="G35" s="2"/>
      <c r="H35" s="7">
        <v>1597.75</v>
      </c>
      <c r="I35" s="2"/>
      <c r="J35" s="6">
        <f t="shared" si="21"/>
        <v>9.7113786176442882E-2</v>
      </c>
      <c r="K35" s="2"/>
      <c r="L35" s="7">
        <f t="shared" si="22"/>
        <v>162.5</v>
      </c>
      <c r="M35" s="2"/>
      <c r="N35" s="6">
        <f t="shared" si="23"/>
        <v>0.10170552339227037</v>
      </c>
      <c r="O35" s="11"/>
      <c r="P35" s="7">
        <v>2781.13</v>
      </c>
      <c r="Q35" s="2"/>
      <c r="R35" s="6">
        <f t="shared" si="24"/>
        <v>0.12351722964825661</v>
      </c>
      <c r="S35" s="2"/>
      <c r="T35" s="7">
        <v>2575</v>
      </c>
      <c r="U35" s="2"/>
      <c r="V35" s="6">
        <f t="shared" si="25"/>
        <v>0.11528143892725137</v>
      </c>
      <c r="W35" s="2"/>
      <c r="X35" s="7">
        <f t="shared" si="26"/>
        <v>206.13000000000011</v>
      </c>
      <c r="Y35" s="2"/>
      <c r="Z35" s="6">
        <f t="shared" si="27"/>
        <v>8.0050485436893248E-2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7">
        <v>73.31</v>
      </c>
      <c r="E36" s="2"/>
      <c r="F36" s="6">
        <f t="shared" si="20"/>
        <v>4.2835323277851728E-3</v>
      </c>
      <c r="G36" s="2"/>
      <c r="H36" s="7"/>
      <c r="I36" s="2"/>
      <c r="J36" s="6">
        <f t="shared" si="21"/>
        <v>0</v>
      </c>
      <c r="K36" s="2"/>
      <c r="L36" s="7">
        <f t="shared" si="22"/>
        <v>73.31</v>
      </c>
      <c r="M36" s="2"/>
      <c r="N36" s="6">
        <f t="shared" si="23"/>
        <v>0</v>
      </c>
      <c r="O36" s="11"/>
      <c r="P36" s="7">
        <v>73.31</v>
      </c>
      <c r="Q36" s="2"/>
      <c r="R36" s="6">
        <f t="shared" si="24"/>
        <v>3.2558881122111125E-3</v>
      </c>
      <c r="S36" s="2"/>
      <c r="T36" s="7"/>
      <c r="U36" s="2"/>
      <c r="V36" s="6">
        <f t="shared" si="25"/>
        <v>0</v>
      </c>
      <c r="W36" s="2"/>
      <c r="X36" s="7">
        <f t="shared" si="26"/>
        <v>73.31</v>
      </c>
      <c r="Y36" s="2"/>
      <c r="Z36" s="6">
        <f t="shared" si="27"/>
        <v>0</v>
      </c>
    </row>
    <row r="37" spans="1:26" s="27" customFormat="1" outlineLevel="1" collapsed="1" x14ac:dyDescent="0.25">
      <c r="A37" s="28"/>
      <c r="B37" s="14" t="str">
        <f>CONCATENATE("     ","Bad Debts/Over/Short                              ")</f>
        <v xml:space="preserve">     Bad Debts/Over/Short                              </v>
      </c>
      <c r="C37" s="14"/>
      <c r="D37" s="1">
        <f>SUM(OSRRefD22_2x_0)</f>
        <v>-2.52</v>
      </c>
      <c r="E37" s="1"/>
      <c r="F37" s="5">
        <f t="shared" ref="F37:F51" si="28">IF(D$12=0,0,D37/D$12)</f>
        <v>-1.4724459781774156E-4</v>
      </c>
      <c r="G37" s="1"/>
      <c r="H37" s="1">
        <f>SUM(OSRRefH22_2x_0)</f>
        <v>9.6199999999999992</v>
      </c>
      <c r="I37" s="1"/>
      <c r="J37" s="5">
        <f t="shared" ref="J37:J51" si="29">IF(H$12=0,0,H37/H$12)</f>
        <v>5.8471890033946522E-4</v>
      </c>
      <c r="K37" s="1"/>
      <c r="L37" s="1">
        <f t="shared" ref="L37:L51" si="30">+D37-H37</f>
        <v>-12.139999999999999</v>
      </c>
      <c r="M37" s="1"/>
      <c r="N37" s="5">
        <f t="shared" ref="N37:N51" si="31">IF(H37=0,0,L37/H37)</f>
        <v>-1.2619542619542619</v>
      </c>
      <c r="O37" s="14"/>
      <c r="P37" s="1">
        <f>SUM(OSRRefP22_2x_0)</f>
        <v>1.91</v>
      </c>
      <c r="Q37" s="1"/>
      <c r="R37" s="5">
        <f t="shared" ref="R37:R51" si="32">IF(P$12=0,0,P37/P$12)</f>
        <v>8.4828076583320477E-5</v>
      </c>
      <c r="S37" s="1"/>
      <c r="T37" s="1">
        <f>SUM(OSRRefT22_2x_0)</f>
        <v>26.73</v>
      </c>
      <c r="U37" s="1"/>
      <c r="V37" s="5">
        <f t="shared" ref="V37:V51" si="33">IF(T$12=0,0,T37/T$12)</f>
        <v>1.1966884903011376E-3</v>
      </c>
      <c r="W37" s="1"/>
      <c r="X37" s="1">
        <f t="shared" ref="X37:X51" si="34">+P37-T37</f>
        <v>-24.82</v>
      </c>
      <c r="Y37" s="1"/>
      <c r="Z37" s="5">
        <f t="shared" ref="Z37:Z51" si="35">IF(T37=0,0,X37/T37)</f>
        <v>-0.92854470632248409</v>
      </c>
    </row>
    <row r="38" spans="1:26" s="24" customFormat="1" hidden="1" outlineLevel="2" x14ac:dyDescent="0.25">
      <c r="A38" s="29"/>
      <c r="B38" s="11" t="str">
        <f>CONCATENATE("          ", "6272", " - ", "CASH (OVER/SHORT)")</f>
        <v xml:space="preserve">          6272 - CASH (OVER/SHORT)</v>
      </c>
      <c r="C38" s="11"/>
      <c r="D38" s="7">
        <v>-2.52</v>
      </c>
      <c r="E38" s="2"/>
      <c r="F38" s="6">
        <f t="shared" si="28"/>
        <v>-1.4724459781774156E-4</v>
      </c>
      <c r="G38" s="2"/>
      <c r="H38" s="7">
        <v>9.6199999999999992</v>
      </c>
      <c r="I38" s="2"/>
      <c r="J38" s="6">
        <f t="shared" si="29"/>
        <v>5.8471890033946522E-4</v>
      </c>
      <c r="K38" s="2"/>
      <c r="L38" s="7">
        <f t="shared" si="30"/>
        <v>-12.139999999999999</v>
      </c>
      <c r="M38" s="2"/>
      <c r="N38" s="6">
        <f t="shared" si="31"/>
        <v>-1.2619542619542619</v>
      </c>
      <c r="O38" s="11"/>
      <c r="P38" s="7">
        <v>1.91</v>
      </c>
      <c r="Q38" s="2"/>
      <c r="R38" s="6">
        <f t="shared" si="32"/>
        <v>8.4828076583320477E-5</v>
      </c>
      <c r="S38" s="2"/>
      <c r="T38" s="7">
        <v>26.73</v>
      </c>
      <c r="U38" s="2"/>
      <c r="V38" s="6">
        <f t="shared" si="33"/>
        <v>1.1966884903011376E-3</v>
      </c>
      <c r="W38" s="2"/>
      <c r="X38" s="7">
        <f t="shared" si="34"/>
        <v>-24.82</v>
      </c>
      <c r="Y38" s="2"/>
      <c r="Z38" s="6">
        <f t="shared" si="35"/>
        <v>-0.92854470632248409</v>
      </c>
    </row>
    <row r="39" spans="1:26" s="27" customFormat="1" outlineLevel="1" collapsed="1" x14ac:dyDescent="0.25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615.33000000000004</v>
      </c>
      <c r="E39" s="1"/>
      <c r="F39" s="5">
        <f t="shared" si="28"/>
        <v>3.5953975545710684E-2</v>
      </c>
      <c r="G39" s="1"/>
      <c r="H39" s="1">
        <f>SUM(OSRRefH22_3x_0)</f>
        <v>512.41999999999996</v>
      </c>
      <c r="I39" s="1"/>
      <c r="J39" s="5">
        <f t="shared" si="29"/>
        <v>3.1145702589599662E-2</v>
      </c>
      <c r="K39" s="1"/>
      <c r="L39" s="1">
        <f t="shared" si="30"/>
        <v>102.91000000000008</v>
      </c>
      <c r="M39" s="1"/>
      <c r="N39" s="5">
        <f t="shared" si="31"/>
        <v>0.20083134928379082</v>
      </c>
      <c r="O39" s="14"/>
      <c r="P39" s="1">
        <f>SUM(OSRRefP22_3x_0)</f>
        <v>749.09</v>
      </c>
      <c r="Q39" s="1"/>
      <c r="R39" s="5">
        <f t="shared" si="32"/>
        <v>3.3269038684711802E-2</v>
      </c>
      <c r="S39" s="1"/>
      <c r="T39" s="1">
        <f>SUM(OSRRefT22_3x_0)</f>
        <v>636</v>
      </c>
      <c r="U39" s="1"/>
      <c r="V39" s="5">
        <f t="shared" si="33"/>
        <v>2.8473396177759951E-2</v>
      </c>
      <c r="W39" s="1"/>
      <c r="X39" s="1">
        <f t="shared" si="34"/>
        <v>113.09000000000003</v>
      </c>
      <c r="Y39" s="1"/>
      <c r="Z39" s="5">
        <f t="shared" si="35"/>
        <v>0.17781446540880508</v>
      </c>
    </row>
    <row r="40" spans="1:26" s="24" customFormat="1" hidden="1" outlineLevel="2" x14ac:dyDescent="0.25">
      <c r="A40" s="29"/>
      <c r="B40" s="11" t="str">
        <f>CONCATENATE("          ", "6381", " - ", "BANK/CREDIT CARD FEES")</f>
        <v xml:space="preserve">          6381 - BANK/CREDIT CARD FEES</v>
      </c>
      <c r="C40" s="11"/>
      <c r="D40" s="7">
        <v>615.33000000000004</v>
      </c>
      <c r="E40" s="2"/>
      <c r="F40" s="6">
        <f t="shared" si="28"/>
        <v>3.5953975545710684E-2</v>
      </c>
      <c r="G40" s="2"/>
      <c r="H40" s="7">
        <v>512.41999999999996</v>
      </c>
      <c r="I40" s="2"/>
      <c r="J40" s="6">
        <f t="shared" si="29"/>
        <v>3.1145702589599662E-2</v>
      </c>
      <c r="K40" s="2"/>
      <c r="L40" s="7">
        <f t="shared" si="30"/>
        <v>102.91000000000008</v>
      </c>
      <c r="M40" s="2"/>
      <c r="N40" s="6">
        <f t="shared" si="31"/>
        <v>0.20083134928379082</v>
      </c>
      <c r="O40" s="11"/>
      <c r="P40" s="7">
        <v>749.09</v>
      </c>
      <c r="Q40" s="2"/>
      <c r="R40" s="6">
        <f t="shared" si="32"/>
        <v>3.3269038684711802E-2</v>
      </c>
      <c r="S40" s="2"/>
      <c r="T40" s="7">
        <v>636</v>
      </c>
      <c r="U40" s="2"/>
      <c r="V40" s="6">
        <f t="shared" si="33"/>
        <v>2.8473396177759951E-2</v>
      </c>
      <c r="W40" s="2"/>
      <c r="X40" s="7">
        <f t="shared" si="34"/>
        <v>113.09000000000003</v>
      </c>
      <c r="Y40" s="2"/>
      <c r="Z40" s="6">
        <f t="shared" si="35"/>
        <v>0.17781446540880508</v>
      </c>
    </row>
    <row r="41" spans="1:26" s="27" customFormat="1" outlineLevel="1" collapsed="1" x14ac:dyDescent="0.25">
      <c r="A41" s="28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SUM(OSRRefD22_4x_0)</f>
        <v>968.86</v>
      </c>
      <c r="E41" s="1"/>
      <c r="F41" s="5">
        <f t="shared" si="28"/>
        <v>5.6610873429244875E-2</v>
      </c>
      <c r="G41" s="1"/>
      <c r="H41" s="1">
        <f>SUM(OSRRefH22_4x_0)</f>
        <v>968.86</v>
      </c>
      <c r="I41" s="1"/>
      <c r="J41" s="5">
        <f t="shared" si="29"/>
        <v>5.8888851744583609E-2</v>
      </c>
      <c r="K41" s="1"/>
      <c r="L41" s="1">
        <f t="shared" si="30"/>
        <v>0</v>
      </c>
      <c r="M41" s="1"/>
      <c r="N41" s="5">
        <f t="shared" si="31"/>
        <v>0</v>
      </c>
      <c r="O41" s="14"/>
      <c r="P41" s="1">
        <f>SUM(OSRRefP22_4x_0)</f>
        <v>1937.72</v>
      </c>
      <c r="Q41" s="1"/>
      <c r="R41" s="5">
        <f t="shared" si="32"/>
        <v>8.6059194008917164E-2</v>
      </c>
      <c r="S41" s="1"/>
      <c r="T41" s="1">
        <f>SUM(OSRRefT22_4x_0)</f>
        <v>1937.72</v>
      </c>
      <c r="U41" s="1"/>
      <c r="V41" s="5">
        <f t="shared" si="33"/>
        <v>8.6750737801209135E-2</v>
      </c>
      <c r="W41" s="1"/>
      <c r="X41" s="1">
        <f t="shared" si="34"/>
        <v>0</v>
      </c>
      <c r="Y41" s="1"/>
      <c r="Z41" s="5">
        <f t="shared" si="35"/>
        <v>0</v>
      </c>
    </row>
    <row r="42" spans="1:26" s="24" customFormat="1" hidden="1" outlineLevel="2" x14ac:dyDescent="0.25">
      <c r="A42" s="29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968.86</v>
      </c>
      <c r="E42" s="2"/>
      <c r="F42" s="6">
        <f t="shared" si="28"/>
        <v>5.6610873429244875E-2</v>
      </c>
      <c r="G42" s="2"/>
      <c r="H42" s="7">
        <v>968.86</v>
      </c>
      <c r="I42" s="2"/>
      <c r="J42" s="6">
        <f t="shared" si="29"/>
        <v>5.8888851744583609E-2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>
        <v>1937.72</v>
      </c>
      <c r="Q42" s="2"/>
      <c r="R42" s="6">
        <f t="shared" si="32"/>
        <v>8.6059194008917164E-2</v>
      </c>
      <c r="S42" s="2"/>
      <c r="T42" s="7">
        <v>1937.72</v>
      </c>
      <c r="U42" s="2"/>
      <c r="V42" s="6">
        <f t="shared" si="33"/>
        <v>8.6750737801209135E-2</v>
      </c>
      <c r="W42" s="2"/>
      <c r="X42" s="7">
        <f t="shared" si="34"/>
        <v>0</v>
      </c>
      <c r="Y42" s="2"/>
      <c r="Z42" s="6">
        <f t="shared" si="35"/>
        <v>0</v>
      </c>
    </row>
    <row r="43" spans="1:26" s="27" customFormat="1" outlineLevel="1" collapsed="1" x14ac:dyDescent="0.25">
      <c r="A43" s="28"/>
      <c r="B43" s="14" t="str">
        <f>CONCATENATE("     ","General                                           ")</f>
        <v xml:space="preserve">     General                                           </v>
      </c>
      <c r="C43" s="14"/>
      <c r="D43" s="1">
        <f>SUM(OSRRefD22_5x_0)</f>
        <v>12.25</v>
      </c>
      <c r="E43" s="1"/>
      <c r="F43" s="5">
        <f t="shared" si="28"/>
        <v>7.1577235050291038E-4</v>
      </c>
      <c r="G43" s="1"/>
      <c r="H43" s="1">
        <f>SUM(OSRRefH22_5x_0)</f>
        <v>20</v>
      </c>
      <c r="I43" s="1"/>
      <c r="J43" s="5">
        <f t="shared" si="29"/>
        <v>1.2156318094375576E-3</v>
      </c>
      <c r="K43" s="1"/>
      <c r="L43" s="1">
        <f t="shared" si="30"/>
        <v>-7.75</v>
      </c>
      <c r="M43" s="1"/>
      <c r="N43" s="5">
        <f t="shared" si="31"/>
        <v>-0.38750000000000001</v>
      </c>
      <c r="O43" s="14"/>
      <c r="P43" s="1">
        <f>SUM(OSRRefP22_5x_0)</f>
        <v>746.3</v>
      </c>
      <c r="Q43" s="1"/>
      <c r="R43" s="5">
        <f t="shared" si="32"/>
        <v>3.3145127515252393E-2</v>
      </c>
      <c r="S43" s="1"/>
      <c r="T43" s="1">
        <f>SUM(OSRRefT22_5x_0)</f>
        <v>724.2</v>
      </c>
      <c r="U43" s="1"/>
      <c r="V43" s="5">
        <f t="shared" si="33"/>
        <v>3.2422065270336094E-2</v>
      </c>
      <c r="W43" s="1"/>
      <c r="X43" s="1">
        <f t="shared" si="34"/>
        <v>22.099999999999909</v>
      </c>
      <c r="Y43" s="1"/>
      <c r="Z43" s="5">
        <f t="shared" si="35"/>
        <v>3.0516431924882501E-2</v>
      </c>
    </row>
    <row r="44" spans="1:26" s="24" customFormat="1" hidden="1" outlineLevel="2" x14ac:dyDescent="0.25">
      <c r="A44" s="29"/>
      <c r="B44" s="11" t="str">
        <f>CONCATENATE("          ", "6279", " - ", "GENERAL EXPENSE")</f>
        <v xml:space="preserve">          6279 - GENERAL EXPENSE</v>
      </c>
      <c r="C44" s="11"/>
      <c r="D44" s="7">
        <v>12.25</v>
      </c>
      <c r="E44" s="2"/>
      <c r="F44" s="6">
        <f t="shared" si="28"/>
        <v>7.1577235050291038E-4</v>
      </c>
      <c r="G44" s="2"/>
      <c r="H44" s="7">
        <v>20</v>
      </c>
      <c r="I44" s="2"/>
      <c r="J44" s="6">
        <f t="shared" si="29"/>
        <v>1.2156318094375576E-3</v>
      </c>
      <c r="K44" s="2"/>
      <c r="L44" s="7">
        <f t="shared" si="30"/>
        <v>-7.75</v>
      </c>
      <c r="M44" s="2"/>
      <c r="N44" s="6">
        <f t="shared" si="31"/>
        <v>-0.38750000000000001</v>
      </c>
      <c r="O44" s="11"/>
      <c r="P44" s="7">
        <v>746.3</v>
      </c>
      <c r="Q44" s="2"/>
      <c r="R44" s="6">
        <f t="shared" si="32"/>
        <v>3.3145127515252393E-2</v>
      </c>
      <c r="S44" s="2"/>
      <c r="T44" s="7">
        <v>724.2</v>
      </c>
      <c r="U44" s="2"/>
      <c r="V44" s="6">
        <f t="shared" si="33"/>
        <v>3.2422065270336094E-2</v>
      </c>
      <c r="W44" s="2"/>
      <c r="X44" s="7">
        <f t="shared" si="34"/>
        <v>22.099999999999909</v>
      </c>
      <c r="Y44" s="2"/>
      <c r="Z44" s="6">
        <f t="shared" si="35"/>
        <v>3.0516431924882501E-2</v>
      </c>
    </row>
    <row r="45" spans="1:26" s="27" customFormat="1" outlineLevel="1" collapsed="1" x14ac:dyDescent="0.25">
      <c r="A45" s="28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SUM(OSRRefD22_6x_0)</f>
        <v>0</v>
      </c>
      <c r="E45" s="1"/>
      <c r="F45" s="5">
        <f t="shared" si="28"/>
        <v>0</v>
      </c>
      <c r="G45" s="1"/>
      <c r="H45" s="1">
        <f>SUM(OSRRefH22_6x_0)</f>
        <v>0</v>
      </c>
      <c r="I45" s="1"/>
      <c r="J45" s="5">
        <f t="shared" si="29"/>
        <v>0</v>
      </c>
      <c r="K45" s="1"/>
      <c r="L45" s="1">
        <f t="shared" si="30"/>
        <v>0</v>
      </c>
      <c r="M45" s="1"/>
      <c r="N45" s="5">
        <f t="shared" si="31"/>
        <v>0</v>
      </c>
      <c r="O45" s="14"/>
      <c r="P45" s="1">
        <f>SUM(OSRRefP22_6x_0)</f>
        <v>36.42</v>
      </c>
      <c r="Q45" s="1"/>
      <c r="R45" s="5">
        <f t="shared" si="32"/>
        <v>1.6175070938034201E-3</v>
      </c>
      <c r="S45" s="1"/>
      <c r="T45" s="1">
        <f>SUM(OSRRefT22_6x_0)</f>
        <v>0</v>
      </c>
      <c r="U45" s="1"/>
      <c r="V45" s="5">
        <f t="shared" si="33"/>
        <v>0</v>
      </c>
      <c r="W45" s="1"/>
      <c r="X45" s="1">
        <f t="shared" si="34"/>
        <v>36.42</v>
      </c>
      <c r="Y45" s="1"/>
      <c r="Z45" s="5">
        <f t="shared" si="35"/>
        <v>0</v>
      </c>
    </row>
    <row r="46" spans="1:26" s="24" customFormat="1" hidden="1" outlineLevel="2" x14ac:dyDescent="0.25">
      <c r="A46" s="29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36.42</v>
      </c>
      <c r="Q46" s="2"/>
      <c r="R46" s="6">
        <f t="shared" si="32"/>
        <v>1.6175070938034201E-3</v>
      </c>
      <c r="S46" s="2"/>
      <c r="T46" s="7"/>
      <c r="U46" s="2"/>
      <c r="V46" s="6">
        <f t="shared" si="33"/>
        <v>0</v>
      </c>
      <c r="W46" s="2"/>
      <c r="X46" s="7">
        <f t="shared" si="34"/>
        <v>36.42</v>
      </c>
      <c r="Y46" s="2"/>
      <c r="Z46" s="6">
        <f t="shared" si="35"/>
        <v>0</v>
      </c>
    </row>
    <row r="47" spans="1:26" s="27" customFormat="1" outlineLevel="1" collapsed="1" x14ac:dyDescent="0.25">
      <c r="A47" s="28"/>
      <c r="B47" s="14" t="str">
        <f>CONCATENATE("     ","Royalty &amp; Commissions                             ")</f>
        <v xml:space="preserve">     Royalty &amp; Commissions                             </v>
      </c>
      <c r="C47" s="14"/>
      <c r="D47" s="1">
        <f>SUM(OSRRefD22_7x_0)</f>
        <v>0</v>
      </c>
      <c r="E47" s="1"/>
      <c r="F47" s="5">
        <f t="shared" si="28"/>
        <v>0</v>
      </c>
      <c r="G47" s="1"/>
      <c r="H47" s="1">
        <f>SUM(OSRRefH22_7x_0)</f>
        <v>1233.9000000000001</v>
      </c>
      <c r="I47" s="1"/>
      <c r="J47" s="5">
        <f t="shared" si="29"/>
        <v>7.4998404483250125E-2</v>
      </c>
      <c r="K47" s="1"/>
      <c r="L47" s="1">
        <f t="shared" si="30"/>
        <v>-1233.9000000000001</v>
      </c>
      <c r="M47" s="1"/>
      <c r="N47" s="5">
        <f t="shared" si="31"/>
        <v>-1</v>
      </c>
      <c r="O47" s="14"/>
      <c r="P47" s="1">
        <f>SUM(OSRRefP22_7x_0)</f>
        <v>0</v>
      </c>
      <c r="Q47" s="1"/>
      <c r="R47" s="5">
        <f t="shared" si="32"/>
        <v>0</v>
      </c>
      <c r="S47" s="1"/>
      <c r="T47" s="1">
        <f>SUM(OSRRefT22_7x_0)</f>
        <v>1675.2</v>
      </c>
      <c r="U47" s="1"/>
      <c r="V47" s="5">
        <f t="shared" si="33"/>
        <v>7.4997851064439416E-2</v>
      </c>
      <c r="W47" s="1"/>
      <c r="X47" s="1">
        <f t="shared" si="34"/>
        <v>-1675.2</v>
      </c>
      <c r="Y47" s="1"/>
      <c r="Z47" s="5">
        <f t="shared" si="35"/>
        <v>-1</v>
      </c>
    </row>
    <row r="48" spans="1:26" s="24" customFormat="1" hidden="1" outlineLevel="2" x14ac:dyDescent="0.25">
      <c r="A48" s="29"/>
      <c r="B48" s="11" t="str">
        <f>CONCATENATE("          ", "6254", " - ", "ROYALTY &amp; COMMISSIONS")</f>
        <v xml:space="preserve">          6254 - ROYALTY &amp; COMMISSIONS</v>
      </c>
      <c r="C48" s="11"/>
      <c r="D48" s="7"/>
      <c r="E48" s="2"/>
      <c r="F48" s="6">
        <f t="shared" si="28"/>
        <v>0</v>
      </c>
      <c r="G48" s="2"/>
      <c r="H48" s="7">
        <v>1233.9000000000001</v>
      </c>
      <c r="I48" s="2"/>
      <c r="J48" s="6">
        <f t="shared" si="29"/>
        <v>7.4998404483250125E-2</v>
      </c>
      <c r="K48" s="2"/>
      <c r="L48" s="7">
        <f t="shared" si="30"/>
        <v>-1233.9000000000001</v>
      </c>
      <c r="M48" s="2"/>
      <c r="N48" s="6">
        <f t="shared" si="31"/>
        <v>-1</v>
      </c>
      <c r="O48" s="11"/>
      <c r="P48" s="7"/>
      <c r="Q48" s="2"/>
      <c r="R48" s="6">
        <f t="shared" si="32"/>
        <v>0</v>
      </c>
      <c r="S48" s="2"/>
      <c r="T48" s="7">
        <v>1675.2</v>
      </c>
      <c r="U48" s="2"/>
      <c r="V48" s="6">
        <f t="shared" si="33"/>
        <v>7.4997851064439416E-2</v>
      </c>
      <c r="W48" s="2"/>
      <c r="X48" s="7">
        <f t="shared" si="34"/>
        <v>-1675.2</v>
      </c>
      <c r="Y48" s="2"/>
      <c r="Z48" s="6">
        <f t="shared" si="35"/>
        <v>-1</v>
      </c>
    </row>
    <row r="49" spans="1:26" s="27" customFormat="1" outlineLevel="1" collapsed="1" x14ac:dyDescent="0.25">
      <c r="A49" s="28"/>
      <c r="B49" s="14" t="str">
        <f>CONCATENATE("     ","Services                                          ")</f>
        <v xml:space="preserve">     Services                                          </v>
      </c>
      <c r="C49" s="14"/>
      <c r="D49" s="1">
        <f>SUM(OSRRefD22_8x_0)</f>
        <v>174.18</v>
      </c>
      <c r="E49" s="1"/>
      <c r="F49" s="5">
        <f t="shared" si="28"/>
        <v>1.0177406368211994E-2</v>
      </c>
      <c r="G49" s="1"/>
      <c r="H49" s="1">
        <f>SUM(OSRRefH22_8x_0)</f>
        <v>153.93</v>
      </c>
      <c r="I49" s="1"/>
      <c r="J49" s="5">
        <f t="shared" si="29"/>
        <v>9.3561102213361638E-3</v>
      </c>
      <c r="K49" s="1"/>
      <c r="L49" s="1">
        <f t="shared" si="30"/>
        <v>20.25</v>
      </c>
      <c r="M49" s="1"/>
      <c r="N49" s="5">
        <f t="shared" si="31"/>
        <v>0.13155330344961996</v>
      </c>
      <c r="O49" s="14"/>
      <c r="P49" s="1">
        <f>SUM(OSRRefP22_8x_0)</f>
        <v>291.18</v>
      </c>
      <c r="Q49" s="1"/>
      <c r="R49" s="5">
        <f t="shared" si="32"/>
        <v>1.2932062481429979E-2</v>
      </c>
      <c r="S49" s="1"/>
      <c r="T49" s="1">
        <f>SUM(OSRRefT22_8x_0)</f>
        <v>219.24</v>
      </c>
      <c r="U49" s="1"/>
      <c r="V49" s="5">
        <f t="shared" si="33"/>
        <v>9.8152631729749879E-3</v>
      </c>
      <c r="W49" s="1"/>
      <c r="X49" s="1">
        <f t="shared" si="34"/>
        <v>71.94</v>
      </c>
      <c r="Y49" s="1"/>
      <c r="Z49" s="5">
        <f t="shared" si="35"/>
        <v>0.32813355227148328</v>
      </c>
    </row>
    <row r="50" spans="1:26" s="24" customFormat="1" hidden="1" outlineLevel="2" x14ac:dyDescent="0.25">
      <c r="A50" s="29"/>
      <c r="B50" s="11" t="str">
        <f>CONCATENATE("          ", "6285", " - ", "JANITORIAL SERVICES")</f>
        <v xml:space="preserve">          6285 - JANITORIAL SERVICES</v>
      </c>
      <c r="C50" s="11"/>
      <c r="D50" s="7">
        <v>22.62</v>
      </c>
      <c r="E50" s="2"/>
      <c r="F50" s="6">
        <f t="shared" si="28"/>
        <v>1.3216955566021089E-3</v>
      </c>
      <c r="G50" s="2"/>
      <c r="H50" s="7">
        <v>21</v>
      </c>
      <c r="I50" s="2"/>
      <c r="J50" s="6">
        <f t="shared" si="29"/>
        <v>1.2764133999094355E-3</v>
      </c>
      <c r="K50" s="2"/>
      <c r="L50" s="7">
        <f t="shared" si="30"/>
        <v>1.620000000000001</v>
      </c>
      <c r="M50" s="2"/>
      <c r="N50" s="6">
        <f t="shared" si="31"/>
        <v>7.7142857142857194E-2</v>
      </c>
      <c r="O50" s="11"/>
      <c r="P50" s="7">
        <v>45.24</v>
      </c>
      <c r="Q50" s="2"/>
      <c r="R50" s="6">
        <f t="shared" si="32"/>
        <v>2.0092262746750885E-3</v>
      </c>
      <c r="S50" s="2"/>
      <c r="T50" s="7">
        <v>42</v>
      </c>
      <c r="U50" s="2"/>
      <c r="V50" s="6">
        <f t="shared" si="33"/>
        <v>1.8803186155124496E-3</v>
      </c>
      <c r="W50" s="2"/>
      <c r="X50" s="7">
        <f t="shared" si="34"/>
        <v>3.240000000000002</v>
      </c>
      <c r="Y50" s="2"/>
      <c r="Z50" s="6">
        <f t="shared" si="35"/>
        <v>7.7142857142857194E-2</v>
      </c>
    </row>
    <row r="51" spans="1:26" s="24" customFormat="1" hidden="1" outlineLevel="2" x14ac:dyDescent="0.25">
      <c r="A51" s="29"/>
      <c r="B51" s="11" t="str">
        <f>CONCATENATE("          ", "6286", " - ", "LAUNDRY EXPENSE")</f>
        <v xml:space="preserve">          6286 - LAUNDRY EXPENSE</v>
      </c>
      <c r="C51" s="11"/>
      <c r="D51" s="7">
        <v>151.56</v>
      </c>
      <c r="E51" s="2"/>
      <c r="F51" s="6">
        <f t="shared" si="28"/>
        <v>8.8557108116098862E-3</v>
      </c>
      <c r="G51" s="2"/>
      <c r="H51" s="7">
        <v>132.93</v>
      </c>
      <c r="I51" s="2"/>
      <c r="J51" s="6">
        <f t="shared" si="29"/>
        <v>8.0796968214267278E-3</v>
      </c>
      <c r="K51" s="2"/>
      <c r="L51" s="7">
        <f t="shared" si="30"/>
        <v>18.629999999999995</v>
      </c>
      <c r="M51" s="2"/>
      <c r="N51" s="6">
        <f t="shared" si="31"/>
        <v>0.14014895057549082</v>
      </c>
      <c r="O51" s="11"/>
      <c r="P51" s="7">
        <v>245.94</v>
      </c>
      <c r="Q51" s="2"/>
      <c r="R51" s="6">
        <f t="shared" si="32"/>
        <v>1.0922836206754891E-2</v>
      </c>
      <c r="S51" s="2"/>
      <c r="T51" s="7">
        <v>177.24</v>
      </c>
      <c r="U51" s="2"/>
      <c r="V51" s="6">
        <f t="shared" si="33"/>
        <v>7.9349445574625373E-3</v>
      </c>
      <c r="W51" s="2"/>
      <c r="X51" s="7">
        <f t="shared" si="34"/>
        <v>68.699999999999989</v>
      </c>
      <c r="Y51" s="2"/>
      <c r="Z51" s="6">
        <f t="shared" si="35"/>
        <v>0.38761002031144204</v>
      </c>
    </row>
    <row r="52" spans="1:26" s="27" customFormat="1" outlineLevel="1" collapsed="1" x14ac:dyDescent="0.25">
      <c r="A52" s="28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SUM(OSRRefD22_9x_0)</f>
        <v>1608.1100000000001</v>
      </c>
      <c r="E52" s="1"/>
      <c r="F52" s="5">
        <f t="shared" ref="F52:F57" si="36">IF(D$12=0,0,D52/D$12)</f>
        <v>9.396250404630492E-2</v>
      </c>
      <c r="G52" s="1"/>
      <c r="H52" s="1">
        <f>SUM(OSRRefH22_9x_0)</f>
        <v>1274.1300000000001</v>
      </c>
      <c r="I52" s="1"/>
      <c r="J52" s="5">
        <f t="shared" ref="J52:J57" si="37">IF(H$12=0,0,H52/H$12)</f>
        <v>7.7443647867933771E-2</v>
      </c>
      <c r="K52" s="1"/>
      <c r="L52" s="1">
        <f t="shared" ref="L52:L57" si="38">+D52-H52</f>
        <v>333.98</v>
      </c>
      <c r="M52" s="1"/>
      <c r="N52" s="5">
        <f t="shared" ref="N52:N57" si="39">IF(H52=0,0,L52/H52)</f>
        <v>0.26212395909365604</v>
      </c>
      <c r="O52" s="14"/>
      <c r="P52" s="1">
        <f>SUM(OSRRefP22_9x_0)</f>
        <v>2724.64</v>
      </c>
      <c r="Q52" s="1"/>
      <c r="R52" s="5">
        <f t="shared" ref="R52:R57" si="40">IF(P$12=0,0,P52/P$12)</f>
        <v>0.1210083615612452</v>
      </c>
      <c r="S52" s="1"/>
      <c r="T52" s="1">
        <f>SUM(OSRRefT22_9x_0)</f>
        <v>1309.98</v>
      </c>
      <c r="U52" s="1"/>
      <c r="V52" s="5">
        <f t="shared" ref="V52:V57" si="41">IF(T$12=0,0,T52/T$12)</f>
        <v>5.86471376178333E-2</v>
      </c>
      <c r="W52" s="1"/>
      <c r="X52" s="1">
        <f t="shared" ref="X52:X57" si="42">+P52-T52</f>
        <v>1414.6599999999999</v>
      </c>
      <c r="Y52" s="1"/>
      <c r="Z52" s="5">
        <f t="shared" ref="Z52:Z57" si="43">IF(T52=0,0,X52/T52)</f>
        <v>1.0799096169407165</v>
      </c>
    </row>
    <row r="53" spans="1:26" s="24" customFormat="1" hidden="1" outlineLevel="2" x14ac:dyDescent="0.25">
      <c r="A53" s="29"/>
      <c r="B53" s="11" t="str">
        <f>CONCATENATE("          ", "6234", " - ", "EXPENDABLE SUPPLIES &amp; EQUIPMEN")</f>
        <v xml:space="preserve">          6234 - EXPENDABLE SUPPLIES &amp; EQUIPMEN</v>
      </c>
      <c r="C53" s="11"/>
      <c r="D53" s="7">
        <v>354.71</v>
      </c>
      <c r="E53" s="2"/>
      <c r="F53" s="6">
        <f t="shared" si="36"/>
        <v>2.0725845750766313E-2</v>
      </c>
      <c r="G53" s="2"/>
      <c r="H53" s="7"/>
      <c r="I53" s="2"/>
      <c r="J53" s="6">
        <f t="shared" si="37"/>
        <v>0</v>
      </c>
      <c r="K53" s="2"/>
      <c r="L53" s="7">
        <f t="shared" si="38"/>
        <v>354.71</v>
      </c>
      <c r="M53" s="2"/>
      <c r="N53" s="6">
        <f t="shared" si="39"/>
        <v>0</v>
      </c>
      <c r="O53" s="11"/>
      <c r="P53" s="7">
        <v>354.71</v>
      </c>
      <c r="Q53" s="2"/>
      <c r="R53" s="6">
        <f t="shared" si="40"/>
        <v>1.5753595311450055E-2</v>
      </c>
      <c r="S53" s="2"/>
      <c r="T53" s="7"/>
      <c r="U53" s="2"/>
      <c r="V53" s="6">
        <f t="shared" si="41"/>
        <v>0</v>
      </c>
      <c r="W53" s="2"/>
      <c r="X53" s="7">
        <f t="shared" si="42"/>
        <v>354.71</v>
      </c>
      <c r="Y53" s="2"/>
      <c r="Z53" s="6">
        <f t="shared" si="43"/>
        <v>0</v>
      </c>
    </row>
    <row r="54" spans="1:26" s="24" customFormat="1" hidden="1" outlineLevel="2" x14ac:dyDescent="0.25">
      <c r="A54" s="29"/>
      <c r="B54" s="11" t="str">
        <f>CONCATENATE("          ", "6237", " - ", "JANITORIAL SUPPLIES")</f>
        <v xml:space="preserve">          6237 - JANITORIAL SUPPLIES</v>
      </c>
      <c r="C54" s="11"/>
      <c r="D54" s="7"/>
      <c r="E54" s="2"/>
      <c r="F54" s="6">
        <f t="shared" si="36"/>
        <v>0</v>
      </c>
      <c r="G54" s="2"/>
      <c r="H54" s="7">
        <v>18.88</v>
      </c>
      <c r="I54" s="2"/>
      <c r="J54" s="6">
        <f t="shared" si="37"/>
        <v>1.1475564281090544E-3</v>
      </c>
      <c r="K54" s="2"/>
      <c r="L54" s="7">
        <f t="shared" si="38"/>
        <v>-18.88</v>
      </c>
      <c r="M54" s="2"/>
      <c r="N54" s="6">
        <f t="shared" si="39"/>
        <v>-1</v>
      </c>
      <c r="O54" s="11"/>
      <c r="P54" s="7">
        <v>20.93</v>
      </c>
      <c r="Q54" s="2"/>
      <c r="R54" s="6">
        <f t="shared" si="40"/>
        <v>9.2955583397324494E-4</v>
      </c>
      <c r="S54" s="2"/>
      <c r="T54" s="7">
        <v>18.88</v>
      </c>
      <c r="U54" s="2"/>
      <c r="V54" s="6">
        <f t="shared" si="41"/>
        <v>8.4524798716369154E-4</v>
      </c>
      <c r="W54" s="2"/>
      <c r="X54" s="7">
        <f t="shared" si="42"/>
        <v>2.0500000000000007</v>
      </c>
      <c r="Y54" s="2"/>
      <c r="Z54" s="6">
        <f t="shared" si="43"/>
        <v>0.10858050847457631</v>
      </c>
    </row>
    <row r="55" spans="1:26" s="24" customFormat="1" hidden="1" outlineLevel="2" x14ac:dyDescent="0.25">
      <c r="A55" s="29"/>
      <c r="B55" s="11" t="str">
        <f>CONCATENATE("          ", "6243", " - ", "PAPER SUPPLIES")</f>
        <v xml:space="preserve">          6243 - PAPER SUPPLIES</v>
      </c>
      <c r="C55" s="11"/>
      <c r="D55" s="7"/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0</v>
      </c>
      <c r="M55" s="2"/>
      <c r="N55" s="6">
        <f t="shared" si="39"/>
        <v>0</v>
      </c>
      <c r="O55" s="11"/>
      <c r="P55" s="7"/>
      <c r="Q55" s="2"/>
      <c r="R55" s="6">
        <f t="shared" si="40"/>
        <v>0</v>
      </c>
      <c r="S55" s="2"/>
      <c r="T55" s="7">
        <v>45.85</v>
      </c>
      <c r="U55" s="2"/>
      <c r="V55" s="6">
        <f t="shared" si="41"/>
        <v>2.0526811552677576E-3</v>
      </c>
      <c r="W55" s="2"/>
      <c r="X55" s="7">
        <f t="shared" si="42"/>
        <v>-45.85</v>
      </c>
      <c r="Y55" s="2"/>
      <c r="Z55" s="6">
        <f t="shared" si="43"/>
        <v>-1</v>
      </c>
    </row>
    <row r="56" spans="1:26" s="24" customFormat="1" hidden="1" outlineLevel="2" x14ac:dyDescent="0.25">
      <c r="A56" s="29"/>
      <c r="B56" s="11" t="str">
        <f>CONCATENATE("          ", "6247", " - ", "STORE SUPPLIES")</f>
        <v xml:space="preserve">          6247 - STORE SUPPLIES</v>
      </c>
      <c r="C56" s="11"/>
      <c r="D56" s="7">
        <v>1253.4000000000001</v>
      </c>
      <c r="E56" s="2"/>
      <c r="F56" s="6">
        <f t="shared" si="36"/>
        <v>7.3236658295538604E-2</v>
      </c>
      <c r="G56" s="2"/>
      <c r="H56" s="7">
        <v>1067.3800000000001</v>
      </c>
      <c r="I56" s="2"/>
      <c r="J56" s="6">
        <f t="shared" si="37"/>
        <v>6.4877054037873028E-2</v>
      </c>
      <c r="K56" s="2"/>
      <c r="L56" s="7">
        <f t="shared" si="38"/>
        <v>186.01999999999998</v>
      </c>
      <c r="M56" s="2"/>
      <c r="N56" s="6">
        <f t="shared" si="39"/>
        <v>0.1742772021210815</v>
      </c>
      <c r="O56" s="11"/>
      <c r="P56" s="7">
        <v>2349</v>
      </c>
      <c r="Q56" s="2"/>
      <c r="R56" s="6">
        <f t="shared" si="40"/>
        <v>0.10432521041582189</v>
      </c>
      <c r="S56" s="2"/>
      <c r="T56" s="7">
        <v>1057.3800000000001</v>
      </c>
      <c r="U56" s="2"/>
      <c r="V56" s="6">
        <f t="shared" si="41"/>
        <v>4.7338364230251291E-2</v>
      </c>
      <c r="W56" s="2"/>
      <c r="X56" s="7">
        <f t="shared" si="42"/>
        <v>1291.6199999999999</v>
      </c>
      <c r="Y56" s="2"/>
      <c r="Z56" s="6">
        <f t="shared" si="43"/>
        <v>1.2215286841059976</v>
      </c>
    </row>
    <row r="57" spans="1:26" s="24" customFormat="1" hidden="1" outlineLevel="2" x14ac:dyDescent="0.25">
      <c r="A57" s="29"/>
      <c r="B57" s="11" t="str">
        <f>CONCATENATE("          ", "6248", " - ", "UNIFORMS")</f>
        <v xml:space="preserve">          6248 - UNIFORMS</v>
      </c>
      <c r="C57" s="11"/>
      <c r="D57" s="7"/>
      <c r="E57" s="2"/>
      <c r="F57" s="6">
        <f t="shared" si="36"/>
        <v>0</v>
      </c>
      <c r="G57" s="2"/>
      <c r="H57" s="7">
        <v>187.87</v>
      </c>
      <c r="I57" s="2"/>
      <c r="J57" s="6">
        <f t="shared" si="37"/>
        <v>1.1419037401951698E-2</v>
      </c>
      <c r="K57" s="2"/>
      <c r="L57" s="7">
        <f t="shared" si="38"/>
        <v>-187.87</v>
      </c>
      <c r="M57" s="2"/>
      <c r="N57" s="6">
        <f t="shared" si="39"/>
        <v>-1</v>
      </c>
      <c r="O57" s="11"/>
      <c r="P57" s="7"/>
      <c r="Q57" s="2"/>
      <c r="R57" s="6">
        <f t="shared" si="40"/>
        <v>0</v>
      </c>
      <c r="S57" s="2"/>
      <c r="T57" s="7">
        <v>187.87</v>
      </c>
      <c r="U57" s="2"/>
      <c r="V57" s="6">
        <f t="shared" si="41"/>
        <v>8.4108442451505689E-3</v>
      </c>
      <c r="W57" s="2"/>
      <c r="X57" s="7">
        <f t="shared" si="42"/>
        <v>-187.87</v>
      </c>
      <c r="Y57" s="2"/>
      <c r="Z57" s="6">
        <f t="shared" si="43"/>
        <v>-1</v>
      </c>
    </row>
    <row r="58" spans="1:26" s="27" customFormat="1" outlineLevel="1" collapsed="1" x14ac:dyDescent="0.25">
      <c r="A58" s="28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SUM(OSRRefD22_10x_0)</f>
        <v>52.5</v>
      </c>
      <c r="E58" s="1"/>
      <c r="F58" s="5">
        <f t="shared" ref="F58:F61" si="44">IF(D$12=0,0,D58/D$12)</f>
        <v>3.0675957878696157E-3</v>
      </c>
      <c r="G58" s="1"/>
      <c r="H58" s="1">
        <f>SUM(OSRRefH22_10x_0)</f>
        <v>52.5</v>
      </c>
      <c r="I58" s="1"/>
      <c r="J58" s="5">
        <f t="shared" ref="J58:J61" si="45">IF(H$12=0,0,H58/H$12)</f>
        <v>3.1910334997735891E-3</v>
      </c>
      <c r="K58" s="1"/>
      <c r="L58" s="1">
        <f t="shared" ref="L58:L61" si="46">+D58-H58</f>
        <v>0</v>
      </c>
      <c r="M58" s="1"/>
      <c r="N58" s="5">
        <f t="shared" ref="N58:N61" si="47">IF(H58=0,0,L58/H58)</f>
        <v>0</v>
      </c>
      <c r="O58" s="14"/>
      <c r="P58" s="1">
        <f>SUM(OSRRefP22_10x_0)</f>
        <v>97.5</v>
      </c>
      <c r="Q58" s="1"/>
      <c r="R58" s="5">
        <f t="shared" ref="R58:R61" si="48">IF(P$12=0,0,P58/P$12)</f>
        <v>4.3302290402480355E-3</v>
      </c>
      <c r="S58" s="1"/>
      <c r="T58" s="1">
        <f>SUM(OSRRefT22_10x_0)</f>
        <v>97.5</v>
      </c>
      <c r="U58" s="1"/>
      <c r="V58" s="5">
        <f t="shared" ref="V58:V61" si="49">IF(T$12=0,0,T58/T$12)</f>
        <v>4.365025357439615E-3</v>
      </c>
      <c r="W58" s="1"/>
      <c r="X58" s="1">
        <f t="shared" ref="X58:X61" si="50">+P58-T58</f>
        <v>0</v>
      </c>
      <c r="Y58" s="1"/>
      <c r="Z58" s="5">
        <f t="shared" ref="Z58:Z61" si="51">IF(T58=0,0,X58/T58)</f>
        <v>0</v>
      </c>
    </row>
    <row r="59" spans="1:26" s="24" customFormat="1" hidden="1" outlineLevel="2" x14ac:dyDescent="0.25">
      <c r="A59" s="29"/>
      <c r="B59" s="11" t="str">
        <f>CONCATENATE("          ", "6309", " - ", "TELEPHONE")</f>
        <v xml:space="preserve">          6309 - TELEPHONE</v>
      </c>
      <c r="C59" s="11"/>
      <c r="D59" s="7">
        <v>52.5</v>
      </c>
      <c r="E59" s="2"/>
      <c r="F59" s="6">
        <f t="shared" si="44"/>
        <v>3.0675957878696157E-3</v>
      </c>
      <c r="G59" s="2"/>
      <c r="H59" s="7">
        <v>52.5</v>
      </c>
      <c r="I59" s="2"/>
      <c r="J59" s="6">
        <f t="shared" si="45"/>
        <v>3.1910334997735891E-3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>
        <v>97.5</v>
      </c>
      <c r="Q59" s="2"/>
      <c r="R59" s="6">
        <f t="shared" si="48"/>
        <v>4.3302290402480355E-3</v>
      </c>
      <c r="S59" s="2"/>
      <c r="T59" s="7">
        <v>97.5</v>
      </c>
      <c r="U59" s="2"/>
      <c r="V59" s="6">
        <f t="shared" si="49"/>
        <v>4.365025357439615E-3</v>
      </c>
      <c r="W59" s="2"/>
      <c r="X59" s="7">
        <f t="shared" si="50"/>
        <v>0</v>
      </c>
      <c r="Y59" s="2"/>
      <c r="Z59" s="6">
        <f t="shared" si="51"/>
        <v>0</v>
      </c>
    </row>
    <row r="60" spans="1:26" s="27" customFormat="1" outlineLevel="1" collapsed="1" x14ac:dyDescent="0.25">
      <c r="A60" s="28"/>
      <c r="B60" s="14" t="str">
        <f>CONCATENATE("     ","Utilities                                         ")</f>
        <v xml:space="preserve">     Utilities                                         </v>
      </c>
      <c r="C60" s="14"/>
      <c r="D60" s="1">
        <f>SUM(OSRRefD22_11x_0)</f>
        <v>-902.88</v>
      </c>
      <c r="E60" s="1"/>
      <c r="F60" s="5">
        <f t="shared" si="44"/>
        <v>-5.275563590384226E-2</v>
      </c>
      <c r="G60" s="1"/>
      <c r="H60" s="1">
        <f>SUM(OSRRefH22_11x_0)</f>
        <v>26</v>
      </c>
      <c r="I60" s="1"/>
      <c r="J60" s="5">
        <f t="shared" si="45"/>
        <v>1.580321352268825E-3</v>
      </c>
      <c r="K60" s="1"/>
      <c r="L60" s="1">
        <f t="shared" si="46"/>
        <v>-928.88</v>
      </c>
      <c r="M60" s="1"/>
      <c r="N60" s="5">
        <f t="shared" si="47"/>
        <v>-35.726153846153849</v>
      </c>
      <c r="O60" s="14"/>
      <c r="P60" s="1">
        <f>SUM(OSRRefP22_11x_0)</f>
        <v>-896.88</v>
      </c>
      <c r="Q60" s="1"/>
      <c r="R60" s="5">
        <f t="shared" si="48"/>
        <v>-3.9832777657617002E-2</v>
      </c>
      <c r="S60" s="1"/>
      <c r="T60" s="1">
        <f>SUM(OSRRefT22_11x_0)</f>
        <v>26</v>
      </c>
      <c r="U60" s="1"/>
      <c r="V60" s="5">
        <f t="shared" si="49"/>
        <v>1.1640067619838974E-3</v>
      </c>
      <c r="W60" s="1"/>
      <c r="X60" s="1">
        <f t="shared" si="50"/>
        <v>-922.88</v>
      </c>
      <c r="Y60" s="1"/>
      <c r="Z60" s="5">
        <f t="shared" si="51"/>
        <v>-35.495384615384616</v>
      </c>
    </row>
    <row r="61" spans="1:26" s="24" customFormat="1" hidden="1" outlineLevel="2" x14ac:dyDescent="0.25">
      <c r="A61" s="29"/>
      <c r="B61" s="11" t="str">
        <f>CONCATENATE("          ", "6274", " - ", "UTILITIES")</f>
        <v xml:space="preserve">          6274 - UTILITIES</v>
      </c>
      <c r="C61" s="11"/>
      <c r="D61" s="7">
        <v>-902.88</v>
      </c>
      <c r="E61" s="2"/>
      <c r="F61" s="6">
        <f t="shared" si="44"/>
        <v>-5.275563590384226E-2</v>
      </c>
      <c r="G61" s="2"/>
      <c r="H61" s="7">
        <v>26</v>
      </c>
      <c r="I61" s="2"/>
      <c r="J61" s="6">
        <f t="shared" si="45"/>
        <v>1.580321352268825E-3</v>
      </c>
      <c r="K61" s="2"/>
      <c r="L61" s="7">
        <f t="shared" si="46"/>
        <v>-928.88</v>
      </c>
      <c r="M61" s="2"/>
      <c r="N61" s="6">
        <f t="shared" si="47"/>
        <v>-35.726153846153849</v>
      </c>
      <c r="O61" s="11"/>
      <c r="P61" s="7">
        <v>-896.88</v>
      </c>
      <c r="Q61" s="2"/>
      <c r="R61" s="6">
        <f t="shared" si="48"/>
        <v>-3.9832777657617002E-2</v>
      </c>
      <c r="S61" s="2"/>
      <c r="T61" s="7">
        <v>26</v>
      </c>
      <c r="U61" s="2"/>
      <c r="V61" s="6">
        <f t="shared" si="49"/>
        <v>1.1640067619838974E-3</v>
      </c>
      <c r="W61" s="2"/>
      <c r="X61" s="7">
        <f t="shared" si="50"/>
        <v>-922.88</v>
      </c>
      <c r="Y61" s="2"/>
      <c r="Z61" s="6">
        <f t="shared" si="51"/>
        <v>-35.495384615384616</v>
      </c>
    </row>
    <row r="62" spans="1:26" s="62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5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6" t="s">
        <v>3</v>
      </c>
      <c r="C65" s="26"/>
      <c r="D65" s="20">
        <f>+D20-D22+D63</f>
        <v>383.57999999999993</v>
      </c>
      <c r="E65" s="13"/>
      <c r="F65" s="19">
        <f>IF(D$12=0,0,D65/D$12)</f>
        <v>2.2412731282114802E-2</v>
      </c>
      <c r="G65" s="13"/>
      <c r="H65" s="20">
        <f>+H20-H22+H63</f>
        <v>963.53999999999814</v>
      </c>
      <c r="I65" s="13"/>
      <c r="J65" s="19">
        <f>IF(H$12=0,0,H65/H$12)</f>
        <v>5.8565493683273101E-2</v>
      </c>
      <c r="K65" s="15"/>
      <c r="L65" s="20">
        <f>+D65-H65</f>
        <v>-579.95999999999822</v>
      </c>
      <c r="M65" s="15"/>
      <c r="N65" s="19">
        <f>IF(H65=0,0,L65/H65)</f>
        <v>-0.60190547356622381</v>
      </c>
      <c r="O65" s="25"/>
      <c r="P65" s="20">
        <f>+P20-P22+P63</f>
        <v>-6552.7999999999956</v>
      </c>
      <c r="Q65" s="13"/>
      <c r="R65" s="19">
        <f>IF(P$12=0,0,P65/P$12)</f>
        <v>-0.2910269215891006</v>
      </c>
      <c r="S65" s="13"/>
      <c r="T65" s="20">
        <f>+T20-T22+T63</f>
        <v>3280.8799999999992</v>
      </c>
      <c r="U65" s="13"/>
      <c r="V65" s="19">
        <f>IF(T$12=0,0,T65/T$12)</f>
        <v>0.14688332712529723</v>
      </c>
      <c r="W65" s="15"/>
      <c r="X65" s="20">
        <f>+P65-T65</f>
        <v>-9833.6799999999948</v>
      </c>
      <c r="Y65" s="15"/>
      <c r="Z65" s="19">
        <f>IF(T65=0,0,X65/T65)</f>
        <v>-2.9972690253834329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>
        <v>1684.17</v>
      </c>
      <c r="E67" s="4"/>
      <c r="F67" s="12">
        <f>IF(D$12=0,0,D67/D$12)</f>
        <v>9.8406719962978506E-2</v>
      </c>
      <c r="G67" s="4"/>
      <c r="H67" s="4">
        <v>1072.42</v>
      </c>
      <c r="I67" s="4"/>
      <c r="J67" s="12">
        <f>IF(H$12=0,0,H67/H$12)</f>
        <v>6.5183393253851279E-2</v>
      </c>
      <c r="K67" s="4"/>
      <c r="L67" s="4">
        <f>+D67-H67</f>
        <v>611.75</v>
      </c>
      <c r="M67" s="4"/>
      <c r="N67" s="12">
        <f>IF(H67=0,0,L67/H67)</f>
        <v>0.57043882061132767</v>
      </c>
      <c r="O67" s="10"/>
      <c r="P67" s="4">
        <v>2807.35</v>
      </c>
      <c r="Q67" s="4"/>
      <c r="R67" s="12">
        <f>IF(P$12=0,0,P67/P$12)</f>
        <v>0.12468172816554177</v>
      </c>
      <c r="S67" s="4"/>
      <c r="T67" s="4">
        <v>2280.4699999999998</v>
      </c>
      <c r="U67" s="4"/>
      <c r="V67" s="12">
        <f>IF(T$12=0,0,T67/T$12)</f>
        <v>0.10209548078851609</v>
      </c>
      <c r="W67" s="4"/>
      <c r="X67" s="4">
        <f>+P67-T67</f>
        <v>526.88000000000011</v>
      </c>
      <c r="Y67" s="4"/>
      <c r="Z67" s="12">
        <f>IF(T67=0,0,X67/T67)</f>
        <v>0.23104009261248784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6" t="s">
        <v>4</v>
      </c>
      <c r="C69" s="26"/>
      <c r="D69" s="31">
        <f>+D65-D67</f>
        <v>-1300.5900000000001</v>
      </c>
      <c r="E69" s="13"/>
      <c r="F69" s="36">
        <f>IF(D$12=0,0,D69/D$12)</f>
        <v>-7.5993988680863697E-2</v>
      </c>
      <c r="G69" s="13"/>
      <c r="H69" s="31">
        <f>+H65-H67</f>
        <v>-108.88000000000193</v>
      </c>
      <c r="I69" s="13"/>
      <c r="J69" s="36">
        <f>IF(H$12=0,0,H69/H$12)</f>
        <v>-6.6178995705781811E-3</v>
      </c>
      <c r="K69" s="15"/>
      <c r="L69" s="31">
        <f>D69-H69</f>
        <v>-1191.7099999999982</v>
      </c>
      <c r="M69" s="15"/>
      <c r="N69" s="36">
        <f>IF(H69=0,0,L69/H69)</f>
        <v>10.945168993387005</v>
      </c>
      <c r="O69" s="25"/>
      <c r="P69" s="31">
        <f>+P65-P67</f>
        <v>-9360.149999999996</v>
      </c>
      <c r="Q69" s="13"/>
      <c r="R69" s="36">
        <f>IF(P$12=0,0,P69/P$12)</f>
        <v>-0.41570864975464239</v>
      </c>
      <c r="S69" s="13"/>
      <c r="T69" s="31">
        <f>+T65-T67</f>
        <v>1000.4099999999994</v>
      </c>
      <c r="U69" s="13"/>
      <c r="V69" s="36">
        <f>IF(T$12=0,0,T69/T$12)</f>
        <v>4.4787846336781158E-2</v>
      </c>
      <c r="W69" s="15"/>
      <c r="X69" s="31">
        <f>P69-T69</f>
        <v>-10360.559999999996</v>
      </c>
      <c r="Y69" s="15"/>
      <c r="Z69" s="36">
        <f>IF(T69=0,0,X69/T69)</f>
        <v>-10.35631391129637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6" t="s">
        <v>5</v>
      </c>
      <c r="C72" s="26"/>
      <c r="D72" s="32">
        <f>SUM(D69:D71)</f>
        <v>-1300.5900000000001</v>
      </c>
      <c r="E72" s="13"/>
      <c r="F72" s="30">
        <f>IF(D$12=0,0,D72/D$12)</f>
        <v>-7.5993988680863697E-2</v>
      </c>
      <c r="G72" s="13"/>
      <c r="H72" s="32">
        <f>SUM(H69:H71)</f>
        <v>-108.88000000000193</v>
      </c>
      <c r="I72" s="13"/>
      <c r="J72" s="30">
        <f>IF(H$12=0,0,H72/H$12)</f>
        <v>-6.6178995705781811E-3</v>
      </c>
      <c r="K72" s="15"/>
      <c r="L72" s="32">
        <f>+D72-H72</f>
        <v>-1191.7099999999982</v>
      </c>
      <c r="M72" s="15"/>
      <c r="N72" s="30">
        <f>IF(H72=0,0,L72/H72)</f>
        <v>10.945168993387005</v>
      </c>
      <c r="O72" s="25"/>
      <c r="P72" s="32">
        <f>SUM(P69:P71)</f>
        <v>-9360.149999999996</v>
      </c>
      <c r="Q72" s="13"/>
      <c r="R72" s="30">
        <f>IF(P$12=0,0,P72/P$12)</f>
        <v>-0.41570864975464239</v>
      </c>
      <c r="S72" s="13"/>
      <c r="T72" s="32">
        <f>SUM(T69:T71)</f>
        <v>1000.4099999999994</v>
      </c>
      <c r="U72" s="13"/>
      <c r="V72" s="30">
        <f>IF(T$12=0,0,T72/T$12)</f>
        <v>4.4787846336781158E-2</v>
      </c>
      <c r="W72" s="15"/>
      <c r="X72" s="32">
        <f>+P72-T72</f>
        <v>-10360.559999999996</v>
      </c>
      <c r="Y72" s="15"/>
      <c r="Z72" s="30">
        <f>IF(T72=0,0,X72/T72)</f>
        <v>-10.35631391129637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7">
        <v>43732.709831053238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0" t="s">
        <v>313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6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","322", " - ", "Beach Hut")</f>
        <v>Department 322 - Beach Hut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33054.78</v>
      </c>
      <c r="E12" s="4"/>
      <c r="F12" s="12"/>
      <c r="G12" s="4"/>
      <c r="H12" s="4">
        <f>SUM(OSRRefH13x_0)</f>
        <v>34486.959999999999</v>
      </c>
      <c r="I12" s="4"/>
      <c r="J12" s="12"/>
      <c r="K12" s="4"/>
      <c r="L12" s="4">
        <f t="shared" ref="L12:L14" si="0">+D12-H12</f>
        <v>-1432.1800000000003</v>
      </c>
      <c r="M12" s="4"/>
      <c r="N12" s="12">
        <f t="shared" ref="N12:N14" si="1">IF(H12=0,0,L12/H12)</f>
        <v>-4.1528160208960149E-2</v>
      </c>
      <c r="O12" s="10"/>
      <c r="P12" s="4">
        <f>SUM(OSRRefP13x_0)</f>
        <v>47415.990000000005</v>
      </c>
      <c r="Q12" s="4"/>
      <c r="R12" s="12"/>
      <c r="S12" s="4"/>
      <c r="T12" s="4">
        <f>SUM(OSRRefT13x_0)</f>
        <v>51226.6</v>
      </c>
      <c r="U12" s="4"/>
      <c r="V12" s="12"/>
      <c r="W12" s="4"/>
      <c r="X12" s="4">
        <f t="shared" ref="X12:X14" si="2">+P12-T12</f>
        <v>-3810.6099999999933</v>
      </c>
      <c r="Y12" s="4"/>
      <c r="Z12" s="12">
        <f t="shared" ref="Z12:Z14" si="3">IF(T12=0,0,X12/T12)</f>
        <v>-7.4387330019950446E-2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--4645.94</f>
        <v>4645.9399999999996</v>
      </c>
      <c r="E13" s="2"/>
      <c r="F13" s="21"/>
      <c r="G13" s="2"/>
      <c r="H13" s="2">
        <f>--6870.24</f>
        <v>6870.24</v>
      </c>
      <c r="I13" s="2"/>
      <c r="J13" s="21"/>
      <c r="K13" s="2"/>
      <c r="L13" s="2">
        <f t="shared" si="0"/>
        <v>-2224.3000000000002</v>
      </c>
      <c r="M13" s="2"/>
      <c r="N13" s="21">
        <f t="shared" si="1"/>
        <v>-0.3237587042082955</v>
      </c>
      <c r="O13" s="11"/>
      <c r="P13" s="2">
        <f>--7479.58</f>
        <v>7479.58</v>
      </c>
      <c r="Q13" s="2"/>
      <c r="R13" s="21"/>
      <c r="S13" s="2"/>
      <c r="T13" s="2">
        <f>--10028.49</f>
        <v>10028.49</v>
      </c>
      <c r="U13" s="2"/>
      <c r="V13" s="21"/>
      <c r="W13" s="2"/>
      <c r="X13" s="2">
        <f t="shared" si="2"/>
        <v>-2548.91</v>
      </c>
      <c r="Y13" s="2"/>
      <c r="Z13" s="21">
        <f t="shared" si="3"/>
        <v>-0.2541668785629741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--28408.84</f>
        <v>28408.84</v>
      </c>
      <c r="E14" s="2"/>
      <c r="F14" s="21"/>
      <c r="G14" s="2"/>
      <c r="H14" s="2">
        <f>--27616.72</f>
        <v>27616.720000000001</v>
      </c>
      <c r="I14" s="2"/>
      <c r="J14" s="21"/>
      <c r="K14" s="2"/>
      <c r="L14" s="2">
        <f t="shared" si="0"/>
        <v>792.11999999999898</v>
      </c>
      <c r="M14" s="2"/>
      <c r="N14" s="21">
        <f t="shared" si="1"/>
        <v>2.8682624149428279E-2</v>
      </c>
      <c r="O14" s="11"/>
      <c r="P14" s="2">
        <f>--39936.41</f>
        <v>39936.410000000003</v>
      </c>
      <c r="Q14" s="2"/>
      <c r="R14" s="21"/>
      <c r="S14" s="2"/>
      <c r="T14" s="2">
        <f>--41198.11</f>
        <v>41198.11</v>
      </c>
      <c r="U14" s="2"/>
      <c r="V14" s="21"/>
      <c r="W14" s="2"/>
      <c r="X14" s="2">
        <f t="shared" si="2"/>
        <v>-1261.6999999999971</v>
      </c>
      <c r="Y14" s="2"/>
      <c r="Z14" s="21">
        <f t="shared" si="3"/>
        <v>-3.0625191301251371E-2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19108.699999999997</v>
      </c>
      <c r="E16" s="4"/>
      <c r="F16" s="12">
        <f t="shared" ref="F16:F18" si="4">IF(D$12=0,0,D16/D$12)</f>
        <v>0.57809188262635536</v>
      </c>
      <c r="G16" s="4"/>
      <c r="H16" s="4">
        <f>SUM(OSRRefH16x_0)</f>
        <v>18130.949999999997</v>
      </c>
      <c r="I16" s="4"/>
      <c r="J16" s="12">
        <f t="shared" ref="J16:J18" si="5">IF(H$12=0,0,H16/H$12)</f>
        <v>0.52573349463101404</v>
      </c>
      <c r="K16" s="4"/>
      <c r="L16" s="4">
        <f t="shared" ref="L16:L18" si="6">+D16-H16</f>
        <v>977.75</v>
      </c>
      <c r="M16" s="4"/>
      <c r="N16" s="12">
        <f t="shared" ref="N16:N18" si="7">IF(H16=0,0,L16/H16)</f>
        <v>5.3927124612885707E-2</v>
      </c>
      <c r="O16" s="10"/>
      <c r="P16" s="4">
        <f>SUM(OSRRefP16x_0)</f>
        <v>25900.330000000005</v>
      </c>
      <c r="Q16" s="4"/>
      <c r="R16" s="12">
        <f t="shared" ref="R16:R18" si="8">IF(P$12=0,0,P16/P$12)</f>
        <v>0.54623619584870009</v>
      </c>
      <c r="S16" s="4"/>
      <c r="T16" s="4">
        <f>SUM(OSRRefT16x_0)</f>
        <v>23294.97</v>
      </c>
      <c r="U16" s="4"/>
      <c r="V16" s="12">
        <f t="shared" ref="V16:V18" si="9">IF(T$12=0,0,T16/T$12)</f>
        <v>0.45474362928634737</v>
      </c>
      <c r="W16" s="4"/>
      <c r="X16" s="4">
        <f t="shared" ref="X16:X18" si="10">+P16-T16</f>
        <v>2605.3600000000042</v>
      </c>
      <c r="Y16" s="4"/>
      <c r="Z16" s="12">
        <f t="shared" ref="Z16:Z18" si="11">IF(T16=0,0,X16/T16)</f>
        <v>0.11184217021957976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29344.28</v>
      </c>
      <c r="E17" s="2"/>
      <c r="F17" s="21">
        <f t="shared" si="4"/>
        <v>0.88774694613003025</v>
      </c>
      <c r="G17" s="2"/>
      <c r="H17" s="2">
        <v>27372.44</v>
      </c>
      <c r="I17" s="2"/>
      <c r="J17" s="21">
        <f t="shared" si="5"/>
        <v>0.79370405509792685</v>
      </c>
      <c r="K17" s="2"/>
      <c r="L17" s="2">
        <f t="shared" si="6"/>
        <v>1971.8400000000001</v>
      </c>
      <c r="M17" s="2"/>
      <c r="N17" s="21">
        <f t="shared" si="7"/>
        <v>7.2037421581707742E-2</v>
      </c>
      <c r="O17" s="11"/>
      <c r="P17" s="2">
        <v>41620.700000000004</v>
      </c>
      <c r="Q17" s="2"/>
      <c r="R17" s="21">
        <f t="shared" si="8"/>
        <v>0.87777772856793668</v>
      </c>
      <c r="S17" s="2"/>
      <c r="T17" s="2">
        <v>38633.93</v>
      </c>
      <c r="U17" s="2"/>
      <c r="V17" s="21">
        <f t="shared" si="9"/>
        <v>0.75417712672713011</v>
      </c>
      <c r="W17" s="2"/>
      <c r="X17" s="2">
        <f t="shared" si="10"/>
        <v>2986.7700000000041</v>
      </c>
      <c r="Y17" s="2"/>
      <c r="Z17" s="21">
        <f t="shared" si="11"/>
        <v>7.7309504883401825E-2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-10235.58</v>
      </c>
      <c r="E18" s="2"/>
      <c r="F18" s="21">
        <f t="shared" si="4"/>
        <v>-0.30965506350367483</v>
      </c>
      <c r="G18" s="2"/>
      <c r="H18" s="2">
        <v>-9241.49</v>
      </c>
      <c r="I18" s="2"/>
      <c r="J18" s="21">
        <f t="shared" si="5"/>
        <v>-0.2679705604669127</v>
      </c>
      <c r="K18" s="2"/>
      <c r="L18" s="2">
        <f t="shared" si="6"/>
        <v>-994.09000000000015</v>
      </c>
      <c r="M18" s="2"/>
      <c r="N18" s="21">
        <f t="shared" si="7"/>
        <v>0.10756815188892702</v>
      </c>
      <c r="O18" s="11"/>
      <c r="P18" s="2">
        <v>-15720.369999999999</v>
      </c>
      <c r="Q18" s="2"/>
      <c r="R18" s="21">
        <f t="shared" si="8"/>
        <v>-0.33154153271923664</v>
      </c>
      <c r="S18" s="2"/>
      <c r="T18" s="2">
        <v>-15338.96</v>
      </c>
      <c r="U18" s="2"/>
      <c r="V18" s="21">
        <f t="shared" si="9"/>
        <v>-0.29943349744078274</v>
      </c>
      <c r="W18" s="2"/>
      <c r="X18" s="2">
        <f t="shared" si="10"/>
        <v>-381.40999999999985</v>
      </c>
      <c r="Y18" s="2"/>
      <c r="Z18" s="21">
        <f t="shared" si="11"/>
        <v>2.4865440681767204E-2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13946.080000000002</v>
      </c>
      <c r="E20" s="13"/>
      <c r="F20" s="19">
        <f>IF(D$12=0,0,D20/D$12)</f>
        <v>0.42190811737364464</v>
      </c>
      <c r="G20" s="13"/>
      <c r="H20" s="20">
        <f>H12-H16</f>
        <v>16356.010000000002</v>
      </c>
      <c r="I20" s="13"/>
      <c r="J20" s="19">
        <f>IF(H$12=0,0,H20/H$12)</f>
        <v>0.4742665053689859</v>
      </c>
      <c r="K20" s="15"/>
      <c r="L20" s="20">
        <f>+D20-H20</f>
        <v>-2409.9300000000003</v>
      </c>
      <c r="M20" s="15"/>
      <c r="N20" s="19">
        <f>IF(H20=0,0,L20/H20)</f>
        <v>-0.14734216963672681</v>
      </c>
      <c r="O20" s="25"/>
      <c r="P20" s="20">
        <f>P12-P16</f>
        <v>21515.66</v>
      </c>
      <c r="Q20" s="13"/>
      <c r="R20" s="19">
        <f>IF(P$12=0,0,P20/P$12)</f>
        <v>0.45376380415129997</v>
      </c>
      <c r="S20" s="13"/>
      <c r="T20" s="20">
        <f>T12-T16</f>
        <v>27931.629999999997</v>
      </c>
      <c r="U20" s="13"/>
      <c r="V20" s="19">
        <f>IF(T$12=0,0,T20/T$12)</f>
        <v>0.54525637071365263</v>
      </c>
      <c r="W20" s="15"/>
      <c r="X20" s="20">
        <f>+P20-T20</f>
        <v>-6415.9699999999975</v>
      </c>
      <c r="Y20" s="15"/>
      <c r="Z20" s="19">
        <f>IF(T20=0,0,X20/T20)</f>
        <v>-0.22970267041343445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25051.93</v>
      </c>
      <c r="E22" s="22"/>
      <c r="F22" s="33">
        <f t="shared" ref="F22:F31" si="12">IF(D$12=0,0,D22/D$12)</f>
        <v>0.75789129439070535</v>
      </c>
      <c r="G22" s="22"/>
      <c r="H22" s="22">
        <f>SUM(OSRRefH22x_0)</f>
        <v>21905.670000000002</v>
      </c>
      <c r="I22" s="22"/>
      <c r="J22" s="33">
        <f t="shared" ref="J22:J31" si="13">IF(H$12=0,0,H22/H$12)</f>
        <v>0.63518703881119132</v>
      </c>
      <c r="K22" s="4"/>
      <c r="L22" s="22">
        <f t="shared" ref="L22:L31" si="14">+D22-H22</f>
        <v>3146.2599999999984</v>
      </c>
      <c r="M22" s="4"/>
      <c r="N22" s="33">
        <f t="shared" ref="N22:N31" si="15">IF(H22=0,0,L22/H22)</f>
        <v>0.14362765439267541</v>
      </c>
      <c r="O22" s="10"/>
      <c r="P22" s="22">
        <f>SUM(OSRRefP22x_0)</f>
        <v>45324.36</v>
      </c>
      <c r="Q22" s="22"/>
      <c r="R22" s="33">
        <f t="shared" ref="R22:R31" si="16">IF(P$12=0,0,P22/P$12)</f>
        <v>0.95588766574313844</v>
      </c>
      <c r="S22" s="22"/>
      <c r="T22" s="22">
        <f>SUM(OSRRefT22x_0)</f>
        <v>37609.61</v>
      </c>
      <c r="U22" s="22"/>
      <c r="V22" s="33">
        <f t="shared" ref="V22:V31" si="17">IF(T$12=0,0,T22/T$12)</f>
        <v>0.73418126520206306</v>
      </c>
      <c r="W22" s="4"/>
      <c r="X22" s="22">
        <f t="shared" ref="X22:X31" si="18">+P22-T22</f>
        <v>7714.75</v>
      </c>
      <c r="Y22" s="4"/>
      <c r="Z22" s="33">
        <f t="shared" ref="Z22:Z31" si="19">IF(T22=0,0,X22/T22)</f>
        <v>0.20512709384649294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2514.02</v>
      </c>
      <c r="E23" s="1"/>
      <c r="F23" s="5">
        <f t="shared" si="12"/>
        <v>7.6056170998566625E-2</v>
      </c>
      <c r="G23" s="1"/>
      <c r="H23" s="1">
        <f>SUM(OSRRefH22_0x_0)</f>
        <v>2256.8100000000004</v>
      </c>
      <c r="I23" s="1"/>
      <c r="J23" s="5">
        <f t="shared" si="13"/>
        <v>6.5439516849267104E-2</v>
      </c>
      <c r="K23" s="1"/>
      <c r="L23" s="1">
        <f t="shared" si="14"/>
        <v>257.20999999999958</v>
      </c>
      <c r="M23" s="1"/>
      <c r="N23" s="5">
        <f t="shared" si="15"/>
        <v>0.11397060452585708</v>
      </c>
      <c r="O23" s="14"/>
      <c r="P23" s="1">
        <f>SUM(OSRRefP22_0x_0)</f>
        <v>4846.1799999999994</v>
      </c>
      <c r="Q23" s="1"/>
      <c r="R23" s="5">
        <f t="shared" si="16"/>
        <v>0.10220560616787711</v>
      </c>
      <c r="S23" s="1"/>
      <c r="T23" s="1">
        <f>SUM(OSRRefT22_0x_0)</f>
        <v>4256.3499999999995</v>
      </c>
      <c r="U23" s="1"/>
      <c r="V23" s="5">
        <f t="shared" si="17"/>
        <v>8.3088668777549154E-2</v>
      </c>
      <c r="W23" s="1"/>
      <c r="X23" s="1">
        <f t="shared" si="18"/>
        <v>589.82999999999993</v>
      </c>
      <c r="Y23" s="1"/>
      <c r="Z23" s="5">
        <f t="shared" si="19"/>
        <v>0.13857647984775689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802</v>
      </c>
      <c r="E24" s="2"/>
      <c r="F24" s="6">
        <f t="shared" si="12"/>
        <v>2.4262754131172556E-2</v>
      </c>
      <c r="G24" s="2"/>
      <c r="H24" s="7">
        <v>665.34</v>
      </c>
      <c r="I24" s="2"/>
      <c r="J24" s="6">
        <f t="shared" si="13"/>
        <v>1.9292509400654627E-2</v>
      </c>
      <c r="K24" s="2"/>
      <c r="L24" s="7">
        <f t="shared" si="14"/>
        <v>136.65999999999997</v>
      </c>
      <c r="M24" s="2"/>
      <c r="N24" s="6">
        <f t="shared" si="15"/>
        <v>0.20539874349956408</v>
      </c>
      <c r="O24" s="11"/>
      <c r="P24" s="7">
        <v>1521.78</v>
      </c>
      <c r="Q24" s="2"/>
      <c r="R24" s="6">
        <f t="shared" si="16"/>
        <v>3.2094236564500708E-2</v>
      </c>
      <c r="S24" s="2"/>
      <c r="T24" s="7">
        <v>1250.0899999999999</v>
      </c>
      <c r="U24" s="2"/>
      <c r="V24" s="6">
        <f t="shared" si="17"/>
        <v>2.4403142117571729E-2</v>
      </c>
      <c r="W24" s="2"/>
      <c r="X24" s="7">
        <f t="shared" si="18"/>
        <v>271.69000000000005</v>
      </c>
      <c r="Y24" s="2"/>
      <c r="Z24" s="6">
        <f t="shared" si="19"/>
        <v>0.21733635178267172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227.01</v>
      </c>
      <c r="E25" s="2"/>
      <c r="F25" s="6">
        <f t="shared" si="12"/>
        <v>6.8676905427898782E-3</v>
      </c>
      <c r="G25" s="2"/>
      <c r="H25" s="7">
        <v>103.25</v>
      </c>
      <c r="I25" s="2"/>
      <c r="J25" s="6">
        <f t="shared" si="13"/>
        <v>2.9938852250241833E-3</v>
      </c>
      <c r="K25" s="2"/>
      <c r="L25" s="7">
        <f t="shared" si="14"/>
        <v>123.75999999999999</v>
      </c>
      <c r="M25" s="2"/>
      <c r="N25" s="6">
        <f t="shared" si="15"/>
        <v>1.1986440677966101</v>
      </c>
      <c r="O25" s="11"/>
      <c r="P25" s="7">
        <v>390.34</v>
      </c>
      <c r="Q25" s="2"/>
      <c r="R25" s="6">
        <f t="shared" si="16"/>
        <v>8.2322440172608417E-3</v>
      </c>
      <c r="S25" s="2"/>
      <c r="T25" s="7">
        <v>245.6</v>
      </c>
      <c r="U25" s="2"/>
      <c r="V25" s="6">
        <f t="shared" si="17"/>
        <v>4.7943841676004262E-3</v>
      </c>
      <c r="W25" s="2"/>
      <c r="X25" s="7">
        <f t="shared" si="18"/>
        <v>144.73999999999998</v>
      </c>
      <c r="Y25" s="2"/>
      <c r="Z25" s="6">
        <f t="shared" si="19"/>
        <v>0.5893322475570032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641.14</v>
      </c>
      <c r="E26" s="2"/>
      <c r="F26" s="6">
        <f t="shared" si="12"/>
        <v>1.9396287012044853E-2</v>
      </c>
      <c r="G26" s="2"/>
      <c r="H26" s="7">
        <v>691.52</v>
      </c>
      <c r="I26" s="2"/>
      <c r="J26" s="6">
        <f t="shared" si="13"/>
        <v>2.0051636908559062E-2</v>
      </c>
      <c r="K26" s="2"/>
      <c r="L26" s="7">
        <f t="shared" si="14"/>
        <v>-50.379999999999995</v>
      </c>
      <c r="M26" s="2"/>
      <c r="N26" s="6">
        <f t="shared" si="15"/>
        <v>-7.2854002776492358E-2</v>
      </c>
      <c r="O26" s="11"/>
      <c r="P26" s="7">
        <v>1282.28</v>
      </c>
      <c r="Q26" s="2"/>
      <c r="R26" s="6">
        <f t="shared" si="16"/>
        <v>2.704319787480974E-2</v>
      </c>
      <c r="S26" s="2"/>
      <c r="T26" s="7">
        <v>956.8</v>
      </c>
      <c r="U26" s="2"/>
      <c r="V26" s="6">
        <f t="shared" si="17"/>
        <v>1.8677796301140422E-2</v>
      </c>
      <c r="W26" s="2"/>
      <c r="X26" s="7">
        <f t="shared" si="18"/>
        <v>325.48</v>
      </c>
      <c r="Y26" s="2"/>
      <c r="Z26" s="6">
        <f t="shared" si="19"/>
        <v>0.34017558528428099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27.25</v>
      </c>
      <c r="E27" s="2"/>
      <c r="F27" s="6">
        <f t="shared" si="12"/>
        <v>8.2438908986839422E-4</v>
      </c>
      <c r="G27" s="2"/>
      <c r="H27" s="7">
        <v>22.56</v>
      </c>
      <c r="I27" s="2"/>
      <c r="J27" s="6">
        <f t="shared" si="13"/>
        <v>6.5416029710940022E-4</v>
      </c>
      <c r="K27" s="2"/>
      <c r="L27" s="7">
        <f t="shared" si="14"/>
        <v>4.6900000000000013</v>
      </c>
      <c r="M27" s="2"/>
      <c r="N27" s="6">
        <f t="shared" si="15"/>
        <v>0.20789007092198589</v>
      </c>
      <c r="O27" s="11"/>
      <c r="P27" s="7">
        <v>49.6</v>
      </c>
      <c r="Q27" s="2"/>
      <c r="R27" s="6">
        <f t="shared" si="16"/>
        <v>1.0460606221656449E-3</v>
      </c>
      <c r="S27" s="2"/>
      <c r="T27" s="7">
        <v>53.66</v>
      </c>
      <c r="U27" s="2"/>
      <c r="V27" s="6">
        <f t="shared" si="17"/>
        <v>1.0475026646312657E-3</v>
      </c>
      <c r="W27" s="2"/>
      <c r="X27" s="7">
        <f t="shared" si="18"/>
        <v>-4.0599999999999952</v>
      </c>
      <c r="Y27" s="2"/>
      <c r="Z27" s="6">
        <f t="shared" si="19"/>
        <v>-7.5661572866194474E-2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268.22000000000003</v>
      </c>
      <c r="E28" s="2"/>
      <c r="F28" s="6">
        <f t="shared" si="12"/>
        <v>8.1144088691559903E-3</v>
      </c>
      <c r="G28" s="2"/>
      <c r="H28" s="7">
        <v>248.06</v>
      </c>
      <c r="I28" s="2"/>
      <c r="J28" s="6">
        <f t="shared" si="13"/>
        <v>7.1928636214963568E-3</v>
      </c>
      <c r="K28" s="2"/>
      <c r="L28" s="7">
        <f t="shared" si="14"/>
        <v>20.160000000000025</v>
      </c>
      <c r="M28" s="2"/>
      <c r="N28" s="6">
        <f t="shared" si="15"/>
        <v>8.1270660324115229E-2</v>
      </c>
      <c r="O28" s="11"/>
      <c r="P28" s="7">
        <v>536.44000000000005</v>
      </c>
      <c r="Q28" s="2"/>
      <c r="R28" s="6">
        <f t="shared" si="16"/>
        <v>1.1313483067631826E-2</v>
      </c>
      <c r="S28" s="2"/>
      <c r="T28" s="7">
        <v>616.54</v>
      </c>
      <c r="U28" s="2"/>
      <c r="V28" s="6">
        <f t="shared" si="17"/>
        <v>1.2035544033763708E-2</v>
      </c>
      <c r="W28" s="2"/>
      <c r="X28" s="7">
        <f t="shared" si="18"/>
        <v>-80.099999999999909</v>
      </c>
      <c r="Y28" s="2"/>
      <c r="Z28" s="6">
        <f t="shared" si="19"/>
        <v>-0.12991857787004885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221.28</v>
      </c>
      <c r="E29" s="2"/>
      <c r="F29" s="6">
        <f t="shared" si="12"/>
        <v>6.6943419378377349E-3</v>
      </c>
      <c r="G29" s="2"/>
      <c r="H29" s="7">
        <v>208.92</v>
      </c>
      <c r="I29" s="2"/>
      <c r="J29" s="6">
        <f t="shared" si="13"/>
        <v>6.0579419003588602E-3</v>
      </c>
      <c r="K29" s="2"/>
      <c r="L29" s="7">
        <f t="shared" si="14"/>
        <v>12.360000000000014</v>
      </c>
      <c r="M29" s="2"/>
      <c r="N29" s="6">
        <f t="shared" si="15"/>
        <v>5.9161401493394668E-2</v>
      </c>
      <c r="O29" s="11"/>
      <c r="P29" s="7">
        <v>442.56</v>
      </c>
      <c r="Q29" s="2"/>
      <c r="R29" s="6">
        <f t="shared" si="16"/>
        <v>9.3335602610005609E-3</v>
      </c>
      <c r="S29" s="2"/>
      <c r="T29" s="7">
        <v>451.47</v>
      </c>
      <c r="U29" s="2"/>
      <c r="V29" s="6">
        <f t="shared" si="17"/>
        <v>8.8131947074371522E-3</v>
      </c>
      <c r="W29" s="2"/>
      <c r="X29" s="7">
        <f t="shared" si="18"/>
        <v>-8.910000000000025</v>
      </c>
      <c r="Y29" s="2"/>
      <c r="Z29" s="6">
        <f t="shared" si="19"/>
        <v>-1.9735530600039925E-2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177.12</v>
      </c>
      <c r="E30" s="2"/>
      <c r="F30" s="6">
        <f t="shared" si="12"/>
        <v>5.358377820091376E-3</v>
      </c>
      <c r="G30" s="2"/>
      <c r="H30" s="7">
        <v>167.24</v>
      </c>
      <c r="I30" s="2"/>
      <c r="J30" s="6">
        <f t="shared" si="13"/>
        <v>4.8493691528624155E-3</v>
      </c>
      <c r="K30" s="2"/>
      <c r="L30" s="7">
        <f t="shared" si="14"/>
        <v>9.8799999999999955</v>
      </c>
      <c r="M30" s="2"/>
      <c r="N30" s="6">
        <f t="shared" si="15"/>
        <v>5.907677589093515E-2</v>
      </c>
      <c r="O30" s="11"/>
      <c r="P30" s="7">
        <v>354.24</v>
      </c>
      <c r="Q30" s="2"/>
      <c r="R30" s="6">
        <f t="shared" si="16"/>
        <v>7.4708974757249601E-3</v>
      </c>
      <c r="S30" s="2"/>
      <c r="T30" s="7">
        <v>382.27</v>
      </c>
      <c r="U30" s="2"/>
      <c r="V30" s="6">
        <f t="shared" si="17"/>
        <v>7.4623340217777482E-3</v>
      </c>
      <c r="W30" s="2"/>
      <c r="X30" s="7">
        <f t="shared" si="18"/>
        <v>-28.029999999999973</v>
      </c>
      <c r="Y30" s="2"/>
      <c r="Z30" s="6">
        <f t="shared" si="19"/>
        <v>-7.3325136683495884E-2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150</v>
      </c>
      <c r="E31" s="2"/>
      <c r="F31" s="6">
        <f t="shared" si="12"/>
        <v>4.5379215956058401E-3</v>
      </c>
      <c r="G31" s="2"/>
      <c r="H31" s="7">
        <v>149.91999999999999</v>
      </c>
      <c r="I31" s="2"/>
      <c r="J31" s="6">
        <f t="shared" si="13"/>
        <v>4.3471503432021838E-3</v>
      </c>
      <c r="K31" s="2"/>
      <c r="L31" s="7">
        <f t="shared" si="14"/>
        <v>8.0000000000012506E-2</v>
      </c>
      <c r="M31" s="2"/>
      <c r="N31" s="6">
        <f t="shared" si="15"/>
        <v>5.3361792956251671E-4</v>
      </c>
      <c r="O31" s="11"/>
      <c r="P31" s="7">
        <v>268.94</v>
      </c>
      <c r="Q31" s="2"/>
      <c r="R31" s="6">
        <f t="shared" si="16"/>
        <v>5.6719262847828335E-3</v>
      </c>
      <c r="S31" s="2"/>
      <c r="T31" s="7">
        <v>299.92</v>
      </c>
      <c r="U31" s="2"/>
      <c r="V31" s="6">
        <f t="shared" si="17"/>
        <v>5.8547707636267101E-3</v>
      </c>
      <c r="W31" s="2"/>
      <c r="X31" s="7">
        <f t="shared" si="18"/>
        <v>-30.980000000000018</v>
      </c>
      <c r="Y31" s="2"/>
      <c r="Z31" s="6">
        <f t="shared" si="19"/>
        <v>-0.10329421178981067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12289.45</v>
      </c>
      <c r="E32" s="1"/>
      <c r="F32" s="5">
        <f t="shared" ref="F32:F36" si="20">IF(D$12=0,0,D32/D$12)</f>
        <v>0.37179040368745464</v>
      </c>
      <c r="G32" s="1"/>
      <c r="H32" s="1">
        <f>SUM(OSRRefH22_1x_0)</f>
        <v>12513.869999999999</v>
      </c>
      <c r="I32" s="1"/>
      <c r="J32" s="5">
        <f t="shared" ref="J32:J36" si="21">IF(H$12=0,0,H32/H$12)</f>
        <v>0.36285801937891887</v>
      </c>
      <c r="K32" s="1"/>
      <c r="L32" s="1">
        <f t="shared" ref="L32:L36" si="22">+D32-H32</f>
        <v>-224.41999999999825</v>
      </c>
      <c r="M32" s="1"/>
      <c r="N32" s="5">
        <f t="shared" ref="N32:N36" si="23">IF(H32=0,0,L32/H32)</f>
        <v>-1.793370076563032E-2</v>
      </c>
      <c r="O32" s="14"/>
      <c r="P32" s="1">
        <f>SUM(OSRRefP22_1x_0)</f>
        <v>23776.95</v>
      </c>
      <c r="Q32" s="1"/>
      <c r="R32" s="5">
        <f t="shared" ref="R32:R36" si="24">IF(P$12=0,0,P32/P$12)</f>
        <v>0.50145425625406104</v>
      </c>
      <c r="S32" s="1"/>
      <c r="T32" s="1">
        <f>SUM(OSRRefT22_1x_0)</f>
        <v>20338.14</v>
      </c>
      <c r="U32" s="1"/>
      <c r="V32" s="5">
        <f t="shared" ref="V32:V36" si="25">IF(T$12=0,0,T32/T$12)</f>
        <v>0.39702303100342401</v>
      </c>
      <c r="W32" s="1"/>
      <c r="X32" s="1">
        <f t="shared" ref="X32:X36" si="26">+P32-T32</f>
        <v>3438.8100000000013</v>
      </c>
      <c r="Y32" s="1"/>
      <c r="Z32" s="5">
        <f t="shared" ref="Z32:Z36" si="27">IF(T32=0,0,X32/T32)</f>
        <v>0.16908183344199623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3072</v>
      </c>
      <c r="E33" s="2"/>
      <c r="F33" s="6">
        <f t="shared" si="20"/>
        <v>9.2936634278007607E-2</v>
      </c>
      <c r="G33" s="2"/>
      <c r="H33" s="7">
        <v>3625.6</v>
      </c>
      <c r="I33" s="2"/>
      <c r="J33" s="6">
        <f t="shared" si="21"/>
        <v>0.10512959101063127</v>
      </c>
      <c r="K33" s="2"/>
      <c r="L33" s="7">
        <f t="shared" si="22"/>
        <v>-553.59999999999991</v>
      </c>
      <c r="M33" s="2"/>
      <c r="N33" s="6">
        <f t="shared" si="23"/>
        <v>-0.1526919682259488</v>
      </c>
      <c r="O33" s="11"/>
      <c r="P33" s="7">
        <v>7296</v>
      </c>
      <c r="Q33" s="2"/>
      <c r="R33" s="6">
        <f t="shared" si="24"/>
        <v>0.15387214313146261</v>
      </c>
      <c r="S33" s="2"/>
      <c r="T33" s="7">
        <v>7432.08</v>
      </c>
      <c r="U33" s="2"/>
      <c r="V33" s="6">
        <f t="shared" si="25"/>
        <v>0.14508243763981993</v>
      </c>
      <c r="W33" s="2"/>
      <c r="X33" s="7">
        <f t="shared" si="26"/>
        <v>-136.07999999999993</v>
      </c>
      <c r="Y33" s="2"/>
      <c r="Z33" s="6">
        <f t="shared" si="27"/>
        <v>-1.8309813672619229E-2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1298.5</v>
      </c>
      <c r="E34" s="2"/>
      <c r="F34" s="6">
        <f t="shared" si="20"/>
        <v>3.9283274612627886E-2</v>
      </c>
      <c r="G34" s="2"/>
      <c r="H34" s="7"/>
      <c r="I34" s="2"/>
      <c r="J34" s="6">
        <f t="shared" si="21"/>
        <v>0</v>
      </c>
      <c r="K34" s="2"/>
      <c r="L34" s="7">
        <f t="shared" si="22"/>
        <v>1298.5</v>
      </c>
      <c r="M34" s="2"/>
      <c r="N34" s="6">
        <f t="shared" si="23"/>
        <v>0</v>
      </c>
      <c r="O34" s="11"/>
      <c r="P34" s="7">
        <v>2110.5</v>
      </c>
      <c r="Q34" s="2"/>
      <c r="R34" s="6">
        <f t="shared" si="24"/>
        <v>4.4510301271786158E-2</v>
      </c>
      <c r="S34" s="2"/>
      <c r="T34" s="7"/>
      <c r="U34" s="2"/>
      <c r="V34" s="6">
        <f t="shared" si="25"/>
        <v>0</v>
      </c>
      <c r="W34" s="2"/>
      <c r="X34" s="7">
        <f t="shared" si="26"/>
        <v>2110.5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0"/>
        <v>0</v>
      </c>
      <c r="G35" s="2"/>
      <c r="H35" s="7">
        <v>1313.47</v>
      </c>
      <c r="I35" s="2"/>
      <c r="J35" s="6">
        <f t="shared" si="21"/>
        <v>3.8085989603026768E-2</v>
      </c>
      <c r="K35" s="2"/>
      <c r="L35" s="7">
        <f t="shared" si="22"/>
        <v>-1313.47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2599.81</v>
      </c>
      <c r="U35" s="2"/>
      <c r="V35" s="6">
        <f t="shared" si="25"/>
        <v>5.0751172242545863E-2</v>
      </c>
      <c r="W35" s="2"/>
      <c r="X35" s="7">
        <f t="shared" si="26"/>
        <v>-2599.81</v>
      </c>
      <c r="Y35" s="2"/>
      <c r="Z35" s="6">
        <f t="shared" si="27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7918.95</v>
      </c>
      <c r="E36" s="2"/>
      <c r="F36" s="6">
        <f t="shared" si="20"/>
        <v>0.23957049479681911</v>
      </c>
      <c r="G36" s="2"/>
      <c r="H36" s="7">
        <v>7574.8</v>
      </c>
      <c r="I36" s="2"/>
      <c r="J36" s="6">
        <f t="shared" si="21"/>
        <v>0.21964243876526085</v>
      </c>
      <c r="K36" s="2"/>
      <c r="L36" s="7">
        <f t="shared" si="22"/>
        <v>344.14999999999964</v>
      </c>
      <c r="M36" s="2"/>
      <c r="N36" s="6">
        <f t="shared" si="23"/>
        <v>4.5433542799809844E-2</v>
      </c>
      <c r="O36" s="11"/>
      <c r="P36" s="7">
        <v>14370.45</v>
      </c>
      <c r="Q36" s="2"/>
      <c r="R36" s="6">
        <f t="shared" si="24"/>
        <v>0.30307181185081233</v>
      </c>
      <c r="S36" s="2"/>
      <c r="T36" s="7">
        <v>10306.25</v>
      </c>
      <c r="U36" s="2"/>
      <c r="V36" s="6">
        <f t="shared" si="25"/>
        <v>0.2011894211210582</v>
      </c>
      <c r="W36" s="2"/>
      <c r="X36" s="7">
        <f t="shared" si="26"/>
        <v>4064.2000000000007</v>
      </c>
      <c r="Y36" s="2"/>
      <c r="Z36" s="6">
        <f t="shared" si="27"/>
        <v>0.39434323832625839</v>
      </c>
    </row>
    <row r="37" spans="1:26" s="27" customFormat="1" outlineLevel="1" collapsed="1" x14ac:dyDescent="0.25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60</v>
      </c>
      <c r="E37" s="1"/>
      <c r="F37" s="5">
        <f t="shared" ref="F37:F56" si="28">IF(D$12=0,0,D37/D$12)</f>
        <v>1.815168638242336E-3</v>
      </c>
      <c r="G37" s="1"/>
      <c r="H37" s="1">
        <f>SUM(OSRRefH22_2x_0)</f>
        <v>54</v>
      </c>
      <c r="I37" s="1"/>
      <c r="J37" s="5">
        <f t="shared" ref="J37:J56" si="29">IF(H$12=0,0,H37/H$12)</f>
        <v>1.5658092218044154E-3</v>
      </c>
      <c r="K37" s="1"/>
      <c r="L37" s="1">
        <f t="shared" ref="L37:L56" si="30">+D37-H37</f>
        <v>6</v>
      </c>
      <c r="M37" s="1"/>
      <c r="N37" s="5">
        <f t="shared" ref="N37:N56" si="31">IF(H37=0,0,L37/H37)</f>
        <v>0.1111111111111111</v>
      </c>
      <c r="O37" s="14"/>
      <c r="P37" s="1">
        <f>SUM(OSRRefP22_2x_0)</f>
        <v>60</v>
      </c>
      <c r="Q37" s="1"/>
      <c r="R37" s="5">
        <f t="shared" ref="R37:R56" si="32">IF(P$12=0,0,P37/P$12)</f>
        <v>1.2653959139100543E-3</v>
      </c>
      <c r="S37" s="1"/>
      <c r="T37" s="1">
        <f>SUM(OSRRefT22_2x_0)</f>
        <v>102</v>
      </c>
      <c r="U37" s="1"/>
      <c r="V37" s="5">
        <f t="shared" ref="V37:V56" si="33">IF(T$12=0,0,T37/T$12)</f>
        <v>1.9911530337754215E-3</v>
      </c>
      <c r="W37" s="1"/>
      <c r="X37" s="1">
        <f t="shared" ref="X37:X56" si="34">+P37-T37</f>
        <v>-42</v>
      </c>
      <c r="Y37" s="1"/>
      <c r="Z37" s="5">
        <f t="shared" ref="Z37:Z56" si="35">IF(T37=0,0,X37/T37)</f>
        <v>-0.41176470588235292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7">
        <v>60</v>
      </c>
      <c r="E38" s="2"/>
      <c r="F38" s="6">
        <f t="shared" si="28"/>
        <v>1.815168638242336E-3</v>
      </c>
      <c r="G38" s="2"/>
      <c r="H38" s="7">
        <v>54</v>
      </c>
      <c r="I38" s="2"/>
      <c r="J38" s="6">
        <f t="shared" si="29"/>
        <v>1.5658092218044154E-3</v>
      </c>
      <c r="K38" s="2"/>
      <c r="L38" s="7">
        <f t="shared" si="30"/>
        <v>6</v>
      </c>
      <c r="M38" s="2"/>
      <c r="N38" s="6">
        <f t="shared" si="31"/>
        <v>0.1111111111111111</v>
      </c>
      <c r="O38" s="11"/>
      <c r="P38" s="7">
        <v>60</v>
      </c>
      <c r="Q38" s="2"/>
      <c r="R38" s="6">
        <f t="shared" si="32"/>
        <v>1.2653959139100543E-3</v>
      </c>
      <c r="S38" s="2"/>
      <c r="T38" s="7">
        <v>102</v>
      </c>
      <c r="U38" s="2"/>
      <c r="V38" s="6">
        <f t="shared" si="33"/>
        <v>1.9911530337754215E-3</v>
      </c>
      <c r="W38" s="2"/>
      <c r="X38" s="7">
        <f t="shared" si="34"/>
        <v>-42</v>
      </c>
      <c r="Y38" s="2"/>
      <c r="Z38" s="6">
        <f t="shared" si="35"/>
        <v>-0.41176470588235292</v>
      </c>
    </row>
    <row r="39" spans="1:26" s="27" customFormat="1" outlineLevel="1" collapsed="1" x14ac:dyDescent="0.25">
      <c r="A39" s="28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3.5</v>
      </c>
      <c r="E39" s="1"/>
      <c r="F39" s="5">
        <f t="shared" si="28"/>
        <v>1.0588483723080293E-4</v>
      </c>
      <c r="G39" s="1"/>
      <c r="H39" s="1">
        <f>SUM(OSRRefH22_3x_0)</f>
        <v>-27.33</v>
      </c>
      <c r="I39" s="1"/>
      <c r="J39" s="5">
        <f t="shared" si="29"/>
        <v>-7.9247344503545686E-4</v>
      </c>
      <c r="K39" s="1"/>
      <c r="L39" s="1">
        <f t="shared" si="30"/>
        <v>30.83</v>
      </c>
      <c r="M39" s="1"/>
      <c r="N39" s="5">
        <f t="shared" si="31"/>
        <v>-1.1280643980973291</v>
      </c>
      <c r="O39" s="14"/>
      <c r="P39" s="1">
        <f>SUM(OSRRefP22_3x_0)</f>
        <v>-7.84</v>
      </c>
      <c r="Q39" s="1"/>
      <c r="R39" s="5">
        <f t="shared" si="32"/>
        <v>-1.6534506608424708E-4</v>
      </c>
      <c r="S39" s="1"/>
      <c r="T39" s="1">
        <f>SUM(OSRRefT22_3x_0)</f>
        <v>-22.22</v>
      </c>
      <c r="U39" s="1"/>
      <c r="V39" s="5">
        <f t="shared" si="33"/>
        <v>-4.3375902363225352E-4</v>
      </c>
      <c r="W39" s="1"/>
      <c r="X39" s="1">
        <f t="shared" si="34"/>
        <v>14.379999999999999</v>
      </c>
      <c r="Y39" s="1"/>
      <c r="Z39" s="5">
        <f t="shared" si="35"/>
        <v>-0.64716471647164719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7">
        <v>3.5</v>
      </c>
      <c r="E40" s="2"/>
      <c r="F40" s="6">
        <f t="shared" si="28"/>
        <v>1.0588483723080293E-4</v>
      </c>
      <c r="G40" s="2"/>
      <c r="H40" s="7">
        <v>-27.33</v>
      </c>
      <c r="I40" s="2"/>
      <c r="J40" s="6">
        <f t="shared" si="29"/>
        <v>-7.9247344503545686E-4</v>
      </c>
      <c r="K40" s="2"/>
      <c r="L40" s="7">
        <f t="shared" si="30"/>
        <v>30.83</v>
      </c>
      <c r="M40" s="2"/>
      <c r="N40" s="6">
        <f t="shared" si="31"/>
        <v>-1.1280643980973291</v>
      </c>
      <c r="O40" s="11"/>
      <c r="P40" s="7">
        <v>-7.84</v>
      </c>
      <c r="Q40" s="2"/>
      <c r="R40" s="6">
        <f t="shared" si="32"/>
        <v>-1.6534506608424708E-4</v>
      </c>
      <c r="S40" s="2"/>
      <c r="T40" s="7">
        <v>-22.22</v>
      </c>
      <c r="U40" s="2"/>
      <c r="V40" s="6">
        <f t="shared" si="33"/>
        <v>-4.3375902363225352E-4</v>
      </c>
      <c r="W40" s="2"/>
      <c r="X40" s="7">
        <f t="shared" si="34"/>
        <v>14.379999999999999</v>
      </c>
      <c r="Y40" s="2"/>
      <c r="Z40" s="6">
        <f t="shared" si="35"/>
        <v>-0.64716471647164719</v>
      </c>
    </row>
    <row r="41" spans="1:26" s="27" customFormat="1" outlineLevel="1" collapsed="1" x14ac:dyDescent="0.25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1110.26</v>
      </c>
      <c r="E41" s="1"/>
      <c r="F41" s="5">
        <f t="shared" si="28"/>
        <v>3.3588485538248933E-2</v>
      </c>
      <c r="G41" s="1"/>
      <c r="H41" s="1">
        <f>SUM(OSRRefH22_4x_0)</f>
        <v>1057.3699999999999</v>
      </c>
      <c r="I41" s="1"/>
      <c r="J41" s="5">
        <f t="shared" si="29"/>
        <v>3.0659994386283973E-2</v>
      </c>
      <c r="K41" s="1"/>
      <c r="L41" s="1">
        <f t="shared" si="30"/>
        <v>52.8900000000001</v>
      </c>
      <c r="M41" s="1"/>
      <c r="N41" s="5">
        <f t="shared" si="31"/>
        <v>5.0020333468889892E-2</v>
      </c>
      <c r="O41" s="14"/>
      <c r="P41" s="1">
        <f>SUM(OSRRefP22_4x_0)</f>
        <v>1469.52</v>
      </c>
      <c r="Q41" s="1"/>
      <c r="R41" s="5">
        <f t="shared" si="32"/>
        <v>3.099207672348505E-2</v>
      </c>
      <c r="S41" s="1"/>
      <c r="T41" s="1">
        <f>SUM(OSRRefT22_4x_0)</f>
        <v>1398.3</v>
      </c>
      <c r="U41" s="1"/>
      <c r="V41" s="5">
        <f t="shared" si="33"/>
        <v>2.7296365560080114E-2</v>
      </c>
      <c r="W41" s="1"/>
      <c r="X41" s="1">
        <f t="shared" si="34"/>
        <v>71.220000000000027</v>
      </c>
      <c r="Y41" s="1"/>
      <c r="Z41" s="5">
        <f t="shared" si="35"/>
        <v>5.0933276121004095E-2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7">
        <v>1110.26</v>
      </c>
      <c r="E42" s="2"/>
      <c r="F42" s="6">
        <f t="shared" si="28"/>
        <v>3.3588485538248933E-2</v>
      </c>
      <c r="G42" s="2"/>
      <c r="H42" s="7">
        <v>1057.3699999999999</v>
      </c>
      <c r="I42" s="2"/>
      <c r="J42" s="6">
        <f t="shared" si="29"/>
        <v>3.0659994386283973E-2</v>
      </c>
      <c r="K42" s="2"/>
      <c r="L42" s="7">
        <f t="shared" si="30"/>
        <v>52.8900000000001</v>
      </c>
      <c r="M42" s="2"/>
      <c r="N42" s="6">
        <f t="shared" si="31"/>
        <v>5.0020333468889892E-2</v>
      </c>
      <c r="O42" s="11"/>
      <c r="P42" s="7">
        <v>1469.52</v>
      </c>
      <c r="Q42" s="2"/>
      <c r="R42" s="6">
        <f t="shared" si="32"/>
        <v>3.099207672348505E-2</v>
      </c>
      <c r="S42" s="2"/>
      <c r="T42" s="7">
        <v>1398.3</v>
      </c>
      <c r="U42" s="2"/>
      <c r="V42" s="6">
        <f t="shared" si="33"/>
        <v>2.7296365560080114E-2</v>
      </c>
      <c r="W42" s="2"/>
      <c r="X42" s="7">
        <f t="shared" si="34"/>
        <v>71.220000000000027</v>
      </c>
      <c r="Y42" s="2"/>
      <c r="Z42" s="6">
        <f t="shared" si="35"/>
        <v>5.0933276121004095E-2</v>
      </c>
    </row>
    <row r="43" spans="1:26" s="27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1857.58</v>
      </c>
      <c r="E43" s="1"/>
      <c r="F43" s="5">
        <f t="shared" si="28"/>
        <v>5.6197015983769971E-2</v>
      </c>
      <c r="G43" s="1"/>
      <c r="H43" s="1">
        <f>SUM(OSRRefH22_5x_0)</f>
        <v>2114.62</v>
      </c>
      <c r="I43" s="1"/>
      <c r="J43" s="5">
        <f t="shared" si="29"/>
        <v>6.1316509196519493E-2</v>
      </c>
      <c r="K43" s="1"/>
      <c r="L43" s="1">
        <f t="shared" si="30"/>
        <v>-257.03999999999996</v>
      </c>
      <c r="M43" s="1"/>
      <c r="N43" s="5">
        <f t="shared" si="31"/>
        <v>-0.12155375433884101</v>
      </c>
      <c r="O43" s="14"/>
      <c r="P43" s="1">
        <f>SUM(OSRRefP22_5x_0)</f>
        <v>3715.16</v>
      </c>
      <c r="Q43" s="1"/>
      <c r="R43" s="5">
        <f t="shared" si="32"/>
        <v>7.835247139203462E-2</v>
      </c>
      <c r="S43" s="1"/>
      <c r="T43" s="1">
        <f>SUM(OSRRefT22_5x_0)</f>
        <v>4229.24</v>
      </c>
      <c r="U43" s="1"/>
      <c r="V43" s="5">
        <f t="shared" si="33"/>
        <v>8.2559451534944733E-2</v>
      </c>
      <c r="W43" s="1"/>
      <c r="X43" s="1">
        <f t="shared" si="34"/>
        <v>-514.07999999999993</v>
      </c>
      <c r="Y43" s="1"/>
      <c r="Z43" s="5">
        <f t="shared" si="35"/>
        <v>-0.12155375433884101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1857.58</v>
      </c>
      <c r="E44" s="2"/>
      <c r="F44" s="6">
        <f t="shared" si="28"/>
        <v>5.6197015983769971E-2</v>
      </c>
      <c r="G44" s="2"/>
      <c r="H44" s="7">
        <v>2114.62</v>
      </c>
      <c r="I44" s="2"/>
      <c r="J44" s="6">
        <f t="shared" si="29"/>
        <v>6.1316509196519493E-2</v>
      </c>
      <c r="K44" s="2"/>
      <c r="L44" s="7">
        <f t="shared" si="30"/>
        <v>-257.03999999999996</v>
      </c>
      <c r="M44" s="2"/>
      <c r="N44" s="6">
        <f t="shared" si="31"/>
        <v>-0.12155375433884101</v>
      </c>
      <c r="O44" s="11"/>
      <c r="P44" s="7">
        <v>3715.16</v>
      </c>
      <c r="Q44" s="2"/>
      <c r="R44" s="6">
        <f t="shared" si="32"/>
        <v>7.835247139203462E-2</v>
      </c>
      <c r="S44" s="2"/>
      <c r="T44" s="7">
        <v>4229.24</v>
      </c>
      <c r="U44" s="2"/>
      <c r="V44" s="6">
        <f t="shared" si="33"/>
        <v>8.2559451534944733E-2</v>
      </c>
      <c r="W44" s="2"/>
      <c r="X44" s="7">
        <f t="shared" si="34"/>
        <v>-514.07999999999993</v>
      </c>
      <c r="Y44" s="2"/>
      <c r="Z44" s="6">
        <f t="shared" si="35"/>
        <v>-0.12155375433884101</v>
      </c>
    </row>
    <row r="45" spans="1:26" s="27" customFormat="1" outlineLevel="1" collapsed="1" x14ac:dyDescent="0.25">
      <c r="A45" s="28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SUM(OSRRefD22_6x_0)</f>
        <v>0</v>
      </c>
      <c r="E45" s="1"/>
      <c r="F45" s="5">
        <f t="shared" si="28"/>
        <v>0</v>
      </c>
      <c r="G45" s="1"/>
      <c r="H45" s="1">
        <f>SUM(OSRRefH22_6x_0)</f>
        <v>0</v>
      </c>
      <c r="I45" s="1"/>
      <c r="J45" s="5">
        <f t="shared" si="29"/>
        <v>0</v>
      </c>
      <c r="K45" s="1"/>
      <c r="L45" s="1">
        <f t="shared" si="30"/>
        <v>0</v>
      </c>
      <c r="M45" s="1"/>
      <c r="N45" s="5">
        <f t="shared" si="31"/>
        <v>0</v>
      </c>
      <c r="O45" s="14"/>
      <c r="P45" s="1">
        <f>SUM(OSRRefP22_6x_0)</f>
        <v>0</v>
      </c>
      <c r="Q45" s="1"/>
      <c r="R45" s="5">
        <f t="shared" si="32"/>
        <v>0</v>
      </c>
      <c r="S45" s="1"/>
      <c r="T45" s="1">
        <f>SUM(OSRRefT22_6x_0)</f>
        <v>61.8</v>
      </c>
      <c r="U45" s="1"/>
      <c r="V45" s="5">
        <f t="shared" si="33"/>
        <v>1.2064044851698142E-3</v>
      </c>
      <c r="W45" s="1"/>
      <c r="X45" s="1">
        <f t="shared" si="34"/>
        <v>-61.8</v>
      </c>
      <c r="Y45" s="1"/>
      <c r="Z45" s="5">
        <f t="shared" si="35"/>
        <v>-1</v>
      </c>
    </row>
    <row r="46" spans="1:26" s="24" customFormat="1" hidden="1" outlineLevel="2" x14ac:dyDescent="0.25">
      <c r="A46" s="29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/>
      <c r="Q46" s="2"/>
      <c r="R46" s="6">
        <f t="shared" si="32"/>
        <v>0</v>
      </c>
      <c r="S46" s="2"/>
      <c r="T46" s="7">
        <v>61.8</v>
      </c>
      <c r="U46" s="2"/>
      <c r="V46" s="6">
        <f t="shared" si="33"/>
        <v>1.2064044851698142E-3</v>
      </c>
      <c r="W46" s="2"/>
      <c r="X46" s="7">
        <f t="shared" si="34"/>
        <v>-61.8</v>
      </c>
      <c r="Y46" s="2"/>
      <c r="Z46" s="6">
        <f t="shared" si="35"/>
        <v>-1</v>
      </c>
    </row>
    <row r="47" spans="1:26" s="27" customFormat="1" outlineLevel="1" collapsed="1" x14ac:dyDescent="0.25">
      <c r="A47" s="28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SUM(OSRRefD22_7x_0)</f>
        <v>23.75</v>
      </c>
      <c r="E47" s="1"/>
      <c r="F47" s="5">
        <f t="shared" si="28"/>
        <v>7.1850425263759131E-4</v>
      </c>
      <c r="G47" s="1"/>
      <c r="H47" s="1">
        <f>SUM(OSRRefH22_7x_0)</f>
        <v>36.700000000000003</v>
      </c>
      <c r="I47" s="1"/>
      <c r="J47" s="5">
        <f t="shared" si="29"/>
        <v>1.0641703414855934E-3</v>
      </c>
      <c r="K47" s="1"/>
      <c r="L47" s="1">
        <f t="shared" si="30"/>
        <v>-12.950000000000003</v>
      </c>
      <c r="M47" s="1"/>
      <c r="N47" s="5">
        <f t="shared" si="31"/>
        <v>-0.35286103542234337</v>
      </c>
      <c r="O47" s="14"/>
      <c r="P47" s="1">
        <f>SUM(OSRRefP22_7x_0)</f>
        <v>768.55</v>
      </c>
      <c r="Q47" s="1"/>
      <c r="R47" s="5">
        <f t="shared" si="32"/>
        <v>1.6208667160592868E-2</v>
      </c>
      <c r="S47" s="1"/>
      <c r="T47" s="1">
        <f>SUM(OSRRefT22_7x_0)</f>
        <v>760.9</v>
      </c>
      <c r="U47" s="1"/>
      <c r="V47" s="5">
        <f t="shared" si="33"/>
        <v>1.4853611209801158E-2</v>
      </c>
      <c r="W47" s="1"/>
      <c r="X47" s="1">
        <f t="shared" si="34"/>
        <v>7.6499999999999773</v>
      </c>
      <c r="Y47" s="1"/>
      <c r="Z47" s="5">
        <f t="shared" si="35"/>
        <v>1.0053883558943327E-2</v>
      </c>
    </row>
    <row r="48" spans="1:26" s="24" customFormat="1" hidden="1" outlineLevel="2" x14ac:dyDescent="0.25">
      <c r="A48" s="29"/>
      <c r="B48" s="11" t="str">
        <f>CONCATENATE("          ", "6279", " - ", "GENERAL EXPENSE")</f>
        <v xml:space="preserve">          6279 - GENERAL EXPENSE</v>
      </c>
      <c r="C48" s="11"/>
      <c r="D48" s="7">
        <v>23.75</v>
      </c>
      <c r="E48" s="2"/>
      <c r="F48" s="6">
        <f t="shared" si="28"/>
        <v>7.1850425263759131E-4</v>
      </c>
      <c r="G48" s="2"/>
      <c r="H48" s="7">
        <v>36.700000000000003</v>
      </c>
      <c r="I48" s="2"/>
      <c r="J48" s="6">
        <f t="shared" si="29"/>
        <v>1.0641703414855934E-3</v>
      </c>
      <c r="K48" s="2"/>
      <c r="L48" s="7">
        <f t="shared" si="30"/>
        <v>-12.950000000000003</v>
      </c>
      <c r="M48" s="2"/>
      <c r="N48" s="6">
        <f t="shared" si="31"/>
        <v>-0.35286103542234337</v>
      </c>
      <c r="O48" s="11"/>
      <c r="P48" s="7">
        <v>768.55</v>
      </c>
      <c r="Q48" s="2"/>
      <c r="R48" s="6">
        <f t="shared" si="32"/>
        <v>1.6208667160592868E-2</v>
      </c>
      <c r="S48" s="2"/>
      <c r="T48" s="7">
        <v>760.9</v>
      </c>
      <c r="U48" s="2"/>
      <c r="V48" s="6">
        <f t="shared" si="33"/>
        <v>1.4853611209801158E-2</v>
      </c>
      <c r="W48" s="2"/>
      <c r="X48" s="7">
        <f t="shared" si="34"/>
        <v>7.6499999999999773</v>
      </c>
      <c r="Y48" s="2"/>
      <c r="Z48" s="6">
        <f t="shared" si="35"/>
        <v>1.0053883558943327E-2</v>
      </c>
    </row>
    <row r="49" spans="1:26" s="27" customFormat="1" outlineLevel="1" collapsed="1" x14ac:dyDescent="0.25">
      <c r="A49" s="28"/>
      <c r="B49" s="14" t="str">
        <f>CONCATENATE("     ","Rent                                              ")</f>
        <v xml:space="preserve">     Rent                                              </v>
      </c>
      <c r="C49" s="14"/>
      <c r="D49" s="1">
        <f>SUM(OSRRefD22_8x_0)</f>
        <v>1150</v>
      </c>
      <c r="E49" s="1"/>
      <c r="F49" s="5">
        <f t="shared" si="28"/>
        <v>3.4790732232978107E-2</v>
      </c>
      <c r="G49" s="1"/>
      <c r="H49" s="1">
        <f>SUM(OSRRefH22_8x_0)</f>
        <v>1150</v>
      </c>
      <c r="I49" s="1"/>
      <c r="J49" s="5">
        <f t="shared" si="29"/>
        <v>3.3345937131019958E-2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SUM(OSRRefP22_8x_0)</f>
        <v>2300</v>
      </c>
      <c r="Q49" s="1"/>
      <c r="R49" s="5">
        <f t="shared" si="32"/>
        <v>4.8506843366552081E-2</v>
      </c>
      <c r="S49" s="1"/>
      <c r="T49" s="1">
        <f>SUM(OSRRefT22_8x_0)</f>
        <v>2300</v>
      </c>
      <c r="U49" s="1"/>
      <c r="V49" s="5">
        <f t="shared" si="33"/>
        <v>4.4898548800818325E-2</v>
      </c>
      <c r="W49" s="1"/>
      <c r="X49" s="1">
        <f t="shared" si="34"/>
        <v>0</v>
      </c>
      <c r="Y49" s="1"/>
      <c r="Z49" s="5">
        <f t="shared" si="35"/>
        <v>0</v>
      </c>
    </row>
    <row r="50" spans="1:26" s="24" customFormat="1" hidden="1" outlineLevel="2" x14ac:dyDescent="0.25">
      <c r="A50" s="29"/>
      <c r="B50" s="11" t="str">
        <f>CONCATENATE("          ", "6273", " - ", "RENT")</f>
        <v xml:space="preserve">          6273 - RENT</v>
      </c>
      <c r="C50" s="11"/>
      <c r="D50" s="7">
        <v>1150</v>
      </c>
      <c r="E50" s="2"/>
      <c r="F50" s="6">
        <f t="shared" si="28"/>
        <v>3.4790732232978107E-2</v>
      </c>
      <c r="G50" s="2"/>
      <c r="H50" s="7">
        <v>1150</v>
      </c>
      <c r="I50" s="2"/>
      <c r="J50" s="6">
        <f t="shared" si="29"/>
        <v>3.3345937131019958E-2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2300</v>
      </c>
      <c r="Q50" s="2"/>
      <c r="R50" s="6">
        <f t="shared" si="32"/>
        <v>4.8506843366552081E-2</v>
      </c>
      <c r="S50" s="2"/>
      <c r="T50" s="7">
        <v>2300</v>
      </c>
      <c r="U50" s="2"/>
      <c r="V50" s="6">
        <f t="shared" si="33"/>
        <v>4.4898548800818325E-2</v>
      </c>
      <c r="W50" s="2"/>
      <c r="X50" s="7">
        <f t="shared" si="34"/>
        <v>0</v>
      </c>
      <c r="Y50" s="2"/>
      <c r="Z50" s="6">
        <f t="shared" si="35"/>
        <v>0</v>
      </c>
    </row>
    <row r="51" spans="1:26" s="27" customFormat="1" outlineLevel="1" collapsed="1" x14ac:dyDescent="0.25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SUM(OSRRefD22_9x_0)</f>
        <v>0</v>
      </c>
      <c r="E51" s="1"/>
      <c r="F51" s="5">
        <f t="shared" si="28"/>
        <v>0</v>
      </c>
      <c r="G51" s="1"/>
      <c r="H51" s="1">
        <f>SUM(OSRRefH22_9x_0)</f>
        <v>243.73</v>
      </c>
      <c r="I51" s="1"/>
      <c r="J51" s="5">
        <f t="shared" si="29"/>
        <v>7.0673089190812994E-3</v>
      </c>
      <c r="K51" s="1"/>
      <c r="L51" s="1">
        <f t="shared" si="30"/>
        <v>-243.73</v>
      </c>
      <c r="M51" s="1"/>
      <c r="N51" s="5">
        <f t="shared" si="31"/>
        <v>-1</v>
      </c>
      <c r="O51" s="14"/>
      <c r="P51" s="1">
        <f>SUM(OSRRefP22_9x_0)</f>
        <v>640.13</v>
      </c>
      <c r="Q51" s="1"/>
      <c r="R51" s="5">
        <f t="shared" si="32"/>
        <v>1.3500298106187384E-2</v>
      </c>
      <c r="S51" s="1"/>
      <c r="T51" s="1">
        <f>SUM(OSRRefT22_9x_0)</f>
        <v>333.84</v>
      </c>
      <c r="U51" s="1"/>
      <c r="V51" s="5">
        <f t="shared" si="33"/>
        <v>6.5169267528979082E-3</v>
      </c>
      <c r="W51" s="1"/>
      <c r="X51" s="1">
        <f t="shared" si="34"/>
        <v>306.29000000000002</v>
      </c>
      <c r="Y51" s="1"/>
      <c r="Z51" s="5">
        <f t="shared" si="35"/>
        <v>0.9174754373352505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28"/>
        <v>0</v>
      </c>
      <c r="G52" s="2"/>
      <c r="H52" s="7">
        <v>243.73</v>
      </c>
      <c r="I52" s="2"/>
      <c r="J52" s="6">
        <f t="shared" si="29"/>
        <v>7.0673089190812994E-3</v>
      </c>
      <c r="K52" s="2"/>
      <c r="L52" s="7">
        <f t="shared" si="30"/>
        <v>-243.73</v>
      </c>
      <c r="M52" s="2"/>
      <c r="N52" s="6">
        <f t="shared" si="31"/>
        <v>-1</v>
      </c>
      <c r="O52" s="11"/>
      <c r="P52" s="7">
        <v>640.13</v>
      </c>
      <c r="Q52" s="2"/>
      <c r="R52" s="6">
        <f t="shared" si="32"/>
        <v>1.3500298106187384E-2</v>
      </c>
      <c r="S52" s="2"/>
      <c r="T52" s="7">
        <v>333.84</v>
      </c>
      <c r="U52" s="2"/>
      <c r="V52" s="6">
        <f t="shared" si="33"/>
        <v>6.5169267528979082E-3</v>
      </c>
      <c r="W52" s="2"/>
      <c r="X52" s="7">
        <f t="shared" si="34"/>
        <v>306.29000000000002</v>
      </c>
      <c r="Y52" s="2"/>
      <c r="Z52" s="6">
        <f t="shared" si="35"/>
        <v>0.9174754373352505</v>
      </c>
    </row>
    <row r="53" spans="1:26" s="27" customFormat="1" outlineLevel="1" collapsed="1" x14ac:dyDescent="0.25">
      <c r="A53" s="28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681.51</v>
      </c>
      <c r="E53" s="1"/>
      <c r="F53" s="5">
        <f t="shared" si="28"/>
        <v>2.0617592977475573E-2</v>
      </c>
      <c r="G53" s="1"/>
      <c r="H53" s="1">
        <f>SUM(OSRRefH22_10x_0)</f>
        <v>451.1</v>
      </c>
      <c r="I53" s="1"/>
      <c r="J53" s="5">
        <f t="shared" si="29"/>
        <v>1.3080306295480959E-2</v>
      </c>
      <c r="K53" s="1"/>
      <c r="L53" s="1">
        <f t="shared" si="30"/>
        <v>230.40999999999997</v>
      </c>
      <c r="M53" s="1"/>
      <c r="N53" s="5">
        <f t="shared" si="31"/>
        <v>0.51077366437596972</v>
      </c>
      <c r="O53" s="14"/>
      <c r="P53" s="1">
        <f>SUM(OSRRefP22_10x_0)</f>
        <v>1095.96</v>
      </c>
      <c r="Q53" s="1"/>
      <c r="R53" s="5">
        <f t="shared" si="32"/>
        <v>2.3113721763481053E-2</v>
      </c>
      <c r="S53" s="1"/>
      <c r="T53" s="1">
        <f>SUM(OSRRefT22_10x_0)</f>
        <v>976.61</v>
      </c>
      <c r="U53" s="1"/>
      <c r="V53" s="5">
        <f t="shared" si="33"/>
        <v>1.9064509454072689E-2</v>
      </c>
      <c r="W53" s="1"/>
      <c r="X53" s="1">
        <f t="shared" si="34"/>
        <v>119.35000000000002</v>
      </c>
      <c r="Y53" s="1"/>
      <c r="Z53" s="5">
        <f t="shared" si="35"/>
        <v>0.12220845578071085</v>
      </c>
    </row>
    <row r="54" spans="1:26" s="24" customFormat="1" hidden="1" outlineLevel="2" x14ac:dyDescent="0.25">
      <c r="A54" s="29"/>
      <c r="B54" s="11" t="str">
        <f>CONCATENATE("          ", "6282", " - ", "JANITORIAL/EXTERMINATOR EXPENS")</f>
        <v xml:space="preserve">          6282 - JANITORIAL/EXTERMINATOR EXPENS</v>
      </c>
      <c r="C54" s="11"/>
      <c r="D54" s="7">
        <v>233.62</v>
      </c>
      <c r="E54" s="2"/>
      <c r="F54" s="6">
        <f t="shared" si="28"/>
        <v>7.0676616211029089E-3</v>
      </c>
      <c r="G54" s="2"/>
      <c r="H54" s="7">
        <v>116.81</v>
      </c>
      <c r="I54" s="2"/>
      <c r="J54" s="6">
        <f t="shared" si="29"/>
        <v>3.3870773184995141E-3</v>
      </c>
      <c r="K54" s="2"/>
      <c r="L54" s="7">
        <f t="shared" si="30"/>
        <v>116.81</v>
      </c>
      <c r="M54" s="2"/>
      <c r="N54" s="6">
        <f t="shared" si="31"/>
        <v>1</v>
      </c>
      <c r="O54" s="11"/>
      <c r="P54" s="7">
        <v>350.43</v>
      </c>
      <c r="Q54" s="2"/>
      <c r="R54" s="6">
        <f t="shared" si="32"/>
        <v>7.3905448351916717E-3</v>
      </c>
      <c r="S54" s="2"/>
      <c r="T54" s="7">
        <v>233.62</v>
      </c>
      <c r="U54" s="2"/>
      <c r="V54" s="6">
        <f t="shared" si="33"/>
        <v>4.5605212916726857E-3</v>
      </c>
      <c r="W54" s="2"/>
      <c r="X54" s="7">
        <f t="shared" si="34"/>
        <v>116.81</v>
      </c>
      <c r="Y54" s="2"/>
      <c r="Z54" s="6">
        <f t="shared" si="35"/>
        <v>0.5</v>
      </c>
    </row>
    <row r="55" spans="1:26" s="24" customFormat="1" hidden="1" outlineLevel="2" x14ac:dyDescent="0.25">
      <c r="A55" s="29"/>
      <c r="B55" s="11" t="str">
        <f>CONCATENATE("          ", "6285", " - ", "JANITORIAL SERVICES")</f>
        <v xml:space="preserve">          6285 - JANITORIAL SERVICES</v>
      </c>
      <c r="C55" s="11"/>
      <c r="D55" s="7">
        <v>75.680000000000007</v>
      </c>
      <c r="E55" s="2"/>
      <c r="F55" s="6">
        <f t="shared" si="28"/>
        <v>2.2895327090363335E-3</v>
      </c>
      <c r="G55" s="2"/>
      <c r="H55" s="7">
        <v>70.25</v>
      </c>
      <c r="I55" s="2"/>
      <c r="J55" s="6">
        <f t="shared" si="29"/>
        <v>2.0370018116992626E-3</v>
      </c>
      <c r="K55" s="2"/>
      <c r="L55" s="7">
        <f t="shared" si="30"/>
        <v>5.4300000000000068</v>
      </c>
      <c r="M55" s="2"/>
      <c r="N55" s="6">
        <f t="shared" si="31"/>
        <v>7.7295373665480518E-2</v>
      </c>
      <c r="O55" s="11"/>
      <c r="P55" s="7">
        <v>75.680000000000007</v>
      </c>
      <c r="Q55" s="2"/>
      <c r="R55" s="6">
        <f t="shared" si="32"/>
        <v>1.5960860460785486E-3</v>
      </c>
      <c r="S55" s="2"/>
      <c r="T55" s="7">
        <v>140.5</v>
      </c>
      <c r="U55" s="2"/>
      <c r="V55" s="6">
        <f t="shared" si="33"/>
        <v>2.7427156984847715E-3</v>
      </c>
      <c r="W55" s="2"/>
      <c r="X55" s="7">
        <f t="shared" si="34"/>
        <v>-64.819999999999993</v>
      </c>
      <c r="Y55" s="2"/>
      <c r="Z55" s="6">
        <f t="shared" si="35"/>
        <v>-0.46135231316725972</v>
      </c>
    </row>
    <row r="56" spans="1:26" s="24" customFormat="1" hidden="1" outlineLevel="2" x14ac:dyDescent="0.25">
      <c r="A56" s="29"/>
      <c r="B56" s="11" t="str">
        <f>CONCATENATE("          ", "6286", " - ", "LAUNDRY EXPENSE")</f>
        <v xml:space="preserve">          6286 - LAUNDRY EXPENSE</v>
      </c>
      <c r="C56" s="11"/>
      <c r="D56" s="7">
        <v>372.21</v>
      </c>
      <c r="E56" s="2"/>
      <c r="F56" s="6">
        <f t="shared" si="28"/>
        <v>1.126039864733633E-2</v>
      </c>
      <c r="G56" s="2"/>
      <c r="H56" s="7">
        <v>264.04000000000002</v>
      </c>
      <c r="I56" s="2"/>
      <c r="J56" s="6">
        <f t="shared" si="29"/>
        <v>7.6562271652821827E-3</v>
      </c>
      <c r="K56" s="2"/>
      <c r="L56" s="7">
        <f t="shared" si="30"/>
        <v>108.16999999999996</v>
      </c>
      <c r="M56" s="2"/>
      <c r="N56" s="6">
        <f t="shared" si="31"/>
        <v>0.40967277685199194</v>
      </c>
      <c r="O56" s="11"/>
      <c r="P56" s="7">
        <v>669.85</v>
      </c>
      <c r="Q56" s="2"/>
      <c r="R56" s="6">
        <f t="shared" si="32"/>
        <v>1.4127090882210831E-2</v>
      </c>
      <c r="S56" s="2"/>
      <c r="T56" s="7">
        <v>602.49</v>
      </c>
      <c r="U56" s="2"/>
      <c r="V56" s="6">
        <f t="shared" si="33"/>
        <v>1.1761272463915232E-2</v>
      </c>
      <c r="W56" s="2"/>
      <c r="X56" s="7">
        <f t="shared" si="34"/>
        <v>67.360000000000014</v>
      </c>
      <c r="Y56" s="2"/>
      <c r="Z56" s="6">
        <f t="shared" si="35"/>
        <v>0.11180268552175142</v>
      </c>
    </row>
    <row r="57" spans="1:26" s="27" customFormat="1" outlineLevel="1" collapsed="1" x14ac:dyDescent="0.25">
      <c r="A57" s="28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SUM(OSRRefD22_11x_0)</f>
        <v>5325.8600000000006</v>
      </c>
      <c r="E57" s="1"/>
      <c r="F57" s="5">
        <f t="shared" ref="F57:F63" si="36">IF(D$12=0,0,D57/D$12)</f>
        <v>0.16112223406115547</v>
      </c>
      <c r="G57" s="1"/>
      <c r="H57" s="1">
        <f>SUM(OSRRefH22_11x_0)</f>
        <v>1813.8000000000002</v>
      </c>
      <c r="I57" s="1"/>
      <c r="J57" s="5">
        <f t="shared" ref="J57:J63" si="37">IF(H$12=0,0,H57/H$12)</f>
        <v>5.2593791972386089E-2</v>
      </c>
      <c r="K57" s="1"/>
      <c r="L57" s="1">
        <f t="shared" ref="L57:L63" si="38">+D57-H57</f>
        <v>3512.0600000000004</v>
      </c>
      <c r="M57" s="1"/>
      <c r="N57" s="5">
        <f t="shared" ref="N57:N63" si="39">IF(H57=0,0,L57/H57)</f>
        <v>1.93629948175102</v>
      </c>
      <c r="O57" s="14"/>
      <c r="P57" s="1">
        <f>SUM(OSRRefP22_11x_0)</f>
        <v>6429.75</v>
      </c>
      <c r="Q57" s="1"/>
      <c r="R57" s="5">
        <f t="shared" ref="R57:R63" si="40">IF(P$12=0,0,P57/P$12)</f>
        <v>0.13560298962438619</v>
      </c>
      <c r="S57" s="1"/>
      <c r="T57" s="1">
        <f>SUM(OSRRefT22_11x_0)</f>
        <v>2416.6499999999996</v>
      </c>
      <c r="U57" s="1"/>
      <c r="V57" s="5">
        <f t="shared" ref="V57:V63" si="41">IF(T$12=0,0,T57/T$12)</f>
        <v>4.717568606934678E-2</v>
      </c>
      <c r="W57" s="1"/>
      <c r="X57" s="1">
        <f t="shared" ref="X57:X63" si="42">+P57-T57</f>
        <v>4013.1000000000004</v>
      </c>
      <c r="Y57" s="1"/>
      <c r="Z57" s="5">
        <f t="shared" ref="Z57:Z63" si="43">IF(T57=0,0,X57/T57)</f>
        <v>1.6606045558934894</v>
      </c>
    </row>
    <row r="58" spans="1:26" s="24" customFormat="1" hidden="1" outlineLevel="2" x14ac:dyDescent="0.25">
      <c r="A58" s="29"/>
      <c r="B58" s="11" t="str">
        <f>CONCATENATE("          ", "6234", " - ", "EXPENDABLE SUPPLIES &amp; EQUIPMEN")</f>
        <v xml:space="preserve">          6234 - EXPENDABLE SUPPLIES &amp; EQUIPMEN</v>
      </c>
      <c r="C58" s="11"/>
      <c r="D58" s="7">
        <v>354.71</v>
      </c>
      <c r="E58" s="2"/>
      <c r="F58" s="6">
        <f t="shared" si="36"/>
        <v>1.0730974461182315E-2</v>
      </c>
      <c r="G58" s="2"/>
      <c r="H58" s="7"/>
      <c r="I58" s="2"/>
      <c r="J58" s="6">
        <f t="shared" si="37"/>
        <v>0</v>
      </c>
      <c r="K58" s="2"/>
      <c r="L58" s="7">
        <f t="shared" si="38"/>
        <v>354.71</v>
      </c>
      <c r="M58" s="2"/>
      <c r="N58" s="6">
        <f t="shared" si="39"/>
        <v>0</v>
      </c>
      <c r="O58" s="11"/>
      <c r="P58" s="7">
        <v>354.71</v>
      </c>
      <c r="Q58" s="2"/>
      <c r="R58" s="6">
        <f t="shared" si="40"/>
        <v>7.480809743717255E-3</v>
      </c>
      <c r="S58" s="2"/>
      <c r="T58" s="7"/>
      <c r="U58" s="2"/>
      <c r="V58" s="6">
        <f t="shared" si="41"/>
        <v>0</v>
      </c>
      <c r="W58" s="2"/>
      <c r="X58" s="7">
        <f t="shared" si="42"/>
        <v>354.71</v>
      </c>
      <c r="Y58" s="2"/>
      <c r="Z58" s="6">
        <f t="shared" si="43"/>
        <v>0</v>
      </c>
    </row>
    <row r="59" spans="1:26" s="24" customFormat="1" hidden="1" outlineLevel="2" x14ac:dyDescent="0.25">
      <c r="A59" s="29"/>
      <c r="B59" s="11" t="str">
        <f>CONCATENATE("          ", "6237", " - ", "JANITORIAL SUPPLIES")</f>
        <v xml:space="preserve">          6237 - JANITORIAL SUPPLIES</v>
      </c>
      <c r="C59" s="11"/>
      <c r="D59" s="7">
        <v>210</v>
      </c>
      <c r="E59" s="2"/>
      <c r="F59" s="6">
        <f t="shared" si="36"/>
        <v>6.3530902338481757E-3</v>
      </c>
      <c r="G59" s="2"/>
      <c r="H59" s="7">
        <v>50</v>
      </c>
      <c r="I59" s="2"/>
      <c r="J59" s="6">
        <f t="shared" si="37"/>
        <v>1.4498233535226068E-3</v>
      </c>
      <c r="K59" s="2"/>
      <c r="L59" s="7">
        <f t="shared" si="38"/>
        <v>160</v>
      </c>
      <c r="M59" s="2"/>
      <c r="N59" s="6">
        <f t="shared" si="39"/>
        <v>3.2</v>
      </c>
      <c r="O59" s="11"/>
      <c r="P59" s="7">
        <v>234.25</v>
      </c>
      <c r="Q59" s="2"/>
      <c r="R59" s="6">
        <f t="shared" si="40"/>
        <v>4.9403165472238367E-3</v>
      </c>
      <c r="S59" s="2"/>
      <c r="T59" s="7">
        <v>244.23</v>
      </c>
      <c r="U59" s="2"/>
      <c r="V59" s="6">
        <f t="shared" si="41"/>
        <v>4.7676402494016782E-3</v>
      </c>
      <c r="W59" s="2"/>
      <c r="X59" s="7">
        <f t="shared" si="42"/>
        <v>-9.9799999999999898</v>
      </c>
      <c r="Y59" s="2"/>
      <c r="Z59" s="6">
        <f t="shared" si="43"/>
        <v>-4.0863120828726979E-2</v>
      </c>
    </row>
    <row r="60" spans="1:26" s="24" customFormat="1" hidden="1" outlineLevel="2" x14ac:dyDescent="0.25">
      <c r="A60" s="29"/>
      <c r="B60" s="11" t="str">
        <f>CONCATENATE("          ", "6241", " - ", "OFFICE EXPENSE")</f>
        <v xml:space="preserve">          6241 - OFFICE EXPENSE</v>
      </c>
      <c r="C60" s="11"/>
      <c r="D60" s="7">
        <v>221.19</v>
      </c>
      <c r="E60" s="2"/>
      <c r="F60" s="6">
        <f t="shared" si="36"/>
        <v>6.6916191848803716E-3</v>
      </c>
      <c r="G60" s="2"/>
      <c r="H60" s="7">
        <v>441.7</v>
      </c>
      <c r="I60" s="2"/>
      <c r="J60" s="6">
        <f t="shared" si="37"/>
        <v>1.2807739505018708E-2</v>
      </c>
      <c r="K60" s="2"/>
      <c r="L60" s="7">
        <f t="shared" si="38"/>
        <v>-220.51</v>
      </c>
      <c r="M60" s="2"/>
      <c r="N60" s="6">
        <f t="shared" si="39"/>
        <v>-0.49923024677382838</v>
      </c>
      <c r="O60" s="11"/>
      <c r="P60" s="7">
        <v>416.4</v>
      </c>
      <c r="Q60" s="2"/>
      <c r="R60" s="6">
        <f t="shared" si="40"/>
        <v>8.7818476425357752E-3</v>
      </c>
      <c r="S60" s="2"/>
      <c r="T60" s="7">
        <v>674.47</v>
      </c>
      <c r="U60" s="2"/>
      <c r="V60" s="6">
        <f t="shared" si="41"/>
        <v>1.3166401830299103E-2</v>
      </c>
      <c r="W60" s="2"/>
      <c r="X60" s="7">
        <f t="shared" si="42"/>
        <v>-258.07000000000005</v>
      </c>
      <c r="Y60" s="2"/>
      <c r="Z60" s="6">
        <f t="shared" si="43"/>
        <v>-0.38262635847406118</v>
      </c>
    </row>
    <row r="61" spans="1:26" s="24" customFormat="1" hidden="1" outlineLevel="2" x14ac:dyDescent="0.25">
      <c r="A61" s="29"/>
      <c r="B61" s="11" t="str">
        <f>CONCATENATE("          ", "6243", " - ", "PAPER SUPPLIES")</f>
        <v xml:space="preserve">          6243 - PAPER SUPPLIES</v>
      </c>
      <c r="C61" s="11"/>
      <c r="D61" s="7">
        <v>110.29</v>
      </c>
      <c r="E61" s="2"/>
      <c r="F61" s="6">
        <f t="shared" si="36"/>
        <v>3.3365824851957875E-3</v>
      </c>
      <c r="G61" s="2"/>
      <c r="H61" s="7">
        <v>226.01</v>
      </c>
      <c r="I61" s="2"/>
      <c r="J61" s="6">
        <f t="shared" si="37"/>
        <v>6.5534915225928872E-3</v>
      </c>
      <c r="K61" s="2"/>
      <c r="L61" s="7">
        <f t="shared" si="38"/>
        <v>-115.71999999999998</v>
      </c>
      <c r="M61" s="2"/>
      <c r="N61" s="6">
        <f t="shared" si="39"/>
        <v>-0.51201274279899112</v>
      </c>
      <c r="O61" s="11"/>
      <c r="P61" s="7">
        <v>110.29</v>
      </c>
      <c r="Q61" s="2"/>
      <c r="R61" s="6">
        <f t="shared" si="40"/>
        <v>2.3260085890856649E-3</v>
      </c>
      <c r="S61" s="2"/>
      <c r="T61" s="7">
        <v>271.86</v>
      </c>
      <c r="U61" s="2"/>
      <c r="V61" s="6">
        <f t="shared" si="41"/>
        <v>5.3070084682567261E-3</v>
      </c>
      <c r="W61" s="2"/>
      <c r="X61" s="7">
        <f t="shared" si="42"/>
        <v>-161.57</v>
      </c>
      <c r="Y61" s="2"/>
      <c r="Z61" s="6">
        <f t="shared" si="43"/>
        <v>-0.59431324946663722</v>
      </c>
    </row>
    <row r="62" spans="1:26" s="24" customFormat="1" hidden="1" outlineLevel="2" x14ac:dyDescent="0.25">
      <c r="A62" s="29"/>
      <c r="B62" s="11" t="str">
        <f>CONCATENATE("          ", "6247", " - ", "STORE SUPPLIES")</f>
        <v xml:space="preserve">          6247 - STORE SUPPLIES</v>
      </c>
      <c r="C62" s="11"/>
      <c r="D62" s="7">
        <v>4429.67</v>
      </c>
      <c r="E62" s="2"/>
      <c r="F62" s="6">
        <f t="shared" si="36"/>
        <v>0.13400996769604881</v>
      </c>
      <c r="G62" s="2"/>
      <c r="H62" s="7">
        <v>908.22</v>
      </c>
      <c r="I62" s="2"/>
      <c r="J62" s="6">
        <f t="shared" si="37"/>
        <v>2.6335171322726041E-2</v>
      </c>
      <c r="K62" s="2"/>
      <c r="L62" s="7">
        <f t="shared" si="38"/>
        <v>3521.45</v>
      </c>
      <c r="M62" s="2"/>
      <c r="N62" s="6">
        <f t="shared" si="39"/>
        <v>3.8773094624650413</v>
      </c>
      <c r="O62" s="11"/>
      <c r="P62" s="7">
        <v>5314.1</v>
      </c>
      <c r="Q62" s="2"/>
      <c r="R62" s="6">
        <f t="shared" si="40"/>
        <v>0.11207400710182366</v>
      </c>
      <c r="S62" s="2"/>
      <c r="T62" s="7">
        <v>1038.22</v>
      </c>
      <c r="U62" s="2"/>
      <c r="V62" s="6">
        <f t="shared" si="41"/>
        <v>2.0267204928689393E-2</v>
      </c>
      <c r="W62" s="2"/>
      <c r="X62" s="7">
        <f t="shared" si="42"/>
        <v>4275.88</v>
      </c>
      <c r="Y62" s="2"/>
      <c r="Z62" s="6">
        <f t="shared" si="43"/>
        <v>4.1184720001541102</v>
      </c>
    </row>
    <row r="63" spans="1:26" s="24" customFormat="1" hidden="1" outlineLevel="2" x14ac:dyDescent="0.25">
      <c r="A63" s="29"/>
      <c r="B63" s="11" t="str">
        <f>CONCATENATE("          ", "6248", " - ", "UNIFORMS")</f>
        <v xml:space="preserve">          6248 - UNIFORMS</v>
      </c>
      <c r="C63" s="11"/>
      <c r="D63" s="7"/>
      <c r="E63" s="2"/>
      <c r="F63" s="6">
        <f t="shared" si="36"/>
        <v>0</v>
      </c>
      <c r="G63" s="2"/>
      <c r="H63" s="7">
        <v>187.87</v>
      </c>
      <c r="I63" s="2"/>
      <c r="J63" s="6">
        <f t="shared" si="37"/>
        <v>5.4475662685258431E-3</v>
      </c>
      <c r="K63" s="2"/>
      <c r="L63" s="7">
        <f t="shared" si="38"/>
        <v>-187.87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187.87</v>
      </c>
      <c r="U63" s="2"/>
      <c r="V63" s="6">
        <f t="shared" si="41"/>
        <v>3.6674305926998867E-3</v>
      </c>
      <c r="W63" s="2"/>
      <c r="X63" s="7">
        <f t="shared" si="42"/>
        <v>-187.87</v>
      </c>
      <c r="Y63" s="2"/>
      <c r="Z63" s="6">
        <f t="shared" si="43"/>
        <v>-1</v>
      </c>
    </row>
    <row r="64" spans="1:26" s="27" customFormat="1" outlineLevel="1" collapsed="1" x14ac:dyDescent="0.25">
      <c r="A64" s="28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SUM(OSRRefD22_12x_0)</f>
        <v>36</v>
      </c>
      <c r="E64" s="1"/>
      <c r="F64" s="5">
        <f t="shared" ref="F64:F67" si="44">IF(D$12=0,0,D64/D$12)</f>
        <v>1.0891011829454015E-3</v>
      </c>
      <c r="G64" s="1"/>
      <c r="H64" s="1">
        <f>SUM(OSRRefH22_12x_0)</f>
        <v>36</v>
      </c>
      <c r="I64" s="1"/>
      <c r="J64" s="5">
        <f t="shared" ref="J64:J67" si="45">IF(H$12=0,0,H64/H$12)</f>
        <v>1.0438728145362769E-3</v>
      </c>
      <c r="K64" s="1"/>
      <c r="L64" s="1">
        <f t="shared" ref="L64:L67" si="46">+D64-H64</f>
        <v>0</v>
      </c>
      <c r="M64" s="1"/>
      <c r="N64" s="5">
        <f t="shared" ref="N64:N67" si="47">IF(H64=0,0,L64/H64)</f>
        <v>0</v>
      </c>
      <c r="O64" s="14"/>
      <c r="P64" s="1">
        <f>SUM(OSRRefP22_12x_0)</f>
        <v>48</v>
      </c>
      <c r="Q64" s="1"/>
      <c r="R64" s="5">
        <f t="shared" ref="R64:R67" si="48">IF(P$12=0,0,P64/P$12)</f>
        <v>1.0123167311280434E-3</v>
      </c>
      <c r="S64" s="1"/>
      <c r="T64" s="1">
        <f>SUM(OSRRefT22_12x_0)</f>
        <v>48</v>
      </c>
      <c r="U64" s="1"/>
      <c r="V64" s="5">
        <f t="shared" ref="V64:V67" si="49">IF(T$12=0,0,T64/T$12)</f>
        <v>9.3701319236490417E-4</v>
      </c>
      <c r="W64" s="1"/>
      <c r="X64" s="1">
        <f t="shared" ref="X64:X67" si="50">+P64-T64</f>
        <v>0</v>
      </c>
      <c r="Y64" s="1"/>
      <c r="Z64" s="5">
        <f t="shared" ref="Z64:Z67" si="51">IF(T64=0,0,X64/T64)</f>
        <v>0</v>
      </c>
    </row>
    <row r="65" spans="1:26" s="24" customFormat="1" hidden="1" outlineLevel="2" x14ac:dyDescent="0.25">
      <c r="A65" s="29"/>
      <c r="B65" s="11" t="str">
        <f>CONCATENATE("          ", "6309", " - ", "TELEPHONE")</f>
        <v xml:space="preserve">          6309 - TELEPHONE</v>
      </c>
      <c r="C65" s="11"/>
      <c r="D65" s="7">
        <v>36</v>
      </c>
      <c r="E65" s="2"/>
      <c r="F65" s="6">
        <f t="shared" si="44"/>
        <v>1.0891011829454015E-3</v>
      </c>
      <c r="G65" s="2"/>
      <c r="H65" s="7">
        <v>36</v>
      </c>
      <c r="I65" s="2"/>
      <c r="J65" s="6">
        <f t="shared" si="45"/>
        <v>1.0438728145362769E-3</v>
      </c>
      <c r="K65" s="2"/>
      <c r="L65" s="7">
        <f t="shared" si="46"/>
        <v>0</v>
      </c>
      <c r="M65" s="2"/>
      <c r="N65" s="6">
        <f t="shared" si="47"/>
        <v>0</v>
      </c>
      <c r="O65" s="11"/>
      <c r="P65" s="7">
        <v>48</v>
      </c>
      <c r="Q65" s="2"/>
      <c r="R65" s="6">
        <f t="shared" si="48"/>
        <v>1.0123167311280434E-3</v>
      </c>
      <c r="S65" s="2"/>
      <c r="T65" s="7">
        <v>48</v>
      </c>
      <c r="U65" s="2"/>
      <c r="V65" s="6">
        <f t="shared" si="49"/>
        <v>9.3701319236490417E-4</v>
      </c>
      <c r="W65" s="2"/>
      <c r="X65" s="7">
        <f t="shared" si="50"/>
        <v>0</v>
      </c>
      <c r="Y65" s="2"/>
      <c r="Z65" s="6">
        <f t="shared" si="51"/>
        <v>0</v>
      </c>
    </row>
    <row r="66" spans="1:26" s="27" customFormat="1" outlineLevel="1" collapsed="1" x14ac:dyDescent="0.25">
      <c r="A66" s="28"/>
      <c r="B66" s="14" t="str">
        <f>CONCATENATE("     ","Utilities                                         ")</f>
        <v xml:space="preserve">     Utilities                                         </v>
      </c>
      <c r="C66" s="14"/>
      <c r="D66" s="1">
        <f>SUM(OSRRefD22_13x_0)</f>
        <v>0</v>
      </c>
      <c r="E66" s="1"/>
      <c r="F66" s="5">
        <f t="shared" si="44"/>
        <v>0</v>
      </c>
      <c r="G66" s="1"/>
      <c r="H66" s="1">
        <f>SUM(OSRRefH22_13x_0)</f>
        <v>205</v>
      </c>
      <c r="I66" s="1"/>
      <c r="J66" s="5">
        <f t="shared" si="45"/>
        <v>5.9442757494426882E-3</v>
      </c>
      <c r="K66" s="1"/>
      <c r="L66" s="1">
        <f t="shared" si="46"/>
        <v>-205</v>
      </c>
      <c r="M66" s="1"/>
      <c r="N66" s="5">
        <f t="shared" si="47"/>
        <v>-1</v>
      </c>
      <c r="O66" s="14"/>
      <c r="P66" s="1">
        <f>SUM(OSRRefP22_13x_0)</f>
        <v>182</v>
      </c>
      <c r="Q66" s="1"/>
      <c r="R66" s="5">
        <f t="shared" si="48"/>
        <v>3.8383676055271645E-3</v>
      </c>
      <c r="S66" s="1"/>
      <c r="T66" s="1">
        <f>SUM(OSRRefT22_13x_0)</f>
        <v>410</v>
      </c>
      <c r="U66" s="1"/>
      <c r="V66" s="5">
        <f t="shared" si="49"/>
        <v>8.0036543514502238E-3</v>
      </c>
      <c r="W66" s="1"/>
      <c r="X66" s="1">
        <f t="shared" si="50"/>
        <v>-228</v>
      </c>
      <c r="Y66" s="1"/>
      <c r="Z66" s="5">
        <f t="shared" si="51"/>
        <v>-0.55609756097560981</v>
      </c>
    </row>
    <row r="67" spans="1:26" s="24" customFormat="1" hidden="1" outlineLevel="2" x14ac:dyDescent="0.25">
      <c r="A67" s="29"/>
      <c r="B67" s="11" t="str">
        <f>CONCATENATE("          ", "6274", " - ", "UTILITIES")</f>
        <v xml:space="preserve">          6274 - UTILITIES</v>
      </c>
      <c r="C67" s="11"/>
      <c r="D67" s="7"/>
      <c r="E67" s="2"/>
      <c r="F67" s="6">
        <f t="shared" si="44"/>
        <v>0</v>
      </c>
      <c r="G67" s="2"/>
      <c r="H67" s="7">
        <v>205</v>
      </c>
      <c r="I67" s="2"/>
      <c r="J67" s="6">
        <f t="shared" si="45"/>
        <v>5.9442757494426882E-3</v>
      </c>
      <c r="K67" s="2"/>
      <c r="L67" s="7">
        <f t="shared" si="46"/>
        <v>-205</v>
      </c>
      <c r="M67" s="2"/>
      <c r="N67" s="6">
        <f t="shared" si="47"/>
        <v>-1</v>
      </c>
      <c r="O67" s="11"/>
      <c r="P67" s="7">
        <v>182</v>
      </c>
      <c r="Q67" s="2"/>
      <c r="R67" s="6">
        <f t="shared" si="48"/>
        <v>3.8383676055271645E-3</v>
      </c>
      <c r="S67" s="2"/>
      <c r="T67" s="7">
        <v>410</v>
      </c>
      <c r="U67" s="2"/>
      <c r="V67" s="6">
        <f t="shared" si="49"/>
        <v>8.0036543514502238E-3</v>
      </c>
      <c r="W67" s="2"/>
      <c r="X67" s="7">
        <f t="shared" si="50"/>
        <v>-228</v>
      </c>
      <c r="Y67" s="2"/>
      <c r="Z67" s="6">
        <f t="shared" si="51"/>
        <v>-0.55609756097560981</v>
      </c>
    </row>
    <row r="68" spans="1:26" s="62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5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3</v>
      </c>
      <c r="C71" s="26"/>
      <c r="D71" s="20">
        <f>+D20-D22+D69</f>
        <v>-11105.849999999999</v>
      </c>
      <c r="E71" s="13"/>
      <c r="F71" s="19">
        <f>IF(D$12=0,0,D71/D$12)</f>
        <v>-0.33598317701706076</v>
      </c>
      <c r="G71" s="13"/>
      <c r="H71" s="20">
        <f>+H20-H22+H69</f>
        <v>-5549.66</v>
      </c>
      <c r="I71" s="13"/>
      <c r="J71" s="19">
        <f>IF(H$12=0,0,H71/H$12)</f>
        <v>-0.16092053344220539</v>
      </c>
      <c r="K71" s="15"/>
      <c r="L71" s="20">
        <f>+D71-H71</f>
        <v>-5556.1899999999987</v>
      </c>
      <c r="M71" s="15"/>
      <c r="N71" s="19">
        <f>IF(H71=0,0,L71/H71)</f>
        <v>1.0011766486595572</v>
      </c>
      <c r="O71" s="25"/>
      <c r="P71" s="20">
        <f>+P20-P22+P69</f>
        <v>-23808.7</v>
      </c>
      <c r="Q71" s="13"/>
      <c r="R71" s="19">
        <f>IF(P$12=0,0,P71/P$12)</f>
        <v>-0.50212386159183853</v>
      </c>
      <c r="S71" s="13"/>
      <c r="T71" s="20">
        <f>+T20-T22+T69</f>
        <v>-9677.9800000000032</v>
      </c>
      <c r="U71" s="13"/>
      <c r="V71" s="19">
        <f>IF(T$12=0,0,T71/T$12)</f>
        <v>-0.18892489448841038</v>
      </c>
      <c r="W71" s="15"/>
      <c r="X71" s="20">
        <f>+P71-T71</f>
        <v>-14130.719999999998</v>
      </c>
      <c r="Y71" s="15"/>
      <c r="Z71" s="19">
        <f>IF(T71=0,0,X71/T71)</f>
        <v>1.4600898121302166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>
        <v>2925.79</v>
      </c>
      <c r="E73" s="4"/>
      <c r="F73" s="12">
        <f>IF(D$12=0,0,D73/D$12)</f>
        <v>8.85133708347174E-2</v>
      </c>
      <c r="G73" s="4"/>
      <c r="H73" s="4">
        <v>1793.33</v>
      </c>
      <c r="I73" s="4"/>
      <c r="J73" s="12">
        <f>IF(H$12=0,0,H73/H$12)</f>
        <v>5.200023429145393E-2</v>
      </c>
      <c r="K73" s="4"/>
      <c r="L73" s="4">
        <f>+D73-H73</f>
        <v>1132.46</v>
      </c>
      <c r="M73" s="4"/>
      <c r="N73" s="12">
        <f>IF(H73=0,0,L73/H73)</f>
        <v>0.63148444513837387</v>
      </c>
      <c r="O73" s="10"/>
      <c r="P73" s="4">
        <v>5911.91</v>
      </c>
      <c r="Q73" s="4"/>
      <c r="R73" s="12">
        <f>IF(P$12=0,0,P73/P$12)</f>
        <v>0.12468177929006648</v>
      </c>
      <c r="S73" s="4"/>
      <c r="T73" s="4">
        <v>5229.99</v>
      </c>
      <c r="U73" s="4"/>
      <c r="V73" s="12">
        <f>IF(T$12=0,0,T73/T$12)</f>
        <v>0.10209520054034427</v>
      </c>
      <c r="W73" s="4"/>
      <c r="X73" s="4">
        <f>+P73-T73</f>
        <v>681.92000000000007</v>
      </c>
      <c r="Y73" s="4"/>
      <c r="Z73" s="12">
        <f>IF(T73=0,0,X73/T73)</f>
        <v>0.1303864825745365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4</v>
      </c>
      <c r="C75" s="26"/>
      <c r="D75" s="31">
        <f>+D71-D73</f>
        <v>-14031.64</v>
      </c>
      <c r="E75" s="13"/>
      <c r="F75" s="36">
        <f>IF(D$12=0,0,D75/D$12)</f>
        <v>-0.42449654785177815</v>
      </c>
      <c r="G75" s="13"/>
      <c r="H75" s="31">
        <f>+H71-H73</f>
        <v>-7342.99</v>
      </c>
      <c r="I75" s="13"/>
      <c r="J75" s="36">
        <f>IF(H$12=0,0,H75/H$12)</f>
        <v>-0.21292076773365934</v>
      </c>
      <c r="K75" s="15"/>
      <c r="L75" s="31">
        <f>D75-H75</f>
        <v>-6688.65</v>
      </c>
      <c r="M75" s="15"/>
      <c r="N75" s="36">
        <f>IF(H75=0,0,L75/H75)</f>
        <v>0.91088916095486983</v>
      </c>
      <c r="O75" s="25"/>
      <c r="P75" s="31">
        <f>+P71-P73</f>
        <v>-29720.61</v>
      </c>
      <c r="Q75" s="13"/>
      <c r="R75" s="36">
        <f>IF(P$12=0,0,P75/P$12)</f>
        <v>-0.62680564088190494</v>
      </c>
      <c r="S75" s="13"/>
      <c r="T75" s="31">
        <f>+T71-T73</f>
        <v>-14907.970000000003</v>
      </c>
      <c r="U75" s="13"/>
      <c r="V75" s="36">
        <f>IF(T$12=0,0,T75/T$12)</f>
        <v>-0.29102009502875464</v>
      </c>
      <c r="W75" s="15"/>
      <c r="X75" s="31">
        <f>P75-T75</f>
        <v>-14812.639999999998</v>
      </c>
      <c r="Y75" s="15"/>
      <c r="Z75" s="36">
        <f>IF(T75=0,0,X75/T75)</f>
        <v>0.99360543387194866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5</v>
      </c>
      <c r="C78" s="26"/>
      <c r="D78" s="32">
        <f>SUM(D75:D77)</f>
        <v>-14031.64</v>
      </c>
      <c r="E78" s="13"/>
      <c r="F78" s="30">
        <f>IF(D$12=0,0,D78/D$12)</f>
        <v>-0.42449654785177815</v>
      </c>
      <c r="G78" s="13"/>
      <c r="H78" s="32">
        <f>SUM(H75:H77)</f>
        <v>-7342.99</v>
      </c>
      <c r="I78" s="13"/>
      <c r="J78" s="30">
        <f>IF(H$12=0,0,H78/H$12)</f>
        <v>-0.21292076773365934</v>
      </c>
      <c r="K78" s="15"/>
      <c r="L78" s="32">
        <f>+D78-H78</f>
        <v>-6688.65</v>
      </c>
      <c r="M78" s="15"/>
      <c r="N78" s="30">
        <f>IF(H78=0,0,L78/H78)</f>
        <v>0.91088916095486983</v>
      </c>
      <c r="O78" s="25"/>
      <c r="P78" s="32">
        <f>SUM(P75:P77)</f>
        <v>-29720.61</v>
      </c>
      <c r="Q78" s="13"/>
      <c r="R78" s="30">
        <f>IF(P$12=0,0,P78/P$12)</f>
        <v>-0.62680564088190494</v>
      </c>
      <c r="S78" s="13"/>
      <c r="T78" s="32">
        <f>SUM(T75:T77)</f>
        <v>-14907.970000000003</v>
      </c>
      <c r="U78" s="13"/>
      <c r="V78" s="30">
        <f>IF(T$12=0,0,T78/T$12)</f>
        <v>-0.29102009502875464</v>
      </c>
      <c r="W78" s="15"/>
      <c r="X78" s="32">
        <f>+P78-T78</f>
        <v>-14812.639999999998</v>
      </c>
      <c r="Y78" s="15"/>
      <c r="Z78" s="30">
        <f>IF(T78=0,0,X78/T78)</f>
        <v>0.99360543387194866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7">
        <v>43732.709848761573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0" t="s">
        <v>313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6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","325", " - ", "Outpost C-Store")</f>
        <v>Department 325 - Outpost C-Store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31515.97</v>
      </c>
      <c r="E12" s="4"/>
      <c r="F12" s="12"/>
      <c r="G12" s="4"/>
      <c r="H12" s="4">
        <f>SUM(OSRRefH13x_0)</f>
        <v>31824.809999999998</v>
      </c>
      <c r="I12" s="4"/>
      <c r="J12" s="12"/>
      <c r="K12" s="4"/>
      <c r="L12" s="4">
        <f t="shared" ref="L12:L14" si="0">+D12-H12</f>
        <v>-308.83999999999651</v>
      </c>
      <c r="M12" s="4"/>
      <c r="N12" s="12">
        <f t="shared" ref="N12:N14" si="1">IF(H12=0,0,L12/H12)</f>
        <v>-9.7043784393369987E-3</v>
      </c>
      <c r="O12" s="10"/>
      <c r="P12" s="4">
        <f>SUM(OSRRefP13x_0)</f>
        <v>46007.670000000006</v>
      </c>
      <c r="Q12" s="4"/>
      <c r="R12" s="12"/>
      <c r="S12" s="4"/>
      <c r="T12" s="4">
        <f>SUM(OSRRefT13x_0)</f>
        <v>45735.24</v>
      </c>
      <c r="U12" s="4"/>
      <c r="V12" s="12"/>
      <c r="W12" s="4"/>
      <c r="X12" s="4">
        <f t="shared" ref="X12:X14" si="2">+P12-T12</f>
        <v>272.43000000000757</v>
      </c>
      <c r="Y12" s="4"/>
      <c r="Z12" s="12">
        <f t="shared" ref="Z12:Z14" si="3">IF(T12=0,0,X12/T12)</f>
        <v>5.9566758587034328E-3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2">
        <f>--6989.82</f>
        <v>6989.82</v>
      </c>
      <c r="E13" s="2"/>
      <c r="F13" s="21"/>
      <c r="G13" s="2"/>
      <c r="H13" s="2">
        <f>--7491.03</f>
        <v>7491.03</v>
      </c>
      <c r="I13" s="2"/>
      <c r="J13" s="21"/>
      <c r="K13" s="2"/>
      <c r="L13" s="2">
        <f t="shared" si="0"/>
        <v>-501.21000000000004</v>
      </c>
      <c r="M13" s="2"/>
      <c r="N13" s="21">
        <f t="shared" si="1"/>
        <v>-6.6908021994305192E-2</v>
      </c>
      <c r="O13" s="11"/>
      <c r="P13" s="2">
        <f>--9122.19</f>
        <v>9122.19</v>
      </c>
      <c r="Q13" s="2"/>
      <c r="R13" s="21"/>
      <c r="S13" s="2"/>
      <c r="T13" s="2">
        <f>--10293.75</f>
        <v>10293.75</v>
      </c>
      <c r="U13" s="2"/>
      <c r="V13" s="21"/>
      <c r="W13" s="2"/>
      <c r="X13" s="2">
        <f t="shared" si="2"/>
        <v>-1171.5599999999995</v>
      </c>
      <c r="Y13" s="2"/>
      <c r="Z13" s="21">
        <f t="shared" si="3"/>
        <v>-0.11381275045537335</v>
      </c>
    </row>
    <row r="14" spans="1:26" s="24" customFormat="1" hidden="1" outlineLevel="1" x14ac:dyDescent="0.25">
      <c r="A14" s="50"/>
      <c r="B14" s="11" t="str">
        <f>CONCATENATE("          ", "4132", " - ", "NON-TAXABLE SALES-JUICE")</f>
        <v xml:space="preserve">          4132 - NON-TAXABLE SALES-JUICE</v>
      </c>
      <c r="C14" s="11"/>
      <c r="D14" s="2">
        <f>--24526.15</f>
        <v>24526.15</v>
      </c>
      <c r="E14" s="2"/>
      <c r="F14" s="21"/>
      <c r="G14" s="2"/>
      <c r="H14" s="2">
        <f>--24333.78</f>
        <v>24333.78</v>
      </c>
      <c r="I14" s="2"/>
      <c r="J14" s="21"/>
      <c r="K14" s="2"/>
      <c r="L14" s="2">
        <f t="shared" si="0"/>
        <v>192.37000000000262</v>
      </c>
      <c r="M14" s="2"/>
      <c r="N14" s="21">
        <f t="shared" si="1"/>
        <v>7.9054713242251162E-3</v>
      </c>
      <c r="O14" s="11"/>
      <c r="P14" s="2">
        <f>--36885.48</f>
        <v>36885.480000000003</v>
      </c>
      <c r="Q14" s="2"/>
      <c r="R14" s="21"/>
      <c r="S14" s="2"/>
      <c r="T14" s="2">
        <f>--35441.49</f>
        <v>35441.49</v>
      </c>
      <c r="U14" s="2"/>
      <c r="V14" s="21"/>
      <c r="W14" s="2"/>
      <c r="X14" s="2">
        <f t="shared" si="2"/>
        <v>1443.9900000000052</v>
      </c>
      <c r="Y14" s="2"/>
      <c r="Z14" s="21">
        <f t="shared" si="3"/>
        <v>4.0742925875859204E-2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14254.190000000002</v>
      </c>
      <c r="E16" s="4"/>
      <c r="F16" s="12">
        <f t="shared" ref="F16:F18" si="4">IF(D$12=0,0,D16/D$12)</f>
        <v>0.45228466710686682</v>
      </c>
      <c r="G16" s="4"/>
      <c r="H16" s="4">
        <f>SUM(OSRRefH16x_0)</f>
        <v>16489.229999999996</v>
      </c>
      <c r="I16" s="4"/>
      <c r="J16" s="12">
        <f t="shared" ref="J16:J18" si="5">IF(H$12=0,0,H16/H$12)</f>
        <v>0.5181250100157706</v>
      </c>
      <c r="K16" s="4"/>
      <c r="L16" s="4">
        <f t="shared" ref="L16:L18" si="6">+D16-H16</f>
        <v>-2235.0399999999936</v>
      </c>
      <c r="M16" s="4"/>
      <c r="N16" s="12">
        <f t="shared" ref="N16:N18" si="7">IF(H16=0,0,L16/H16)</f>
        <v>-0.1355454439049</v>
      </c>
      <c r="O16" s="10"/>
      <c r="P16" s="4">
        <f>SUM(OSRRefP16x_0)</f>
        <v>20883.269999999997</v>
      </c>
      <c r="Q16" s="4"/>
      <c r="R16" s="12">
        <f t="shared" ref="R16:R18" si="8">IF(P$12=0,0,P16/P$12)</f>
        <v>0.45390844613517689</v>
      </c>
      <c r="S16" s="4"/>
      <c r="T16" s="4">
        <f>SUM(OSRRefT16x_0)</f>
        <v>23183.08</v>
      </c>
      <c r="U16" s="4"/>
      <c r="V16" s="12">
        <f t="shared" ref="V16:V18" si="9">IF(T$12=0,0,T16/T$12)</f>
        <v>0.50689752584659009</v>
      </c>
      <c r="W16" s="4"/>
      <c r="X16" s="4">
        <f t="shared" ref="X16:X18" si="10">+P16-T16</f>
        <v>-2299.8100000000049</v>
      </c>
      <c r="Y16" s="4"/>
      <c r="Z16" s="12">
        <f t="shared" ref="Z16:Z18" si="11">IF(T16=0,0,X16/T16)</f>
        <v>-9.9202090490133524E-2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19405.230000000003</v>
      </c>
      <c r="E17" s="2"/>
      <c r="F17" s="21">
        <f t="shared" si="4"/>
        <v>0.61572688386237207</v>
      </c>
      <c r="G17" s="2"/>
      <c r="H17" s="2">
        <v>24196.929999999997</v>
      </c>
      <c r="I17" s="2"/>
      <c r="J17" s="21">
        <f t="shared" si="5"/>
        <v>0.7603165580564345</v>
      </c>
      <c r="K17" s="2"/>
      <c r="L17" s="2">
        <f t="shared" si="6"/>
        <v>-4791.6999999999935</v>
      </c>
      <c r="M17" s="2"/>
      <c r="N17" s="21">
        <f t="shared" si="7"/>
        <v>-0.1980292541243866</v>
      </c>
      <c r="O17" s="11"/>
      <c r="P17" s="2">
        <v>27083.94</v>
      </c>
      <c r="Q17" s="2"/>
      <c r="R17" s="21">
        <f t="shared" si="8"/>
        <v>0.58868314783165487</v>
      </c>
      <c r="S17" s="2"/>
      <c r="T17" s="2">
        <v>31866.16</v>
      </c>
      <c r="U17" s="2"/>
      <c r="V17" s="21">
        <f t="shared" si="9"/>
        <v>0.69675287590050916</v>
      </c>
      <c r="W17" s="2"/>
      <c r="X17" s="2">
        <f t="shared" si="10"/>
        <v>-4782.2200000000012</v>
      </c>
      <c r="Y17" s="2"/>
      <c r="Z17" s="21">
        <f t="shared" si="11"/>
        <v>-0.15007205135479146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-5151.04</v>
      </c>
      <c r="E18" s="2"/>
      <c r="F18" s="21">
        <f t="shared" si="4"/>
        <v>-0.16344221675550522</v>
      </c>
      <c r="G18" s="2"/>
      <c r="H18" s="2">
        <v>-7707.7</v>
      </c>
      <c r="I18" s="2"/>
      <c r="J18" s="21">
        <f t="shared" si="5"/>
        <v>-0.2421915480406639</v>
      </c>
      <c r="K18" s="2"/>
      <c r="L18" s="2">
        <f t="shared" si="6"/>
        <v>2556.66</v>
      </c>
      <c r="M18" s="2"/>
      <c r="N18" s="21">
        <f t="shared" si="7"/>
        <v>-0.33170206416959663</v>
      </c>
      <c r="O18" s="11"/>
      <c r="P18" s="2">
        <v>-6200.67</v>
      </c>
      <c r="Q18" s="2"/>
      <c r="R18" s="21">
        <f t="shared" si="8"/>
        <v>-0.13477470169647798</v>
      </c>
      <c r="S18" s="2"/>
      <c r="T18" s="2">
        <v>-8683.08</v>
      </c>
      <c r="U18" s="2"/>
      <c r="V18" s="21">
        <f t="shared" si="9"/>
        <v>-0.18985535005391904</v>
      </c>
      <c r="W18" s="2"/>
      <c r="X18" s="2">
        <f t="shared" si="10"/>
        <v>2482.41</v>
      </c>
      <c r="Y18" s="2"/>
      <c r="Z18" s="21">
        <f t="shared" si="11"/>
        <v>-0.28589049047112314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17261.78</v>
      </c>
      <c r="E20" s="13"/>
      <c r="F20" s="19">
        <f>IF(D$12=0,0,D20/D$12)</f>
        <v>0.54771533289313312</v>
      </c>
      <c r="G20" s="13"/>
      <c r="H20" s="20">
        <f>H12-H16</f>
        <v>15335.580000000002</v>
      </c>
      <c r="I20" s="13"/>
      <c r="J20" s="19">
        <f>IF(H$12=0,0,H20/H$12)</f>
        <v>0.4818749899842294</v>
      </c>
      <c r="K20" s="15"/>
      <c r="L20" s="20">
        <f>+D20-H20</f>
        <v>1926.1999999999971</v>
      </c>
      <c r="M20" s="15"/>
      <c r="N20" s="19">
        <f>IF(H20=0,0,L20/H20)</f>
        <v>0.12560333551127489</v>
      </c>
      <c r="O20" s="25"/>
      <c r="P20" s="20">
        <f>P12-P16</f>
        <v>25124.400000000009</v>
      </c>
      <c r="Q20" s="13"/>
      <c r="R20" s="19">
        <f>IF(P$12=0,0,P20/P$12)</f>
        <v>0.54609155386482311</v>
      </c>
      <c r="S20" s="13"/>
      <c r="T20" s="20">
        <f>T12-T16</f>
        <v>22552.159999999996</v>
      </c>
      <c r="U20" s="13"/>
      <c r="V20" s="19">
        <f>IF(T$12=0,0,T20/T$12)</f>
        <v>0.49310247415340985</v>
      </c>
      <c r="W20" s="15"/>
      <c r="X20" s="20">
        <f>+P20-T20</f>
        <v>2572.2400000000125</v>
      </c>
      <c r="Y20" s="15"/>
      <c r="Z20" s="19">
        <f>IF(T20=0,0,X20/T20)</f>
        <v>0.11405736745393846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24867.320000000003</v>
      </c>
      <c r="E22" s="22"/>
      <c r="F22" s="33">
        <f t="shared" ref="F22:F31" si="12">IF(D$12=0,0,D22/D$12)</f>
        <v>0.78903870006222254</v>
      </c>
      <c r="G22" s="22"/>
      <c r="H22" s="22">
        <f>SUM(OSRRefH22x_0)</f>
        <v>24337.3</v>
      </c>
      <c r="I22" s="22"/>
      <c r="J22" s="33">
        <f t="shared" ref="J22:J31" si="13">IF(H$12=0,0,H22/H$12)</f>
        <v>0.76472726781401057</v>
      </c>
      <c r="K22" s="4"/>
      <c r="L22" s="22">
        <f t="shared" ref="L22:L31" si="14">+D22-H22</f>
        <v>530.02000000000407</v>
      </c>
      <c r="M22" s="4"/>
      <c r="N22" s="33">
        <f t="shared" ref="N22:N31" si="15">IF(H22=0,0,L22/H22)</f>
        <v>2.1778093708012151E-2</v>
      </c>
      <c r="O22" s="10"/>
      <c r="P22" s="22">
        <f>SUM(OSRRefP22x_0)</f>
        <v>48698.740000000005</v>
      </c>
      <c r="Q22" s="22"/>
      <c r="R22" s="33">
        <f t="shared" ref="R22:R31" si="16">IF(P$12=0,0,P22/P$12)</f>
        <v>1.0584917688724511</v>
      </c>
      <c r="S22" s="22"/>
      <c r="T22" s="22">
        <f>SUM(OSRRefT22x_0)</f>
        <v>47799.339999999989</v>
      </c>
      <c r="U22" s="22"/>
      <c r="V22" s="33">
        <f t="shared" ref="V22:V31" si="17">IF(T$12=0,0,T22/T$12)</f>
        <v>1.0451315003485275</v>
      </c>
      <c r="W22" s="4"/>
      <c r="X22" s="22">
        <f t="shared" ref="X22:X31" si="18">+P22-T22</f>
        <v>899.40000000001601</v>
      </c>
      <c r="Y22" s="4"/>
      <c r="Z22" s="33">
        <f t="shared" ref="Z22:Z31" si="19">IF(T22=0,0,X22/T22)</f>
        <v>1.881615938630149E-2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3591.38</v>
      </c>
      <c r="E23" s="1"/>
      <c r="F23" s="5">
        <f t="shared" si="12"/>
        <v>0.11395429047559062</v>
      </c>
      <c r="G23" s="1"/>
      <c r="H23" s="1">
        <f>SUM(OSRRefH22_0x_0)</f>
        <v>3445.6</v>
      </c>
      <c r="I23" s="1"/>
      <c r="J23" s="5">
        <f t="shared" si="13"/>
        <v>0.10826773199902844</v>
      </c>
      <c r="K23" s="1"/>
      <c r="L23" s="1">
        <f t="shared" si="14"/>
        <v>145.7800000000002</v>
      </c>
      <c r="M23" s="1"/>
      <c r="N23" s="5">
        <f t="shared" si="15"/>
        <v>4.2309031808683596E-2</v>
      </c>
      <c r="O23" s="14"/>
      <c r="P23" s="1">
        <f>SUM(OSRRefP22_0x_0)</f>
        <v>7554.9299999999994</v>
      </c>
      <c r="Q23" s="1"/>
      <c r="R23" s="5">
        <f t="shared" si="16"/>
        <v>0.16421022842495606</v>
      </c>
      <c r="S23" s="1"/>
      <c r="T23" s="1">
        <f>SUM(OSRRefT22_0x_0)</f>
        <v>5878.11</v>
      </c>
      <c r="U23" s="1"/>
      <c r="V23" s="5">
        <f t="shared" si="17"/>
        <v>0.12852474372059708</v>
      </c>
      <c r="W23" s="1"/>
      <c r="X23" s="1">
        <f t="shared" si="18"/>
        <v>1676.8199999999997</v>
      </c>
      <c r="Y23" s="1"/>
      <c r="Z23" s="5">
        <f t="shared" si="19"/>
        <v>0.28526516176117833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553.1</v>
      </c>
      <c r="E24" s="2"/>
      <c r="F24" s="6">
        <f t="shared" si="12"/>
        <v>1.7549832672134159E-2</v>
      </c>
      <c r="G24" s="2"/>
      <c r="H24" s="7">
        <v>442.65</v>
      </c>
      <c r="I24" s="2"/>
      <c r="J24" s="6">
        <f t="shared" si="13"/>
        <v>1.3908959707850574E-2</v>
      </c>
      <c r="K24" s="2"/>
      <c r="L24" s="7">
        <f t="shared" si="14"/>
        <v>110.45000000000005</v>
      </c>
      <c r="M24" s="2"/>
      <c r="N24" s="6">
        <f t="shared" si="15"/>
        <v>0.24951993674460646</v>
      </c>
      <c r="O24" s="11"/>
      <c r="P24" s="7">
        <v>1014.55</v>
      </c>
      <c r="Q24" s="2"/>
      <c r="R24" s="6">
        <f t="shared" si="16"/>
        <v>2.2051757891673275E-2</v>
      </c>
      <c r="S24" s="2"/>
      <c r="T24" s="7">
        <v>877.08</v>
      </c>
      <c r="U24" s="2"/>
      <c r="V24" s="6">
        <f t="shared" si="17"/>
        <v>1.917733458925765E-2</v>
      </c>
      <c r="W24" s="2"/>
      <c r="X24" s="7">
        <f t="shared" si="18"/>
        <v>137.46999999999991</v>
      </c>
      <c r="Y24" s="2"/>
      <c r="Z24" s="6">
        <f t="shared" si="19"/>
        <v>0.15673598759520216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205.47</v>
      </c>
      <c r="E25" s="2"/>
      <c r="F25" s="6">
        <f t="shared" si="12"/>
        <v>6.5195518335624762E-3</v>
      </c>
      <c r="G25" s="2"/>
      <c r="H25" s="7">
        <v>180.14</v>
      </c>
      <c r="I25" s="2"/>
      <c r="J25" s="6">
        <f t="shared" si="13"/>
        <v>5.660363722517118E-3</v>
      </c>
      <c r="K25" s="2"/>
      <c r="L25" s="7">
        <f t="shared" si="14"/>
        <v>25.330000000000013</v>
      </c>
      <c r="M25" s="2"/>
      <c r="N25" s="6">
        <f t="shared" si="15"/>
        <v>0.14061285666703682</v>
      </c>
      <c r="O25" s="11"/>
      <c r="P25" s="7">
        <v>408.03</v>
      </c>
      <c r="Q25" s="2"/>
      <c r="R25" s="6">
        <f t="shared" si="16"/>
        <v>8.8687386255378708E-3</v>
      </c>
      <c r="S25" s="2"/>
      <c r="T25" s="7">
        <v>440.62</v>
      </c>
      <c r="U25" s="2"/>
      <c r="V25" s="6">
        <f t="shared" si="17"/>
        <v>9.6341464481218431E-3</v>
      </c>
      <c r="W25" s="2"/>
      <c r="X25" s="7">
        <f t="shared" si="18"/>
        <v>-32.590000000000032</v>
      </c>
      <c r="Y25" s="2"/>
      <c r="Z25" s="6">
        <f t="shared" si="19"/>
        <v>-7.3963959874722054E-2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1815.82</v>
      </c>
      <c r="E26" s="2"/>
      <c r="F26" s="6">
        <f t="shared" si="12"/>
        <v>5.761586903401672E-2</v>
      </c>
      <c r="G26" s="2"/>
      <c r="H26" s="7">
        <v>2006.94</v>
      </c>
      <c r="I26" s="2"/>
      <c r="J26" s="6">
        <f t="shared" si="13"/>
        <v>6.3062120402289923E-2</v>
      </c>
      <c r="K26" s="2"/>
      <c r="L26" s="7">
        <f t="shared" si="14"/>
        <v>-191.12000000000012</v>
      </c>
      <c r="M26" s="2"/>
      <c r="N26" s="6">
        <f t="shared" si="15"/>
        <v>-9.5229553449530185E-2</v>
      </c>
      <c r="O26" s="11"/>
      <c r="P26" s="7">
        <v>4099.29</v>
      </c>
      <c r="Q26" s="2"/>
      <c r="R26" s="6">
        <f t="shared" si="16"/>
        <v>8.9100143519547925E-2</v>
      </c>
      <c r="S26" s="2"/>
      <c r="T26" s="7">
        <v>2744.43</v>
      </c>
      <c r="U26" s="2"/>
      <c r="V26" s="6">
        <f t="shared" si="17"/>
        <v>6.0006900586943461E-2</v>
      </c>
      <c r="W26" s="2"/>
      <c r="X26" s="7">
        <f t="shared" si="18"/>
        <v>1354.8600000000001</v>
      </c>
      <c r="Y26" s="2"/>
      <c r="Z26" s="6">
        <f t="shared" si="19"/>
        <v>0.49367628250675011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17.57</v>
      </c>
      <c r="E27" s="2"/>
      <c r="F27" s="6">
        <f t="shared" si="12"/>
        <v>5.5749513659265448E-4</v>
      </c>
      <c r="G27" s="2"/>
      <c r="H27" s="7">
        <v>19.940000000000001</v>
      </c>
      <c r="I27" s="2"/>
      <c r="J27" s="6">
        <f t="shared" si="13"/>
        <v>6.2655519388803897E-4</v>
      </c>
      <c r="K27" s="2"/>
      <c r="L27" s="7">
        <f t="shared" si="14"/>
        <v>-2.370000000000001</v>
      </c>
      <c r="M27" s="2"/>
      <c r="N27" s="6">
        <f t="shared" si="15"/>
        <v>-0.11885656970912742</v>
      </c>
      <c r="O27" s="11"/>
      <c r="P27" s="7">
        <v>34.880000000000003</v>
      </c>
      <c r="Q27" s="2"/>
      <c r="R27" s="6">
        <f t="shared" si="16"/>
        <v>7.5813445888479024E-4</v>
      </c>
      <c r="S27" s="2"/>
      <c r="T27" s="7">
        <v>48.61</v>
      </c>
      <c r="U27" s="2"/>
      <c r="V27" s="6">
        <f t="shared" si="17"/>
        <v>1.0628565631228787E-3</v>
      </c>
      <c r="W27" s="2"/>
      <c r="X27" s="7">
        <f t="shared" si="18"/>
        <v>-13.729999999999997</v>
      </c>
      <c r="Y27" s="2"/>
      <c r="Z27" s="6">
        <f t="shared" si="19"/>
        <v>-0.28245217033532188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392.49</v>
      </c>
      <c r="E28" s="2"/>
      <c r="F28" s="6">
        <f t="shared" si="12"/>
        <v>1.2453686178784914E-2</v>
      </c>
      <c r="G28" s="2"/>
      <c r="H28" s="7">
        <v>351.03</v>
      </c>
      <c r="I28" s="2"/>
      <c r="J28" s="6">
        <f t="shared" si="13"/>
        <v>1.1030073706645853E-2</v>
      </c>
      <c r="K28" s="2"/>
      <c r="L28" s="7">
        <f t="shared" si="14"/>
        <v>41.460000000000036</v>
      </c>
      <c r="M28" s="2"/>
      <c r="N28" s="6">
        <f t="shared" si="15"/>
        <v>0.11810956328518941</v>
      </c>
      <c r="O28" s="11"/>
      <c r="P28" s="7">
        <v>784.98</v>
      </c>
      <c r="Q28" s="2"/>
      <c r="R28" s="6">
        <f t="shared" si="16"/>
        <v>1.7061937716037347E-2</v>
      </c>
      <c r="S28" s="2"/>
      <c r="T28" s="7">
        <v>877.57</v>
      </c>
      <c r="U28" s="2"/>
      <c r="V28" s="6">
        <f t="shared" si="17"/>
        <v>1.9188048428301678E-2</v>
      </c>
      <c r="W28" s="2"/>
      <c r="X28" s="7">
        <f t="shared" si="18"/>
        <v>-92.590000000000032</v>
      </c>
      <c r="Y28" s="2"/>
      <c r="Z28" s="6">
        <f t="shared" si="19"/>
        <v>-0.10550725298266808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280.8</v>
      </c>
      <c r="E29" s="2"/>
      <c r="F29" s="6">
        <f t="shared" si="12"/>
        <v>8.909768603028877E-3</v>
      </c>
      <c r="G29" s="2"/>
      <c r="H29" s="7">
        <v>272.82</v>
      </c>
      <c r="I29" s="2"/>
      <c r="J29" s="6">
        <f t="shared" si="13"/>
        <v>8.5725570710398595E-3</v>
      </c>
      <c r="K29" s="2"/>
      <c r="L29" s="7">
        <f t="shared" si="14"/>
        <v>7.9800000000000182</v>
      </c>
      <c r="M29" s="2"/>
      <c r="N29" s="6">
        <f t="shared" si="15"/>
        <v>2.9250054981306423E-2</v>
      </c>
      <c r="O29" s="11"/>
      <c r="P29" s="7">
        <v>561.6</v>
      </c>
      <c r="Q29" s="2"/>
      <c r="R29" s="6">
        <f t="shared" si="16"/>
        <v>1.2206660324245935E-2</v>
      </c>
      <c r="S29" s="2"/>
      <c r="T29" s="7">
        <v>545.64</v>
      </c>
      <c r="U29" s="2"/>
      <c r="V29" s="6">
        <f t="shared" si="17"/>
        <v>1.1930406399966415E-2</v>
      </c>
      <c r="W29" s="2"/>
      <c r="X29" s="7">
        <f t="shared" si="18"/>
        <v>15.960000000000036</v>
      </c>
      <c r="Y29" s="2"/>
      <c r="Z29" s="6">
        <f t="shared" si="19"/>
        <v>2.9250054981306423E-2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177.12</v>
      </c>
      <c r="E30" s="2"/>
      <c r="F30" s="6">
        <f t="shared" si="12"/>
        <v>5.6200078880643684E-3</v>
      </c>
      <c r="G30" s="2"/>
      <c r="H30" s="7">
        <v>172.08</v>
      </c>
      <c r="I30" s="2"/>
      <c r="J30" s="6">
        <f t="shared" si="13"/>
        <v>5.4071021947970791E-3</v>
      </c>
      <c r="K30" s="2"/>
      <c r="L30" s="7">
        <f t="shared" si="14"/>
        <v>5.039999999999992</v>
      </c>
      <c r="M30" s="2"/>
      <c r="N30" s="6">
        <f t="shared" si="15"/>
        <v>2.9288702928870244E-2</v>
      </c>
      <c r="O30" s="11"/>
      <c r="P30" s="7">
        <v>354.24</v>
      </c>
      <c r="Q30" s="2"/>
      <c r="R30" s="6">
        <f t="shared" si="16"/>
        <v>7.6995857429858969E-3</v>
      </c>
      <c r="S30" s="2"/>
      <c r="T30" s="7">
        <v>344.16</v>
      </c>
      <c r="U30" s="2"/>
      <c r="V30" s="6">
        <f t="shared" si="17"/>
        <v>7.5250507048831503E-3</v>
      </c>
      <c r="W30" s="2"/>
      <c r="X30" s="7">
        <f t="shared" si="18"/>
        <v>10.079999999999984</v>
      </c>
      <c r="Y30" s="2"/>
      <c r="Z30" s="6">
        <f t="shared" si="19"/>
        <v>2.9288702928870244E-2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149.01</v>
      </c>
      <c r="E31" s="2"/>
      <c r="F31" s="6">
        <f t="shared" si="12"/>
        <v>4.7280791294064557E-3</v>
      </c>
      <c r="G31" s="2"/>
      <c r="H31" s="7"/>
      <c r="I31" s="2"/>
      <c r="J31" s="6">
        <f t="shared" si="13"/>
        <v>0</v>
      </c>
      <c r="K31" s="2"/>
      <c r="L31" s="7">
        <f t="shared" si="14"/>
        <v>149.01</v>
      </c>
      <c r="M31" s="2"/>
      <c r="N31" s="6">
        <f t="shared" si="15"/>
        <v>0</v>
      </c>
      <c r="O31" s="11"/>
      <c r="P31" s="7">
        <v>297.36</v>
      </c>
      <c r="Q31" s="2"/>
      <c r="R31" s="6">
        <f t="shared" si="16"/>
        <v>6.4632701460430398E-3</v>
      </c>
      <c r="S31" s="2"/>
      <c r="T31" s="7"/>
      <c r="U31" s="2"/>
      <c r="V31" s="6">
        <f t="shared" si="17"/>
        <v>0</v>
      </c>
      <c r="W31" s="2"/>
      <c r="X31" s="7">
        <f t="shared" si="18"/>
        <v>297.36</v>
      </c>
      <c r="Y31" s="2"/>
      <c r="Z31" s="6">
        <f t="shared" si="19"/>
        <v>0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8627.64</v>
      </c>
      <c r="E32" s="1"/>
      <c r="F32" s="5">
        <f t="shared" ref="F32:F37" si="20">IF(D$12=0,0,D32/D$12)</f>
        <v>0.27375454412477229</v>
      </c>
      <c r="G32" s="1"/>
      <c r="H32" s="1">
        <f>SUM(OSRRefH22_1x_0)</f>
        <v>7762.8099999999995</v>
      </c>
      <c r="I32" s="1"/>
      <c r="J32" s="5">
        <f t="shared" ref="J32:J37" si="21">IF(H$12=0,0,H32/H$12)</f>
        <v>0.24392321588094321</v>
      </c>
      <c r="K32" s="1"/>
      <c r="L32" s="1">
        <f t="shared" ref="L32:L37" si="22">+D32-H32</f>
        <v>864.82999999999993</v>
      </c>
      <c r="M32" s="1"/>
      <c r="N32" s="5">
        <f t="shared" ref="N32:N37" si="23">IF(H32=0,0,L32/H32)</f>
        <v>0.11140682304474797</v>
      </c>
      <c r="O32" s="14"/>
      <c r="P32" s="1">
        <f>SUM(OSRRefP22_1x_0)</f>
        <v>15739.58</v>
      </c>
      <c r="Q32" s="1"/>
      <c r="R32" s="5">
        <f t="shared" ref="R32:R37" si="24">IF(P$12=0,0,P32/P$12)</f>
        <v>0.34210773986163606</v>
      </c>
      <c r="S32" s="1"/>
      <c r="T32" s="1">
        <f>SUM(OSRRefT22_1x_0)</f>
        <v>14001.71</v>
      </c>
      <c r="U32" s="1"/>
      <c r="V32" s="5">
        <f t="shared" ref="V32:V37" si="25">IF(T$12=0,0,T32/T$12)</f>
        <v>0.30614707608399999</v>
      </c>
      <c r="W32" s="1"/>
      <c r="X32" s="1">
        <f t="shared" ref="X32:X37" si="26">+P32-T32</f>
        <v>1737.8700000000008</v>
      </c>
      <c r="Y32" s="1"/>
      <c r="Z32" s="5">
        <f t="shared" ref="Z32:Z37" si="27">IF(T32=0,0,X32/T32)</f>
        <v>0.12411841125119724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3648</v>
      </c>
      <c r="E33" s="2"/>
      <c r="F33" s="6">
        <f t="shared" si="20"/>
        <v>0.11575083997097345</v>
      </c>
      <c r="G33" s="2"/>
      <c r="H33" s="7">
        <v>3544.24</v>
      </c>
      <c r="I33" s="2"/>
      <c r="J33" s="6">
        <f t="shared" si="21"/>
        <v>0.1113672006211506</v>
      </c>
      <c r="K33" s="2"/>
      <c r="L33" s="7">
        <f t="shared" si="22"/>
        <v>103.76000000000022</v>
      </c>
      <c r="M33" s="2"/>
      <c r="N33" s="6">
        <f t="shared" si="23"/>
        <v>2.9275669819199667E-2</v>
      </c>
      <c r="O33" s="11"/>
      <c r="P33" s="7">
        <v>7872</v>
      </c>
      <c r="Q33" s="2"/>
      <c r="R33" s="6">
        <f t="shared" si="24"/>
        <v>0.17110190539968659</v>
      </c>
      <c r="S33" s="2"/>
      <c r="T33" s="7">
        <v>7834.94</v>
      </c>
      <c r="U33" s="2"/>
      <c r="V33" s="6">
        <f t="shared" si="25"/>
        <v>0.17131078791758828</v>
      </c>
      <c r="W33" s="2"/>
      <c r="X33" s="7">
        <f t="shared" si="26"/>
        <v>37.0600000000004</v>
      </c>
      <c r="Y33" s="2"/>
      <c r="Z33" s="6">
        <f t="shared" si="27"/>
        <v>4.7300936573860686E-3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254.64</v>
      </c>
      <c r="E34" s="2"/>
      <c r="F34" s="6">
        <f t="shared" si="20"/>
        <v>8.0797132374475535E-3</v>
      </c>
      <c r="G34" s="2"/>
      <c r="H34" s="7"/>
      <c r="I34" s="2"/>
      <c r="J34" s="6">
        <f t="shared" si="21"/>
        <v>0</v>
      </c>
      <c r="K34" s="2"/>
      <c r="L34" s="7">
        <f t="shared" si="22"/>
        <v>254.64</v>
      </c>
      <c r="M34" s="2"/>
      <c r="N34" s="6">
        <f t="shared" si="23"/>
        <v>0</v>
      </c>
      <c r="O34" s="11"/>
      <c r="P34" s="7">
        <v>254.64</v>
      </c>
      <c r="Q34" s="2"/>
      <c r="R34" s="6">
        <f t="shared" si="24"/>
        <v>5.5347293179593745E-3</v>
      </c>
      <c r="S34" s="2"/>
      <c r="T34" s="7"/>
      <c r="U34" s="2"/>
      <c r="V34" s="6">
        <f t="shared" si="25"/>
        <v>0</v>
      </c>
      <c r="W34" s="2"/>
      <c r="X34" s="7">
        <f t="shared" si="26"/>
        <v>254.64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1157.25</v>
      </c>
      <c r="E35" s="2"/>
      <c r="F35" s="6">
        <f t="shared" si="20"/>
        <v>3.6719479045068261E-2</v>
      </c>
      <c r="G35" s="2"/>
      <c r="H35" s="7"/>
      <c r="I35" s="2"/>
      <c r="J35" s="6">
        <f t="shared" si="21"/>
        <v>0</v>
      </c>
      <c r="K35" s="2"/>
      <c r="L35" s="7">
        <f t="shared" si="22"/>
        <v>1157.25</v>
      </c>
      <c r="M35" s="2"/>
      <c r="N35" s="6">
        <f t="shared" si="23"/>
        <v>0</v>
      </c>
      <c r="O35" s="11"/>
      <c r="P35" s="7">
        <v>1219.94</v>
      </c>
      <c r="Q35" s="2"/>
      <c r="R35" s="6">
        <f t="shared" si="24"/>
        <v>2.6516013525570842E-2</v>
      </c>
      <c r="S35" s="2"/>
      <c r="T35" s="7"/>
      <c r="U35" s="2"/>
      <c r="V35" s="6">
        <f t="shared" si="25"/>
        <v>0</v>
      </c>
      <c r="W35" s="2"/>
      <c r="X35" s="7">
        <f t="shared" si="26"/>
        <v>1219.94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3567.75</v>
      </c>
      <c r="E36" s="2"/>
      <c r="F36" s="6">
        <f t="shared" si="20"/>
        <v>0.11320451187128303</v>
      </c>
      <c r="G36" s="2"/>
      <c r="H36" s="7">
        <v>4111.32</v>
      </c>
      <c r="I36" s="2"/>
      <c r="J36" s="6">
        <f t="shared" si="21"/>
        <v>0.12918600299577593</v>
      </c>
      <c r="K36" s="2"/>
      <c r="L36" s="7">
        <f t="shared" si="22"/>
        <v>-543.56999999999971</v>
      </c>
      <c r="M36" s="2"/>
      <c r="N36" s="6">
        <f t="shared" si="23"/>
        <v>-0.13221301187939632</v>
      </c>
      <c r="O36" s="11"/>
      <c r="P36" s="7">
        <v>6285</v>
      </c>
      <c r="Q36" s="2"/>
      <c r="R36" s="6">
        <f t="shared" si="24"/>
        <v>0.13660765694067967</v>
      </c>
      <c r="S36" s="2"/>
      <c r="T36" s="7">
        <v>6010.02</v>
      </c>
      <c r="U36" s="2"/>
      <c r="V36" s="6">
        <f t="shared" si="25"/>
        <v>0.13140895292120475</v>
      </c>
      <c r="W36" s="2"/>
      <c r="X36" s="7">
        <f t="shared" si="26"/>
        <v>274.97999999999956</v>
      </c>
      <c r="Y36" s="2"/>
      <c r="Z36" s="6">
        <f t="shared" si="27"/>
        <v>4.5753591502191264E-2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0"/>
        <v>0</v>
      </c>
      <c r="G37" s="2"/>
      <c r="H37" s="7">
        <v>107.25</v>
      </c>
      <c r="I37" s="2"/>
      <c r="J37" s="6">
        <f t="shared" si="21"/>
        <v>3.3700122640166592E-3</v>
      </c>
      <c r="K37" s="2"/>
      <c r="L37" s="7">
        <f t="shared" si="22"/>
        <v>-107.25</v>
      </c>
      <c r="M37" s="2"/>
      <c r="N37" s="6">
        <f t="shared" si="23"/>
        <v>-1</v>
      </c>
      <c r="O37" s="11"/>
      <c r="P37" s="7">
        <v>108</v>
      </c>
      <c r="Q37" s="2"/>
      <c r="R37" s="6">
        <f t="shared" si="24"/>
        <v>2.3474346777396025E-3</v>
      </c>
      <c r="S37" s="2"/>
      <c r="T37" s="7">
        <v>156.75</v>
      </c>
      <c r="U37" s="2"/>
      <c r="V37" s="6">
        <f t="shared" si="25"/>
        <v>3.4273352452069785E-3</v>
      </c>
      <c r="W37" s="2"/>
      <c r="X37" s="7">
        <f t="shared" si="26"/>
        <v>-48.75</v>
      </c>
      <c r="Y37" s="2"/>
      <c r="Z37" s="6">
        <f t="shared" si="27"/>
        <v>-0.31100478468899523</v>
      </c>
    </row>
    <row r="38" spans="1:26" s="27" customFormat="1" outlineLevel="1" collapsed="1" x14ac:dyDescent="0.25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79.78</v>
      </c>
      <c r="E38" s="1"/>
      <c r="F38" s="5">
        <f t="shared" ref="F38:F46" si="28">IF(D$12=0,0,D38/D$12)</f>
        <v>2.5314150254616944E-3</v>
      </c>
      <c r="G38" s="1"/>
      <c r="H38" s="1">
        <f>SUM(OSRRefH22_2x_0)</f>
        <v>6</v>
      </c>
      <c r="I38" s="1"/>
      <c r="J38" s="5">
        <f t="shared" ref="J38:J46" si="29">IF(H$12=0,0,H38/H$12)</f>
        <v>1.8853215463030261E-4</v>
      </c>
      <c r="K38" s="1"/>
      <c r="L38" s="1">
        <f t="shared" ref="L38:L46" si="30">+D38-H38</f>
        <v>73.78</v>
      </c>
      <c r="M38" s="1"/>
      <c r="N38" s="5">
        <f t="shared" ref="N38:N46" si="31">IF(H38=0,0,L38/H38)</f>
        <v>12.296666666666667</v>
      </c>
      <c r="O38" s="14"/>
      <c r="P38" s="1">
        <f>SUM(OSRRefP22_2x_0)</f>
        <v>79.78</v>
      </c>
      <c r="Q38" s="1"/>
      <c r="R38" s="5">
        <f t="shared" ref="R38:R46" si="32">IF(P$12=0,0,P38/P$12)</f>
        <v>1.7340586906487547E-3</v>
      </c>
      <c r="S38" s="1"/>
      <c r="T38" s="1">
        <f>SUM(OSRRefT22_2x_0)</f>
        <v>42</v>
      </c>
      <c r="U38" s="1"/>
      <c r="V38" s="5">
        <f t="shared" ref="V38:V46" si="33">IF(T$12=0,0,T38/T$12)</f>
        <v>9.183290609167023E-4</v>
      </c>
      <c r="W38" s="1"/>
      <c r="X38" s="1">
        <f t="shared" ref="X38:X46" si="34">+P38-T38</f>
        <v>37.78</v>
      </c>
      <c r="Y38" s="1"/>
      <c r="Z38" s="5">
        <f t="shared" ref="Z38:Z46" si="35">IF(T38=0,0,X38/T38)</f>
        <v>0.8995238095238095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>
        <v>79.78</v>
      </c>
      <c r="E39" s="2"/>
      <c r="F39" s="6">
        <f t="shared" si="28"/>
        <v>2.5314150254616944E-3</v>
      </c>
      <c r="G39" s="2"/>
      <c r="H39" s="7">
        <v>6</v>
      </c>
      <c r="I39" s="2"/>
      <c r="J39" s="6">
        <f t="shared" si="29"/>
        <v>1.8853215463030261E-4</v>
      </c>
      <c r="K39" s="2"/>
      <c r="L39" s="7">
        <f t="shared" si="30"/>
        <v>73.78</v>
      </c>
      <c r="M39" s="2"/>
      <c r="N39" s="6">
        <f t="shared" si="31"/>
        <v>12.296666666666667</v>
      </c>
      <c r="O39" s="11"/>
      <c r="P39" s="7">
        <v>79.78</v>
      </c>
      <c r="Q39" s="2"/>
      <c r="R39" s="6">
        <f t="shared" si="32"/>
        <v>1.7340586906487547E-3</v>
      </c>
      <c r="S39" s="2"/>
      <c r="T39" s="7">
        <v>42</v>
      </c>
      <c r="U39" s="2"/>
      <c r="V39" s="6">
        <f t="shared" si="33"/>
        <v>9.183290609167023E-4</v>
      </c>
      <c r="W39" s="2"/>
      <c r="X39" s="7">
        <f t="shared" si="34"/>
        <v>37.78</v>
      </c>
      <c r="Y39" s="2"/>
      <c r="Z39" s="6">
        <f t="shared" si="35"/>
        <v>0.8995238095238095</v>
      </c>
    </row>
    <row r="40" spans="1:26" s="27" customFormat="1" outlineLevel="1" collapsed="1" x14ac:dyDescent="0.25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-5.98</v>
      </c>
      <c r="E40" s="1"/>
      <c r="F40" s="5">
        <f t="shared" si="28"/>
        <v>-1.8974507210154092E-4</v>
      </c>
      <c r="G40" s="1"/>
      <c r="H40" s="1">
        <f>SUM(OSRRefH22_3x_0)</f>
        <v>-7.24</v>
      </c>
      <c r="I40" s="1"/>
      <c r="J40" s="5">
        <f t="shared" si="29"/>
        <v>-2.274954665872318E-4</v>
      </c>
      <c r="K40" s="1"/>
      <c r="L40" s="1">
        <f t="shared" si="30"/>
        <v>1.2599999999999998</v>
      </c>
      <c r="M40" s="1"/>
      <c r="N40" s="5">
        <f t="shared" si="31"/>
        <v>-0.17403314917127069</v>
      </c>
      <c r="O40" s="14"/>
      <c r="P40" s="1">
        <f>SUM(OSRRefP22_3x_0)</f>
        <v>-13.75</v>
      </c>
      <c r="Q40" s="1"/>
      <c r="R40" s="5">
        <f t="shared" si="32"/>
        <v>-2.9886321128629203E-4</v>
      </c>
      <c r="S40" s="1"/>
      <c r="T40" s="1">
        <f>SUM(OSRRefT22_3x_0)</f>
        <v>-8.4700000000000006</v>
      </c>
      <c r="U40" s="1"/>
      <c r="V40" s="5">
        <f t="shared" si="33"/>
        <v>-1.8519636061820166E-4</v>
      </c>
      <c r="W40" s="1"/>
      <c r="X40" s="1">
        <f t="shared" si="34"/>
        <v>-5.2799999999999994</v>
      </c>
      <c r="Y40" s="1"/>
      <c r="Z40" s="5">
        <f t="shared" si="35"/>
        <v>0.62337662337662325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>
        <v>-5.98</v>
      </c>
      <c r="E41" s="2"/>
      <c r="F41" s="6">
        <f t="shared" si="28"/>
        <v>-1.8974507210154092E-4</v>
      </c>
      <c r="G41" s="2"/>
      <c r="H41" s="7">
        <v>-7.24</v>
      </c>
      <c r="I41" s="2"/>
      <c r="J41" s="6">
        <f t="shared" si="29"/>
        <v>-2.274954665872318E-4</v>
      </c>
      <c r="K41" s="2"/>
      <c r="L41" s="7">
        <f t="shared" si="30"/>
        <v>1.2599999999999998</v>
      </c>
      <c r="M41" s="2"/>
      <c r="N41" s="6">
        <f t="shared" si="31"/>
        <v>-0.17403314917127069</v>
      </c>
      <c r="O41" s="11"/>
      <c r="P41" s="7">
        <v>-13.75</v>
      </c>
      <c r="Q41" s="2"/>
      <c r="R41" s="6">
        <f t="shared" si="32"/>
        <v>-2.9886321128629203E-4</v>
      </c>
      <c r="S41" s="2"/>
      <c r="T41" s="7">
        <v>-8.4700000000000006</v>
      </c>
      <c r="U41" s="2"/>
      <c r="V41" s="6">
        <f t="shared" si="33"/>
        <v>-1.8519636061820166E-4</v>
      </c>
      <c r="W41" s="2"/>
      <c r="X41" s="7">
        <f t="shared" si="34"/>
        <v>-5.2799999999999994</v>
      </c>
      <c r="Y41" s="2"/>
      <c r="Z41" s="6">
        <f t="shared" si="35"/>
        <v>0.62337662337662325</v>
      </c>
    </row>
    <row r="42" spans="1:26" s="27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1079.27</v>
      </c>
      <c r="E42" s="1"/>
      <c r="F42" s="5">
        <f t="shared" si="28"/>
        <v>3.4245177920908032E-2</v>
      </c>
      <c r="G42" s="1"/>
      <c r="H42" s="1">
        <f>SUM(OSRRefH22_4x_0)</f>
        <v>1053.55</v>
      </c>
      <c r="I42" s="1"/>
      <c r="J42" s="5">
        <f t="shared" si="29"/>
        <v>3.3104675251792552E-2</v>
      </c>
      <c r="K42" s="1"/>
      <c r="L42" s="1">
        <f t="shared" si="30"/>
        <v>25.720000000000027</v>
      </c>
      <c r="M42" s="1"/>
      <c r="N42" s="5">
        <f t="shared" si="31"/>
        <v>2.4412699919320421E-2</v>
      </c>
      <c r="O42" s="14"/>
      <c r="P42" s="1">
        <f>SUM(OSRRefP22_4x_0)</f>
        <v>1483.02</v>
      </c>
      <c r="Q42" s="1"/>
      <c r="R42" s="5">
        <f t="shared" si="32"/>
        <v>3.2234190516494308E-2</v>
      </c>
      <c r="S42" s="1"/>
      <c r="T42" s="1">
        <f>SUM(OSRRefT22_4x_0)</f>
        <v>1365.85</v>
      </c>
      <c r="U42" s="1"/>
      <c r="V42" s="5">
        <f t="shared" si="33"/>
        <v>2.9864279710787568E-2</v>
      </c>
      <c r="W42" s="1"/>
      <c r="X42" s="1">
        <f t="shared" si="34"/>
        <v>117.17000000000007</v>
      </c>
      <c r="Y42" s="1"/>
      <c r="Z42" s="5">
        <f t="shared" si="35"/>
        <v>8.5785408353772435E-2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1079.27</v>
      </c>
      <c r="E43" s="2"/>
      <c r="F43" s="6">
        <f t="shared" si="28"/>
        <v>3.4245177920908032E-2</v>
      </c>
      <c r="G43" s="2"/>
      <c r="H43" s="7">
        <v>1053.55</v>
      </c>
      <c r="I43" s="2"/>
      <c r="J43" s="6">
        <f t="shared" si="29"/>
        <v>3.3104675251792552E-2</v>
      </c>
      <c r="K43" s="2"/>
      <c r="L43" s="7">
        <f t="shared" si="30"/>
        <v>25.720000000000027</v>
      </c>
      <c r="M43" s="2"/>
      <c r="N43" s="6">
        <f t="shared" si="31"/>
        <v>2.4412699919320421E-2</v>
      </c>
      <c r="O43" s="11"/>
      <c r="P43" s="7">
        <v>1483.02</v>
      </c>
      <c r="Q43" s="2"/>
      <c r="R43" s="6">
        <f t="shared" si="32"/>
        <v>3.2234190516494308E-2</v>
      </c>
      <c r="S43" s="2"/>
      <c r="T43" s="7">
        <v>1365.85</v>
      </c>
      <c r="U43" s="2"/>
      <c r="V43" s="6">
        <f t="shared" si="33"/>
        <v>2.9864279710787568E-2</v>
      </c>
      <c r="W43" s="2"/>
      <c r="X43" s="7">
        <f t="shared" si="34"/>
        <v>117.17000000000007</v>
      </c>
      <c r="Y43" s="2"/>
      <c r="Z43" s="6">
        <f t="shared" si="35"/>
        <v>8.5785408353772435E-2</v>
      </c>
    </row>
    <row r="44" spans="1:26" s="27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5421.37</v>
      </c>
      <c r="E44" s="1"/>
      <c r="F44" s="5">
        <f t="shared" si="28"/>
        <v>0.17201977283263056</v>
      </c>
      <c r="G44" s="1"/>
      <c r="H44" s="1">
        <f>SUM(OSRRefH22_5x_0)</f>
        <v>5280.6</v>
      </c>
      <c r="I44" s="1"/>
      <c r="J44" s="5">
        <f t="shared" si="29"/>
        <v>0.16592714929012933</v>
      </c>
      <c r="K44" s="1"/>
      <c r="L44" s="1">
        <f t="shared" si="30"/>
        <v>140.76999999999953</v>
      </c>
      <c r="M44" s="1"/>
      <c r="N44" s="5">
        <f t="shared" si="31"/>
        <v>2.6657955535355739E-2</v>
      </c>
      <c r="O44" s="14"/>
      <c r="P44" s="1">
        <f>SUM(OSRRefP22_5x_0)</f>
        <v>10842.74</v>
      </c>
      <c r="Q44" s="1"/>
      <c r="R44" s="5">
        <f t="shared" si="32"/>
        <v>0.23567244331216944</v>
      </c>
      <c r="S44" s="1"/>
      <c r="T44" s="1">
        <f>SUM(OSRRefT22_5x_0)</f>
        <v>10561.2</v>
      </c>
      <c r="U44" s="1"/>
      <c r="V44" s="5">
        <f t="shared" si="33"/>
        <v>0.23092040186079707</v>
      </c>
      <c r="W44" s="1"/>
      <c r="X44" s="1">
        <f t="shared" si="34"/>
        <v>281.53999999999905</v>
      </c>
      <c r="Y44" s="1"/>
      <c r="Z44" s="5">
        <f t="shared" si="35"/>
        <v>2.6657955535355739E-2</v>
      </c>
    </row>
    <row r="45" spans="1:26" s="24" customFormat="1" hidden="1" outlineLevel="2" x14ac:dyDescent="0.25">
      <c r="A45" s="29"/>
      <c r="B45" s="11" t="str">
        <f>CONCATENATE("          ", "6321", " - ", "BUILDING DEPRECIATION")</f>
        <v xml:space="preserve">          6321 - BUILDING DEPRECIATION</v>
      </c>
      <c r="C45" s="11"/>
      <c r="D45" s="7">
        <v>5080.51</v>
      </c>
      <c r="E45" s="2"/>
      <c r="F45" s="6">
        <f t="shared" si="28"/>
        <v>0.16120430372284275</v>
      </c>
      <c r="G45" s="2"/>
      <c r="H45" s="7">
        <v>5080.51</v>
      </c>
      <c r="I45" s="2"/>
      <c r="J45" s="6">
        <f t="shared" si="29"/>
        <v>0.15963991615346645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>
        <v>10161.02</v>
      </c>
      <c r="Q45" s="2"/>
      <c r="R45" s="6">
        <f t="shared" si="32"/>
        <v>0.22085491397412646</v>
      </c>
      <c r="S45" s="2"/>
      <c r="T45" s="7">
        <v>10161.02</v>
      </c>
      <c r="U45" s="2"/>
      <c r="V45" s="6">
        <f t="shared" si="33"/>
        <v>0.22217047510847218</v>
      </c>
      <c r="W45" s="2"/>
      <c r="X45" s="7">
        <f t="shared" si="34"/>
        <v>0</v>
      </c>
      <c r="Y45" s="2"/>
      <c r="Z45" s="6">
        <f t="shared" si="35"/>
        <v>0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340.86</v>
      </c>
      <c r="E46" s="2"/>
      <c r="F46" s="6">
        <f t="shared" si="28"/>
        <v>1.0815469109787831E-2</v>
      </c>
      <c r="G46" s="2"/>
      <c r="H46" s="7">
        <v>200.09</v>
      </c>
      <c r="I46" s="2"/>
      <c r="J46" s="6">
        <f t="shared" si="29"/>
        <v>6.2872331366628743E-3</v>
      </c>
      <c r="K46" s="2"/>
      <c r="L46" s="7">
        <f t="shared" si="30"/>
        <v>140.77000000000001</v>
      </c>
      <c r="M46" s="2"/>
      <c r="N46" s="6">
        <f t="shared" si="31"/>
        <v>0.70353340996551561</v>
      </c>
      <c r="O46" s="11"/>
      <c r="P46" s="7">
        <v>681.72</v>
      </c>
      <c r="Q46" s="2"/>
      <c r="R46" s="6">
        <f t="shared" si="32"/>
        <v>1.4817529338042982E-2</v>
      </c>
      <c r="S46" s="2"/>
      <c r="T46" s="7">
        <v>400.18</v>
      </c>
      <c r="U46" s="2"/>
      <c r="V46" s="6">
        <f t="shared" si="33"/>
        <v>8.7499267523249036E-3</v>
      </c>
      <c r="W46" s="2"/>
      <c r="X46" s="7">
        <f t="shared" si="34"/>
        <v>281.54000000000002</v>
      </c>
      <c r="Y46" s="2"/>
      <c r="Z46" s="6">
        <f t="shared" si="35"/>
        <v>0.70353340996551561</v>
      </c>
    </row>
    <row r="47" spans="1:26" s="27" customFormat="1" outlineLevel="1" collapsed="1" x14ac:dyDescent="0.25">
      <c r="A47" s="28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SUM(OSRRefD22_6x_0)</f>
        <v>146.05000000000001</v>
      </c>
      <c r="E47" s="1"/>
      <c r="F47" s="5">
        <f t="shared" ref="F47:F60" si="36">IF(D$12=0,0,D47/D$12)</f>
        <v>4.6341584917107105E-3</v>
      </c>
      <c r="G47" s="1"/>
      <c r="H47" s="1">
        <f>SUM(OSRRefH22_6x_0)</f>
        <v>86.8</v>
      </c>
      <c r="I47" s="1"/>
      <c r="J47" s="5">
        <f t="shared" ref="J47:J60" si="37">IF(H$12=0,0,H47/H$12)</f>
        <v>2.727431836985044E-3</v>
      </c>
      <c r="K47" s="1"/>
      <c r="L47" s="1">
        <f t="shared" ref="L47:L60" si="38">+D47-H47</f>
        <v>59.250000000000014</v>
      </c>
      <c r="M47" s="1"/>
      <c r="N47" s="5">
        <f t="shared" ref="N47:N60" si="39">IF(H47=0,0,L47/H47)</f>
        <v>0.68260368663594484</v>
      </c>
      <c r="O47" s="14"/>
      <c r="P47" s="1">
        <f>SUM(OSRRefP22_6x_0)</f>
        <v>292.52</v>
      </c>
      <c r="Q47" s="1"/>
      <c r="R47" s="5">
        <f t="shared" ref="R47:R60" si="40">IF(P$12=0,0,P47/P$12)</f>
        <v>6.3580702956702638E-3</v>
      </c>
      <c r="S47" s="1"/>
      <c r="T47" s="1">
        <f>SUM(OSRRefT22_6x_0)</f>
        <v>231.55</v>
      </c>
      <c r="U47" s="1"/>
      <c r="V47" s="5">
        <f t="shared" ref="V47:V60" si="41">IF(T$12=0,0,T47/T$12)</f>
        <v>5.062835572744344E-3</v>
      </c>
      <c r="W47" s="1"/>
      <c r="X47" s="1">
        <f t="shared" ref="X47:X60" si="42">+P47-T47</f>
        <v>60.96999999999997</v>
      </c>
      <c r="Y47" s="1"/>
      <c r="Z47" s="5">
        <f t="shared" ref="Z47:Z60" si="43">IF(T47=0,0,X47/T47)</f>
        <v>0.26331245951198429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7">
        <v>146.05000000000001</v>
      </c>
      <c r="E48" s="2"/>
      <c r="F48" s="6">
        <f t="shared" si="36"/>
        <v>4.6341584917107105E-3</v>
      </c>
      <c r="G48" s="2"/>
      <c r="H48" s="7">
        <v>86.8</v>
      </c>
      <c r="I48" s="2"/>
      <c r="J48" s="6">
        <f t="shared" si="37"/>
        <v>2.727431836985044E-3</v>
      </c>
      <c r="K48" s="2"/>
      <c r="L48" s="7">
        <f t="shared" si="38"/>
        <v>59.250000000000014</v>
      </c>
      <c r="M48" s="2"/>
      <c r="N48" s="6">
        <f t="shared" si="39"/>
        <v>0.68260368663594484</v>
      </c>
      <c r="O48" s="11"/>
      <c r="P48" s="7">
        <v>292.52</v>
      </c>
      <c r="Q48" s="2"/>
      <c r="R48" s="6">
        <f t="shared" si="40"/>
        <v>6.3580702956702638E-3</v>
      </c>
      <c r="S48" s="2"/>
      <c r="T48" s="7">
        <v>231.55</v>
      </c>
      <c r="U48" s="2"/>
      <c r="V48" s="6">
        <f t="shared" si="41"/>
        <v>5.062835572744344E-3</v>
      </c>
      <c r="W48" s="2"/>
      <c r="X48" s="7">
        <f t="shared" si="42"/>
        <v>60.96999999999997</v>
      </c>
      <c r="Y48" s="2"/>
      <c r="Z48" s="6">
        <f t="shared" si="43"/>
        <v>0.26331245951198429</v>
      </c>
    </row>
    <row r="49" spans="1:26" s="27" customFormat="1" outlineLevel="1" collapsed="1" x14ac:dyDescent="0.25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SUM(OSRRefD22_7x_0)</f>
        <v>10.75</v>
      </c>
      <c r="E49" s="1"/>
      <c r="F49" s="5">
        <f t="shared" si="36"/>
        <v>3.4109691055042888E-4</v>
      </c>
      <c r="G49" s="1"/>
      <c r="H49" s="1">
        <f>SUM(OSRRefH22_7x_0)</f>
        <v>0</v>
      </c>
      <c r="I49" s="1"/>
      <c r="J49" s="5">
        <f t="shared" si="37"/>
        <v>0</v>
      </c>
      <c r="K49" s="1"/>
      <c r="L49" s="1">
        <f t="shared" si="38"/>
        <v>10.75</v>
      </c>
      <c r="M49" s="1"/>
      <c r="N49" s="5">
        <f t="shared" si="39"/>
        <v>0</v>
      </c>
      <c r="O49" s="14"/>
      <c r="P49" s="1">
        <f>SUM(OSRRefP22_7x_0)</f>
        <v>751.05</v>
      </c>
      <c r="Q49" s="1"/>
      <c r="R49" s="5">
        <f t="shared" si="40"/>
        <v>1.6324451988114153E-2</v>
      </c>
      <c r="S49" s="1"/>
      <c r="T49" s="1">
        <f>SUM(OSRRefT22_7x_0)</f>
        <v>704.2</v>
      </c>
      <c r="U49" s="1"/>
      <c r="V49" s="5">
        <f t="shared" si="41"/>
        <v>1.5397317254703377E-2</v>
      </c>
      <c r="W49" s="1"/>
      <c r="X49" s="1">
        <f t="shared" si="42"/>
        <v>46.849999999999909</v>
      </c>
      <c r="Y49" s="1"/>
      <c r="Z49" s="5">
        <f t="shared" si="43"/>
        <v>6.652939505822196E-2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>
        <v>10.75</v>
      </c>
      <c r="E50" s="2"/>
      <c r="F50" s="6">
        <f t="shared" si="36"/>
        <v>3.4109691055042888E-4</v>
      </c>
      <c r="G50" s="2"/>
      <c r="H50" s="7"/>
      <c r="I50" s="2"/>
      <c r="J50" s="6">
        <f t="shared" si="37"/>
        <v>0</v>
      </c>
      <c r="K50" s="2"/>
      <c r="L50" s="7">
        <f t="shared" si="38"/>
        <v>10.75</v>
      </c>
      <c r="M50" s="2"/>
      <c r="N50" s="6">
        <f t="shared" si="39"/>
        <v>0</v>
      </c>
      <c r="O50" s="11"/>
      <c r="P50" s="7">
        <v>751.05</v>
      </c>
      <c r="Q50" s="2"/>
      <c r="R50" s="6">
        <f t="shared" si="40"/>
        <v>1.6324451988114153E-2</v>
      </c>
      <c r="S50" s="2"/>
      <c r="T50" s="7">
        <v>704.2</v>
      </c>
      <c r="U50" s="2"/>
      <c r="V50" s="6">
        <f t="shared" si="41"/>
        <v>1.5397317254703377E-2</v>
      </c>
      <c r="W50" s="2"/>
      <c r="X50" s="7">
        <f t="shared" si="42"/>
        <v>46.849999999999909</v>
      </c>
      <c r="Y50" s="2"/>
      <c r="Z50" s="6">
        <f t="shared" si="43"/>
        <v>6.652939505822196E-2</v>
      </c>
    </row>
    <row r="51" spans="1:26" s="27" customFormat="1" outlineLevel="1" collapsed="1" x14ac:dyDescent="0.25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SUM(OSRRefD22_8x_0)</f>
        <v>243.54</v>
      </c>
      <c r="E51" s="1"/>
      <c r="F51" s="5">
        <f t="shared" si="36"/>
        <v>7.7275108460885065E-3</v>
      </c>
      <c r="G51" s="1"/>
      <c r="H51" s="1">
        <f>SUM(OSRRefH22_8x_0)</f>
        <v>229.44</v>
      </c>
      <c r="I51" s="1"/>
      <c r="J51" s="5">
        <f t="shared" si="37"/>
        <v>7.2094695930627712E-3</v>
      </c>
      <c r="K51" s="1"/>
      <c r="L51" s="1">
        <f t="shared" si="38"/>
        <v>14.099999999999994</v>
      </c>
      <c r="M51" s="1"/>
      <c r="N51" s="5">
        <f t="shared" si="39"/>
        <v>6.1453974895397466E-2</v>
      </c>
      <c r="O51" s="14"/>
      <c r="P51" s="1">
        <f>SUM(OSRRefP22_8x_0)</f>
        <v>487.08</v>
      </c>
      <c r="Q51" s="1"/>
      <c r="R51" s="5">
        <f t="shared" si="40"/>
        <v>1.0586930396605607E-2</v>
      </c>
      <c r="S51" s="1"/>
      <c r="T51" s="1">
        <f>SUM(OSRRefT22_8x_0)</f>
        <v>458.88</v>
      </c>
      <c r="U51" s="1"/>
      <c r="V51" s="5">
        <f t="shared" si="41"/>
        <v>1.0033400939844199E-2</v>
      </c>
      <c r="W51" s="1"/>
      <c r="X51" s="1">
        <f t="shared" si="42"/>
        <v>28.199999999999989</v>
      </c>
      <c r="Y51" s="1"/>
      <c r="Z51" s="5">
        <f t="shared" si="43"/>
        <v>6.1453974895397466E-2</v>
      </c>
    </row>
    <row r="52" spans="1:26" s="24" customFormat="1" hidden="1" outlineLevel="2" x14ac:dyDescent="0.25">
      <c r="A52" s="29"/>
      <c r="B52" s="11" t="str">
        <f>CONCATENATE("          ", "6314", " - ", "LIABILITY INSURANCE")</f>
        <v xml:space="preserve">          6314 - LIABILITY INSURANCE</v>
      </c>
      <c r="C52" s="11"/>
      <c r="D52" s="7">
        <v>243.54</v>
      </c>
      <c r="E52" s="2"/>
      <c r="F52" s="6">
        <f t="shared" si="36"/>
        <v>7.7275108460885065E-3</v>
      </c>
      <c r="G52" s="2"/>
      <c r="H52" s="7">
        <v>229.44</v>
      </c>
      <c r="I52" s="2"/>
      <c r="J52" s="6">
        <f t="shared" si="37"/>
        <v>7.2094695930627712E-3</v>
      </c>
      <c r="K52" s="2"/>
      <c r="L52" s="7">
        <f t="shared" si="38"/>
        <v>14.099999999999994</v>
      </c>
      <c r="M52" s="2"/>
      <c r="N52" s="6">
        <f t="shared" si="39"/>
        <v>6.1453974895397466E-2</v>
      </c>
      <c r="O52" s="11"/>
      <c r="P52" s="7">
        <v>487.08</v>
      </c>
      <c r="Q52" s="2"/>
      <c r="R52" s="6">
        <f t="shared" si="40"/>
        <v>1.0586930396605607E-2</v>
      </c>
      <c r="S52" s="2"/>
      <c r="T52" s="7">
        <v>458.88</v>
      </c>
      <c r="U52" s="2"/>
      <c r="V52" s="6">
        <f t="shared" si="41"/>
        <v>1.0033400939844199E-2</v>
      </c>
      <c r="W52" s="2"/>
      <c r="X52" s="7">
        <f t="shared" si="42"/>
        <v>28.199999999999989</v>
      </c>
      <c r="Y52" s="2"/>
      <c r="Z52" s="6">
        <f t="shared" si="43"/>
        <v>6.1453974895397466E-2</v>
      </c>
    </row>
    <row r="53" spans="1:26" s="27" customFormat="1" outlineLevel="1" collapsed="1" x14ac:dyDescent="0.25">
      <c r="A53" s="28"/>
      <c r="B53" s="14" t="str">
        <f>CONCATENATE("     ","Interest                                          ")</f>
        <v xml:space="preserve">     Interest                                          </v>
      </c>
      <c r="C53" s="14"/>
      <c r="D53" s="1">
        <f>SUM(OSRRefD22_9x_0)</f>
        <v>4110</v>
      </c>
      <c r="E53" s="1"/>
      <c r="F53" s="5">
        <f t="shared" si="36"/>
        <v>0.13041007463835003</v>
      </c>
      <c r="G53" s="1"/>
      <c r="H53" s="1">
        <f>SUM(OSRRefH22_9x_0)</f>
        <v>4280</v>
      </c>
      <c r="I53" s="1"/>
      <c r="J53" s="5">
        <f t="shared" si="37"/>
        <v>0.13448627030294918</v>
      </c>
      <c r="K53" s="1"/>
      <c r="L53" s="1">
        <f t="shared" si="38"/>
        <v>-170</v>
      </c>
      <c r="M53" s="1"/>
      <c r="N53" s="5">
        <f t="shared" si="39"/>
        <v>-3.9719626168224297E-2</v>
      </c>
      <c r="O53" s="14"/>
      <c r="P53" s="1">
        <f>SUM(OSRRefP22_9x_0)</f>
        <v>8220</v>
      </c>
      <c r="Q53" s="1"/>
      <c r="R53" s="5">
        <f t="shared" si="40"/>
        <v>0.17866586158351422</v>
      </c>
      <c r="S53" s="1"/>
      <c r="T53" s="1">
        <f>SUM(OSRRefT22_9x_0)</f>
        <v>8560</v>
      </c>
      <c r="U53" s="1"/>
      <c r="V53" s="5">
        <f t="shared" si="41"/>
        <v>0.18716420860588029</v>
      </c>
      <c r="W53" s="1"/>
      <c r="X53" s="1">
        <f t="shared" si="42"/>
        <v>-340</v>
      </c>
      <c r="Y53" s="1"/>
      <c r="Z53" s="5">
        <f t="shared" si="43"/>
        <v>-3.9719626168224297E-2</v>
      </c>
    </row>
    <row r="54" spans="1:26" s="24" customFormat="1" hidden="1" outlineLevel="2" x14ac:dyDescent="0.25">
      <c r="A54" s="29"/>
      <c r="B54" s="11" t="str">
        <f>CONCATENATE("          ", "6401", " - ", "INTEREST EXPENSE")</f>
        <v xml:space="preserve">          6401 - INTEREST EXPENSE</v>
      </c>
      <c r="C54" s="11"/>
      <c r="D54" s="7">
        <v>4110</v>
      </c>
      <c r="E54" s="2"/>
      <c r="F54" s="6">
        <f t="shared" si="36"/>
        <v>0.13041007463835003</v>
      </c>
      <c r="G54" s="2"/>
      <c r="H54" s="7">
        <v>4280</v>
      </c>
      <c r="I54" s="2"/>
      <c r="J54" s="6">
        <f t="shared" si="37"/>
        <v>0.13448627030294918</v>
      </c>
      <c r="K54" s="2"/>
      <c r="L54" s="7">
        <f t="shared" si="38"/>
        <v>-170</v>
      </c>
      <c r="M54" s="2"/>
      <c r="N54" s="6">
        <f t="shared" si="39"/>
        <v>-3.9719626168224297E-2</v>
      </c>
      <c r="O54" s="11"/>
      <c r="P54" s="7">
        <v>8220</v>
      </c>
      <c r="Q54" s="2"/>
      <c r="R54" s="6">
        <f t="shared" si="40"/>
        <v>0.17866586158351422</v>
      </c>
      <c r="S54" s="2"/>
      <c r="T54" s="7">
        <v>8560</v>
      </c>
      <c r="U54" s="2"/>
      <c r="V54" s="6">
        <f t="shared" si="41"/>
        <v>0.18716420860588029</v>
      </c>
      <c r="W54" s="2"/>
      <c r="X54" s="7">
        <f t="shared" si="42"/>
        <v>-340</v>
      </c>
      <c r="Y54" s="2"/>
      <c r="Z54" s="6">
        <f t="shared" si="43"/>
        <v>-3.9719626168224297E-2</v>
      </c>
    </row>
    <row r="55" spans="1:26" s="27" customFormat="1" outlineLevel="1" collapsed="1" x14ac:dyDescent="0.25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SUM(OSRRefD22_10x_0)</f>
        <v>75.27</v>
      </c>
      <c r="E55" s="1"/>
      <c r="F55" s="5">
        <f t="shared" si="36"/>
        <v>2.3883129727563517E-3</v>
      </c>
      <c r="G55" s="1"/>
      <c r="H55" s="1">
        <f>SUM(OSRRefH22_10x_0)</f>
        <v>51.83</v>
      </c>
      <c r="I55" s="1"/>
      <c r="J55" s="5">
        <f t="shared" si="37"/>
        <v>1.6286035957480973E-3</v>
      </c>
      <c r="K55" s="1"/>
      <c r="L55" s="1">
        <f t="shared" si="38"/>
        <v>23.439999999999998</v>
      </c>
      <c r="M55" s="1"/>
      <c r="N55" s="5">
        <f t="shared" si="39"/>
        <v>0.45224773297318155</v>
      </c>
      <c r="O55" s="14"/>
      <c r="P55" s="1">
        <f>SUM(OSRRefP22_10x_0)</f>
        <v>75.27</v>
      </c>
      <c r="Q55" s="1"/>
      <c r="R55" s="5">
        <f t="shared" si="40"/>
        <v>1.6360315573468508E-3</v>
      </c>
      <c r="S55" s="1"/>
      <c r="T55" s="1">
        <f>SUM(OSRRefT22_10x_0)</f>
        <v>278.37</v>
      </c>
      <c r="U55" s="1"/>
      <c r="V55" s="5">
        <f t="shared" si="41"/>
        <v>6.0865538258900584E-3</v>
      </c>
      <c r="W55" s="1"/>
      <c r="X55" s="1">
        <f t="shared" si="42"/>
        <v>-203.10000000000002</v>
      </c>
      <c r="Y55" s="1"/>
      <c r="Z55" s="5">
        <f t="shared" si="43"/>
        <v>-0.72960448324172866</v>
      </c>
    </row>
    <row r="56" spans="1:26" s="24" customFormat="1" hidden="1" outlineLevel="2" x14ac:dyDescent="0.25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7">
        <v>75.27</v>
      </c>
      <c r="E56" s="2"/>
      <c r="F56" s="6">
        <f t="shared" si="36"/>
        <v>2.3883129727563517E-3</v>
      </c>
      <c r="G56" s="2"/>
      <c r="H56" s="7">
        <v>51.83</v>
      </c>
      <c r="I56" s="2"/>
      <c r="J56" s="6">
        <f t="shared" si="37"/>
        <v>1.6286035957480973E-3</v>
      </c>
      <c r="K56" s="2"/>
      <c r="L56" s="7">
        <f t="shared" si="38"/>
        <v>23.439999999999998</v>
      </c>
      <c r="M56" s="2"/>
      <c r="N56" s="6">
        <f t="shared" si="39"/>
        <v>0.45224773297318155</v>
      </c>
      <c r="O56" s="11"/>
      <c r="P56" s="7">
        <v>75.27</v>
      </c>
      <c r="Q56" s="2"/>
      <c r="R56" s="6">
        <f t="shared" si="40"/>
        <v>1.6360315573468508E-3</v>
      </c>
      <c r="S56" s="2"/>
      <c r="T56" s="7">
        <v>278.37</v>
      </c>
      <c r="U56" s="2"/>
      <c r="V56" s="6">
        <f t="shared" si="41"/>
        <v>6.0865538258900584E-3</v>
      </c>
      <c r="W56" s="2"/>
      <c r="X56" s="7">
        <f t="shared" si="42"/>
        <v>-203.10000000000002</v>
      </c>
      <c r="Y56" s="2"/>
      <c r="Z56" s="6">
        <f t="shared" si="43"/>
        <v>-0.72960448324172866</v>
      </c>
    </row>
    <row r="57" spans="1:26" s="27" customFormat="1" outlineLevel="1" collapsed="1" x14ac:dyDescent="0.25">
      <c r="A57" s="28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299.39</v>
      </c>
      <c r="E57" s="1"/>
      <c r="F57" s="5">
        <f t="shared" si="36"/>
        <v>9.4996282836923625E-3</v>
      </c>
      <c r="G57" s="1"/>
      <c r="H57" s="1">
        <f>SUM(OSRRefH22_11x_0)</f>
        <v>440.1</v>
      </c>
      <c r="I57" s="1"/>
      <c r="J57" s="5">
        <f t="shared" si="37"/>
        <v>1.3828833542132697E-2</v>
      </c>
      <c r="K57" s="1"/>
      <c r="L57" s="1">
        <f t="shared" si="38"/>
        <v>-140.71000000000004</v>
      </c>
      <c r="M57" s="1"/>
      <c r="N57" s="5">
        <f t="shared" si="39"/>
        <v>-0.31972279027493761</v>
      </c>
      <c r="O57" s="14"/>
      <c r="P57" s="1">
        <f>SUM(OSRRefP22_11x_0)</f>
        <v>736.1</v>
      </c>
      <c r="Q57" s="1"/>
      <c r="R57" s="5">
        <f t="shared" si="40"/>
        <v>1.5999506169297423E-2</v>
      </c>
      <c r="S57" s="1"/>
      <c r="T57" s="1">
        <f>SUM(OSRRefT22_11x_0)</f>
        <v>839.45</v>
      </c>
      <c r="U57" s="1"/>
      <c r="V57" s="5">
        <f t="shared" si="41"/>
        <v>1.8354555480631567E-2</v>
      </c>
      <c r="W57" s="1"/>
      <c r="X57" s="1">
        <f t="shared" si="42"/>
        <v>-103.35000000000002</v>
      </c>
      <c r="Y57" s="1"/>
      <c r="Z57" s="5">
        <f t="shared" si="43"/>
        <v>-0.12311632616594201</v>
      </c>
    </row>
    <row r="58" spans="1:26" s="24" customFormat="1" hidden="1" outlineLevel="2" x14ac:dyDescent="0.25">
      <c r="A58" s="29"/>
      <c r="B58" s="11" t="str">
        <f>CONCATENATE("          ", "6282", " - ", "JANITORIAL/EXTERMINATOR EXPENS")</f>
        <v xml:space="preserve">          6282 - JANITORIAL/EXTERMINATOR EXPENS</v>
      </c>
      <c r="C58" s="11"/>
      <c r="D58" s="7">
        <v>157.35</v>
      </c>
      <c r="E58" s="2"/>
      <c r="F58" s="6">
        <f t="shared" si="36"/>
        <v>4.9927068721032537E-3</v>
      </c>
      <c r="G58" s="2"/>
      <c r="H58" s="7">
        <v>157.35</v>
      </c>
      <c r="I58" s="2"/>
      <c r="J58" s="6">
        <f t="shared" si="37"/>
        <v>4.9442557551796851E-3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314.7</v>
      </c>
      <c r="Q58" s="2"/>
      <c r="R58" s="6">
        <f t="shared" si="40"/>
        <v>6.8401638248578979E-3</v>
      </c>
      <c r="S58" s="2"/>
      <c r="T58" s="7">
        <v>314.7</v>
      </c>
      <c r="U58" s="2"/>
      <c r="V58" s="6">
        <f t="shared" si="41"/>
        <v>6.8809084635830051E-3</v>
      </c>
      <c r="W58" s="2"/>
      <c r="X58" s="7">
        <f t="shared" si="42"/>
        <v>0</v>
      </c>
      <c r="Y58" s="2"/>
      <c r="Z58" s="6">
        <f t="shared" si="43"/>
        <v>0</v>
      </c>
    </row>
    <row r="59" spans="1:26" s="24" customFormat="1" hidden="1" outlineLevel="2" x14ac:dyDescent="0.25">
      <c r="A59" s="29"/>
      <c r="B59" s="11" t="str">
        <f>CONCATENATE("          ", "6284", " - ", "TRASH REMOVAL EXPENSE")</f>
        <v xml:space="preserve">          6284 - TRASH REMOVAL EXPENSE</v>
      </c>
      <c r="C59" s="11"/>
      <c r="D59" s="7"/>
      <c r="E59" s="2"/>
      <c r="F59" s="6">
        <f t="shared" si="36"/>
        <v>0</v>
      </c>
      <c r="G59" s="2"/>
      <c r="H59" s="7">
        <v>180</v>
      </c>
      <c r="I59" s="2"/>
      <c r="J59" s="6">
        <f t="shared" si="37"/>
        <v>5.6559646389090779E-3</v>
      </c>
      <c r="K59" s="2"/>
      <c r="L59" s="7">
        <f t="shared" si="38"/>
        <v>-180</v>
      </c>
      <c r="M59" s="2"/>
      <c r="N59" s="6">
        <f t="shared" si="39"/>
        <v>-1</v>
      </c>
      <c r="O59" s="11"/>
      <c r="P59" s="7">
        <v>237</v>
      </c>
      <c r="Q59" s="2"/>
      <c r="R59" s="6">
        <f t="shared" si="40"/>
        <v>5.1513149872619056E-3</v>
      </c>
      <c r="S59" s="2"/>
      <c r="T59" s="7">
        <v>360</v>
      </c>
      <c r="U59" s="2"/>
      <c r="V59" s="6">
        <f t="shared" si="41"/>
        <v>7.8713919507145923E-3</v>
      </c>
      <c r="W59" s="2"/>
      <c r="X59" s="7">
        <f t="shared" si="42"/>
        <v>-123</v>
      </c>
      <c r="Y59" s="2"/>
      <c r="Z59" s="6">
        <f t="shared" si="43"/>
        <v>-0.34166666666666667</v>
      </c>
    </row>
    <row r="60" spans="1:26" s="24" customFormat="1" hidden="1" outlineLevel="2" x14ac:dyDescent="0.25">
      <c r="A60" s="29"/>
      <c r="B60" s="11" t="str">
        <f>CONCATENATE("          ", "6286", " - ", "LAUNDRY EXPENSE")</f>
        <v xml:space="preserve">          6286 - LAUNDRY EXPENSE</v>
      </c>
      <c r="C60" s="11"/>
      <c r="D60" s="7">
        <v>142.04</v>
      </c>
      <c r="E60" s="2"/>
      <c r="F60" s="6">
        <f t="shared" si="36"/>
        <v>4.506921411589108E-3</v>
      </c>
      <c r="G60" s="2"/>
      <c r="H60" s="7">
        <v>102.75</v>
      </c>
      <c r="I60" s="2"/>
      <c r="J60" s="6">
        <f t="shared" si="37"/>
        <v>3.2286131480439321E-3</v>
      </c>
      <c r="K60" s="2"/>
      <c r="L60" s="7">
        <f t="shared" si="38"/>
        <v>39.289999999999992</v>
      </c>
      <c r="M60" s="2"/>
      <c r="N60" s="6">
        <f t="shared" si="39"/>
        <v>0.38238442822384422</v>
      </c>
      <c r="O60" s="11"/>
      <c r="P60" s="7">
        <v>184.4</v>
      </c>
      <c r="Q60" s="2"/>
      <c r="R60" s="6">
        <f t="shared" si="40"/>
        <v>4.0080273571776182E-3</v>
      </c>
      <c r="S60" s="2"/>
      <c r="T60" s="7">
        <v>164.75</v>
      </c>
      <c r="U60" s="2"/>
      <c r="V60" s="6">
        <f t="shared" si="41"/>
        <v>3.6022550663339695E-3</v>
      </c>
      <c r="W60" s="2"/>
      <c r="X60" s="7">
        <f t="shared" si="42"/>
        <v>19.650000000000006</v>
      </c>
      <c r="Y60" s="2"/>
      <c r="Z60" s="6">
        <f t="shared" si="43"/>
        <v>0.11927162367223068</v>
      </c>
    </row>
    <row r="61" spans="1:26" s="27" customFormat="1" outlineLevel="1" collapsed="1" x14ac:dyDescent="0.25">
      <c r="A61" s="28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SUM(OSRRefD22_12x_0)</f>
        <v>176.4</v>
      </c>
      <c r="E61" s="1"/>
      <c r="F61" s="5">
        <f t="shared" ref="F61:F69" si="44">IF(D$12=0,0,D61/D$12)</f>
        <v>5.5971623275437822E-3</v>
      </c>
      <c r="G61" s="1"/>
      <c r="H61" s="1">
        <f>SUM(OSRRefH22_12x_0)</f>
        <v>0</v>
      </c>
      <c r="I61" s="1"/>
      <c r="J61" s="5">
        <f t="shared" ref="J61:J69" si="45">IF(H$12=0,0,H61/H$12)</f>
        <v>0</v>
      </c>
      <c r="K61" s="1"/>
      <c r="L61" s="1">
        <f t="shared" ref="L61:L69" si="46">+D61-H61</f>
        <v>176.4</v>
      </c>
      <c r="M61" s="1"/>
      <c r="N61" s="5">
        <f t="shared" ref="N61:N69" si="47">IF(H61=0,0,L61/H61)</f>
        <v>0</v>
      </c>
      <c r="O61" s="14"/>
      <c r="P61" s="1">
        <f>SUM(OSRRefP22_12x_0)</f>
        <v>352.8</v>
      </c>
      <c r="Q61" s="1"/>
      <c r="R61" s="5">
        <f t="shared" ref="R61:R69" si="48">IF(P$12=0,0,P61/P$12)</f>
        <v>7.6682866139493695E-3</v>
      </c>
      <c r="S61" s="1"/>
      <c r="T61" s="1">
        <f>SUM(OSRRefT22_12x_0)</f>
        <v>0</v>
      </c>
      <c r="U61" s="1"/>
      <c r="V61" s="5">
        <f t="shared" ref="V61:V69" si="49">IF(T$12=0,0,T61/T$12)</f>
        <v>0</v>
      </c>
      <c r="W61" s="1"/>
      <c r="X61" s="1">
        <f t="shared" ref="X61:X69" si="50">+P61-T61</f>
        <v>352.8</v>
      </c>
      <c r="Y61" s="1"/>
      <c r="Z61" s="5">
        <f t="shared" ref="Z61:Z69" si="51">IF(T61=0,0,X61/T61)</f>
        <v>0</v>
      </c>
    </row>
    <row r="62" spans="1:26" s="24" customFormat="1" hidden="1" outlineLevel="2" x14ac:dyDescent="0.25">
      <c r="A62" s="29"/>
      <c r="B62" s="11" t="str">
        <f>CONCATENATE("          ", "6275", " - ", "SUBSCRIPTIONS")</f>
        <v xml:space="preserve">          6275 - SUBSCRIPTIONS</v>
      </c>
      <c r="C62" s="11"/>
      <c r="D62" s="7">
        <v>176.4</v>
      </c>
      <c r="E62" s="2"/>
      <c r="F62" s="6">
        <f t="shared" si="44"/>
        <v>5.5971623275437822E-3</v>
      </c>
      <c r="G62" s="2"/>
      <c r="H62" s="7"/>
      <c r="I62" s="2"/>
      <c r="J62" s="6">
        <f t="shared" si="45"/>
        <v>0</v>
      </c>
      <c r="K62" s="2"/>
      <c r="L62" s="7">
        <f t="shared" si="46"/>
        <v>176.4</v>
      </c>
      <c r="M62" s="2"/>
      <c r="N62" s="6">
        <f t="shared" si="47"/>
        <v>0</v>
      </c>
      <c r="O62" s="11"/>
      <c r="P62" s="7">
        <v>352.8</v>
      </c>
      <c r="Q62" s="2"/>
      <c r="R62" s="6">
        <f t="shared" si="48"/>
        <v>7.6682866139493695E-3</v>
      </c>
      <c r="S62" s="2"/>
      <c r="T62" s="7"/>
      <c r="U62" s="2"/>
      <c r="V62" s="6">
        <f t="shared" si="49"/>
        <v>0</v>
      </c>
      <c r="W62" s="2"/>
      <c r="X62" s="7">
        <f t="shared" si="50"/>
        <v>352.8</v>
      </c>
      <c r="Y62" s="2"/>
      <c r="Z62" s="6">
        <f t="shared" si="51"/>
        <v>0</v>
      </c>
    </row>
    <row r="63" spans="1:26" s="27" customFormat="1" outlineLevel="1" collapsed="1" x14ac:dyDescent="0.25">
      <c r="A63" s="28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SUM(OSRRefD22_13x_0)</f>
        <v>972.26</v>
      </c>
      <c r="E63" s="1"/>
      <c r="F63" s="5">
        <f t="shared" si="44"/>
        <v>3.0849756488535812E-2</v>
      </c>
      <c r="G63" s="1"/>
      <c r="H63" s="1">
        <f>SUM(OSRRefH22_13x_0)</f>
        <v>797.41</v>
      </c>
      <c r="I63" s="1"/>
      <c r="J63" s="5">
        <f t="shared" si="45"/>
        <v>2.5056237570624931E-2</v>
      </c>
      <c r="K63" s="1"/>
      <c r="L63" s="1">
        <f t="shared" si="46"/>
        <v>174.85000000000002</v>
      </c>
      <c r="M63" s="1"/>
      <c r="N63" s="5">
        <f t="shared" si="47"/>
        <v>0.21927239437679491</v>
      </c>
      <c r="O63" s="14"/>
      <c r="P63" s="1">
        <f>SUM(OSRRefP22_13x_0)</f>
        <v>1249.17</v>
      </c>
      <c r="Q63" s="1"/>
      <c r="R63" s="5">
        <f t="shared" si="48"/>
        <v>2.7151342373999812E-2</v>
      </c>
      <c r="S63" s="1"/>
      <c r="T63" s="1">
        <f>SUM(OSRRefT22_13x_0)</f>
        <v>3069.04</v>
      </c>
      <c r="U63" s="1"/>
      <c r="V63" s="5">
        <f t="shared" si="49"/>
        <v>6.7104490978947523E-2</v>
      </c>
      <c r="W63" s="1"/>
      <c r="X63" s="1">
        <f t="shared" si="50"/>
        <v>-1819.87</v>
      </c>
      <c r="Y63" s="1"/>
      <c r="Z63" s="5">
        <f t="shared" si="51"/>
        <v>-0.59297695696374109</v>
      </c>
    </row>
    <row r="64" spans="1:26" s="24" customFormat="1" hidden="1" outlineLevel="2" x14ac:dyDescent="0.25">
      <c r="A64" s="29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44"/>
        <v>0</v>
      </c>
      <c r="G64" s="2"/>
      <c r="H64" s="7">
        <v>162.07</v>
      </c>
      <c r="I64" s="2"/>
      <c r="J64" s="6">
        <f t="shared" si="45"/>
        <v>5.0925677168221902E-3</v>
      </c>
      <c r="K64" s="2"/>
      <c r="L64" s="7">
        <f t="shared" si="46"/>
        <v>-162.07</v>
      </c>
      <c r="M64" s="2"/>
      <c r="N64" s="6">
        <f t="shared" si="47"/>
        <v>-1</v>
      </c>
      <c r="O64" s="11"/>
      <c r="P64" s="7"/>
      <c r="Q64" s="2"/>
      <c r="R64" s="6">
        <f t="shared" si="48"/>
        <v>0</v>
      </c>
      <c r="S64" s="2"/>
      <c r="T64" s="7">
        <v>162.07</v>
      </c>
      <c r="U64" s="2"/>
      <c r="V64" s="6">
        <f t="shared" si="49"/>
        <v>3.5436569262564271E-3</v>
      </c>
      <c r="W64" s="2"/>
      <c r="X64" s="7">
        <f t="shared" si="50"/>
        <v>-162.07</v>
      </c>
      <c r="Y64" s="2"/>
      <c r="Z64" s="6">
        <f t="shared" si="51"/>
        <v>-1</v>
      </c>
    </row>
    <row r="65" spans="1:26" s="24" customFormat="1" hidden="1" outlineLevel="2" x14ac:dyDescent="0.25">
      <c r="A65" s="29"/>
      <c r="B65" s="11" t="str">
        <f>CONCATENATE("          ", "6237", " - ", "JANITORIAL SUPPLIES")</f>
        <v xml:space="preserve">          6237 - JANITORIAL SUPPLIES</v>
      </c>
      <c r="C65" s="11"/>
      <c r="D65" s="7">
        <v>237.5</v>
      </c>
      <c r="E65" s="2"/>
      <c r="F65" s="6">
        <f t="shared" si="44"/>
        <v>7.535861977276917E-3</v>
      </c>
      <c r="G65" s="2"/>
      <c r="H65" s="7">
        <v>117.48</v>
      </c>
      <c r="I65" s="2"/>
      <c r="J65" s="6">
        <f t="shared" si="45"/>
        <v>3.6914595876613252E-3</v>
      </c>
      <c r="K65" s="2"/>
      <c r="L65" s="7">
        <f t="shared" si="46"/>
        <v>120.02</v>
      </c>
      <c r="M65" s="2"/>
      <c r="N65" s="6">
        <f t="shared" si="47"/>
        <v>1.0216207013959822</v>
      </c>
      <c r="O65" s="11"/>
      <c r="P65" s="7">
        <v>237.5</v>
      </c>
      <c r="Q65" s="2"/>
      <c r="R65" s="6">
        <f t="shared" si="48"/>
        <v>5.1621827403995893E-3</v>
      </c>
      <c r="S65" s="2"/>
      <c r="T65" s="7">
        <v>117.48</v>
      </c>
      <c r="U65" s="2"/>
      <c r="V65" s="6">
        <f t="shared" si="49"/>
        <v>2.5686975732498616E-3</v>
      </c>
      <c r="W65" s="2"/>
      <c r="X65" s="7">
        <f t="shared" si="50"/>
        <v>120.02</v>
      </c>
      <c r="Y65" s="2"/>
      <c r="Z65" s="6">
        <f t="shared" si="51"/>
        <v>1.0216207013959822</v>
      </c>
    </row>
    <row r="66" spans="1:26" s="24" customFormat="1" hidden="1" outlineLevel="2" x14ac:dyDescent="0.25">
      <c r="A66" s="29"/>
      <c r="B66" s="11" t="str">
        <f>CONCATENATE("          ", "6241", " - ", "OFFICE EXPENSE")</f>
        <v xml:space="preserve">          6241 - OFFICE EXPENSE</v>
      </c>
      <c r="C66" s="11"/>
      <c r="D66" s="7">
        <v>206.43</v>
      </c>
      <c r="E66" s="2"/>
      <c r="F66" s="6">
        <f t="shared" si="44"/>
        <v>6.5500125809232592E-3</v>
      </c>
      <c r="G66" s="2"/>
      <c r="H66" s="7">
        <v>85.21</v>
      </c>
      <c r="I66" s="2"/>
      <c r="J66" s="6">
        <f t="shared" si="45"/>
        <v>2.6774708160080137E-3</v>
      </c>
      <c r="K66" s="2"/>
      <c r="L66" s="7">
        <f t="shared" si="46"/>
        <v>121.22000000000001</v>
      </c>
      <c r="M66" s="2"/>
      <c r="N66" s="6">
        <f t="shared" si="47"/>
        <v>1.4226029808707901</v>
      </c>
      <c r="O66" s="11"/>
      <c r="P66" s="7">
        <v>206.43</v>
      </c>
      <c r="Q66" s="2"/>
      <c r="R66" s="6">
        <f t="shared" si="48"/>
        <v>4.4868605604239465E-3</v>
      </c>
      <c r="S66" s="2"/>
      <c r="T66" s="7">
        <v>1848.75</v>
      </c>
      <c r="U66" s="2"/>
      <c r="V66" s="6">
        <f t="shared" si="49"/>
        <v>4.042287741356556E-2</v>
      </c>
      <c r="W66" s="2"/>
      <c r="X66" s="7">
        <f t="shared" si="50"/>
        <v>-1642.32</v>
      </c>
      <c r="Y66" s="2"/>
      <c r="Z66" s="6">
        <f t="shared" si="51"/>
        <v>-0.88834077079107499</v>
      </c>
    </row>
    <row r="67" spans="1:26" s="24" customFormat="1" hidden="1" outlineLevel="2" x14ac:dyDescent="0.25">
      <c r="A67" s="29"/>
      <c r="B67" s="11" t="str">
        <f>CONCATENATE("          ", "6243", " - ", "PAPER SUPPLIES")</f>
        <v xml:space="preserve">          6243 - PAPER SUPPLIES</v>
      </c>
      <c r="C67" s="11"/>
      <c r="D67" s="7">
        <v>193.05</v>
      </c>
      <c r="E67" s="2"/>
      <c r="F67" s="6">
        <f t="shared" si="44"/>
        <v>6.1254659145823535E-3</v>
      </c>
      <c r="G67" s="2"/>
      <c r="H67" s="7">
        <v>359.89</v>
      </c>
      <c r="I67" s="2"/>
      <c r="J67" s="6">
        <f t="shared" si="45"/>
        <v>1.1308472854983266E-2</v>
      </c>
      <c r="K67" s="2"/>
      <c r="L67" s="7">
        <f t="shared" si="46"/>
        <v>-166.83999999999997</v>
      </c>
      <c r="M67" s="2"/>
      <c r="N67" s="6">
        <f t="shared" si="47"/>
        <v>-0.46358609575147958</v>
      </c>
      <c r="O67" s="11"/>
      <c r="P67" s="7">
        <v>193.05</v>
      </c>
      <c r="Q67" s="2"/>
      <c r="R67" s="6">
        <f t="shared" si="48"/>
        <v>4.1960394864595397E-3</v>
      </c>
      <c r="S67" s="2"/>
      <c r="T67" s="7">
        <v>500.42</v>
      </c>
      <c r="U67" s="2"/>
      <c r="V67" s="6">
        <f t="shared" si="49"/>
        <v>1.0941672111046101E-2</v>
      </c>
      <c r="W67" s="2"/>
      <c r="X67" s="7">
        <f t="shared" si="50"/>
        <v>-307.37</v>
      </c>
      <c r="Y67" s="2"/>
      <c r="Z67" s="6">
        <f t="shared" si="51"/>
        <v>-0.61422405179649098</v>
      </c>
    </row>
    <row r="68" spans="1:26" s="24" customFormat="1" hidden="1" outlineLevel="2" x14ac:dyDescent="0.25">
      <c r="A68" s="29"/>
      <c r="B68" s="11" t="str">
        <f>CONCATENATE("          ", "6247", " - ", "STORE SUPPLIES")</f>
        <v xml:space="preserve">          6247 - STORE SUPPLIES</v>
      </c>
      <c r="C68" s="11"/>
      <c r="D68" s="7">
        <v>335.28</v>
      </c>
      <c r="E68" s="2"/>
      <c r="F68" s="6">
        <f t="shared" si="44"/>
        <v>1.0638416015753282E-2</v>
      </c>
      <c r="G68" s="2"/>
      <c r="H68" s="7">
        <v>-326.94</v>
      </c>
      <c r="I68" s="2"/>
      <c r="J68" s="6">
        <f t="shared" si="45"/>
        <v>-1.0273117105805189E-2</v>
      </c>
      <c r="K68" s="2"/>
      <c r="L68" s="7">
        <f t="shared" si="46"/>
        <v>662.22</v>
      </c>
      <c r="M68" s="2"/>
      <c r="N68" s="6">
        <f t="shared" si="47"/>
        <v>-2.0255092677555515</v>
      </c>
      <c r="O68" s="11"/>
      <c r="P68" s="7">
        <v>612.19000000000005</v>
      </c>
      <c r="Q68" s="2"/>
      <c r="R68" s="6">
        <f t="shared" si="48"/>
        <v>1.3306259586716737E-2</v>
      </c>
      <c r="S68" s="2"/>
      <c r="T68" s="7">
        <v>40.619999999999997</v>
      </c>
      <c r="U68" s="2"/>
      <c r="V68" s="6">
        <f t="shared" si="49"/>
        <v>8.8815539177229631E-4</v>
      </c>
      <c r="W68" s="2"/>
      <c r="X68" s="7">
        <f t="shared" si="50"/>
        <v>571.57000000000005</v>
      </c>
      <c r="Y68" s="2"/>
      <c r="Z68" s="6">
        <f t="shared" si="51"/>
        <v>14.071147218119155</v>
      </c>
    </row>
    <row r="69" spans="1:26" s="24" customFormat="1" hidden="1" outlineLevel="2" x14ac:dyDescent="0.25">
      <c r="A69" s="29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44"/>
        <v>0</v>
      </c>
      <c r="G69" s="2"/>
      <c r="H69" s="7">
        <v>399.7</v>
      </c>
      <c r="I69" s="2"/>
      <c r="J69" s="6">
        <f t="shared" si="45"/>
        <v>1.2559383700955324E-2</v>
      </c>
      <c r="K69" s="2"/>
      <c r="L69" s="7">
        <f t="shared" si="46"/>
        <v>-399.7</v>
      </c>
      <c r="M69" s="2"/>
      <c r="N69" s="6">
        <f t="shared" si="47"/>
        <v>-1</v>
      </c>
      <c r="O69" s="11"/>
      <c r="P69" s="7"/>
      <c r="Q69" s="2"/>
      <c r="R69" s="6">
        <f t="shared" si="48"/>
        <v>0</v>
      </c>
      <c r="S69" s="2"/>
      <c r="T69" s="7">
        <v>399.7</v>
      </c>
      <c r="U69" s="2"/>
      <c r="V69" s="6">
        <f t="shared" si="49"/>
        <v>8.7394315630572837E-3</v>
      </c>
      <c r="W69" s="2"/>
      <c r="X69" s="7">
        <f t="shared" si="50"/>
        <v>-399.7</v>
      </c>
      <c r="Y69" s="2"/>
      <c r="Z69" s="6">
        <f t="shared" si="51"/>
        <v>-1</v>
      </c>
    </row>
    <row r="70" spans="1:26" s="27" customFormat="1" outlineLevel="1" collapsed="1" x14ac:dyDescent="0.25">
      <c r="A70" s="28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SUM(OSRRefD22_14x_0)</f>
        <v>40.200000000000003</v>
      </c>
      <c r="E70" s="1"/>
      <c r="F70" s="5">
        <f t="shared" ref="F70:F73" si="52">IF(D$12=0,0,D70/D$12)</f>
        <v>1.2755437957327666E-3</v>
      </c>
      <c r="G70" s="1"/>
      <c r="H70" s="1">
        <f>SUM(OSRRefH22_14x_0)</f>
        <v>41.4</v>
      </c>
      <c r="I70" s="1"/>
      <c r="J70" s="5">
        <f t="shared" ref="J70:J73" si="53">IF(H$12=0,0,H70/H$12)</f>
        <v>1.3008718669490879E-3</v>
      </c>
      <c r="K70" s="1"/>
      <c r="L70" s="1">
        <f t="shared" ref="L70:L73" si="54">+D70-H70</f>
        <v>-1.1999999999999957</v>
      </c>
      <c r="M70" s="1"/>
      <c r="N70" s="5">
        <f t="shared" ref="N70:N73" si="55">IF(H70=0,0,L70/H70)</f>
        <v>-2.8985507246376711E-2</v>
      </c>
      <c r="O70" s="14"/>
      <c r="P70" s="1">
        <f>SUM(OSRRefP22_14x_0)</f>
        <v>77.45</v>
      </c>
      <c r="Q70" s="1"/>
      <c r="R70" s="5">
        <f t="shared" ref="R70:R73" si="56">IF(P$12=0,0,P70/P$12)</f>
        <v>1.6834149610271503E-3</v>
      </c>
      <c r="S70" s="1"/>
      <c r="T70" s="1">
        <f>SUM(OSRRefT22_14x_0)</f>
        <v>79.45</v>
      </c>
      <c r="U70" s="1"/>
      <c r="V70" s="5">
        <f t="shared" ref="V70:V73" si="57">IF(T$12=0,0,T70/T$12)</f>
        <v>1.7371724735674287E-3</v>
      </c>
      <c r="W70" s="1"/>
      <c r="X70" s="1">
        <f t="shared" ref="X70:X73" si="58">+P70-T70</f>
        <v>-2</v>
      </c>
      <c r="Y70" s="1"/>
      <c r="Z70" s="5">
        <f t="shared" ref="Z70:Z73" si="59">IF(T70=0,0,X70/T70)</f>
        <v>-2.5173064820641911E-2</v>
      </c>
    </row>
    <row r="71" spans="1:26" s="24" customFormat="1" hidden="1" outlineLevel="2" x14ac:dyDescent="0.25">
      <c r="A71" s="29"/>
      <c r="B71" s="11" t="str">
        <f>CONCATENATE("          ", "6309", " - ", "TELEPHONE")</f>
        <v xml:space="preserve">          6309 - TELEPHONE</v>
      </c>
      <c r="C71" s="11"/>
      <c r="D71" s="7">
        <v>40.200000000000003</v>
      </c>
      <c r="E71" s="2"/>
      <c r="F71" s="6">
        <f t="shared" si="52"/>
        <v>1.2755437957327666E-3</v>
      </c>
      <c r="G71" s="2"/>
      <c r="H71" s="7">
        <v>41.4</v>
      </c>
      <c r="I71" s="2"/>
      <c r="J71" s="6">
        <f t="shared" si="53"/>
        <v>1.3008718669490879E-3</v>
      </c>
      <c r="K71" s="2"/>
      <c r="L71" s="7">
        <f t="shared" si="54"/>
        <v>-1.1999999999999957</v>
      </c>
      <c r="M71" s="2"/>
      <c r="N71" s="6">
        <f t="shared" si="55"/>
        <v>-2.8985507246376711E-2</v>
      </c>
      <c r="O71" s="11"/>
      <c r="P71" s="7">
        <v>77.45</v>
      </c>
      <c r="Q71" s="2"/>
      <c r="R71" s="6">
        <f t="shared" si="56"/>
        <v>1.6834149610271503E-3</v>
      </c>
      <c r="S71" s="2"/>
      <c r="T71" s="7">
        <v>79.45</v>
      </c>
      <c r="U71" s="2"/>
      <c r="V71" s="6">
        <f t="shared" si="57"/>
        <v>1.7371724735674287E-3</v>
      </c>
      <c r="W71" s="2"/>
      <c r="X71" s="7">
        <f t="shared" si="58"/>
        <v>-2</v>
      </c>
      <c r="Y71" s="2"/>
      <c r="Z71" s="6">
        <f t="shared" si="59"/>
        <v>-2.5173064820641911E-2</v>
      </c>
    </row>
    <row r="72" spans="1:26" s="27" customFormat="1" outlineLevel="1" collapsed="1" x14ac:dyDescent="0.25">
      <c r="A72" s="28"/>
      <c r="B72" s="14" t="str">
        <f>CONCATENATE("     ","Utilities                                         ")</f>
        <v xml:space="preserve">     Utilities                                         </v>
      </c>
      <c r="C72" s="14"/>
      <c r="D72" s="1">
        <f>SUM(OSRRefD22_15x_0)</f>
        <v>0</v>
      </c>
      <c r="E72" s="1"/>
      <c r="F72" s="5">
        <f t="shared" si="52"/>
        <v>0</v>
      </c>
      <c r="G72" s="1"/>
      <c r="H72" s="1">
        <f>SUM(OSRRefH22_15x_0)</f>
        <v>869</v>
      </c>
      <c r="I72" s="1"/>
      <c r="J72" s="5">
        <f t="shared" si="53"/>
        <v>2.7305740395622159E-2</v>
      </c>
      <c r="K72" s="1"/>
      <c r="L72" s="1">
        <f t="shared" si="54"/>
        <v>-869</v>
      </c>
      <c r="M72" s="1"/>
      <c r="N72" s="5">
        <f t="shared" si="55"/>
        <v>-1</v>
      </c>
      <c r="O72" s="14"/>
      <c r="P72" s="1">
        <f>SUM(OSRRefP22_15x_0)</f>
        <v>771</v>
      </c>
      <c r="Q72" s="1"/>
      <c r="R72" s="5">
        <f t="shared" si="56"/>
        <v>1.6758075338307719E-2</v>
      </c>
      <c r="S72" s="1"/>
      <c r="T72" s="1">
        <f>SUM(OSRRefT22_15x_0)</f>
        <v>1738</v>
      </c>
      <c r="U72" s="1"/>
      <c r="V72" s="5">
        <f t="shared" si="57"/>
        <v>3.8001331139838779E-2</v>
      </c>
      <c r="W72" s="1"/>
      <c r="X72" s="1">
        <f t="shared" si="58"/>
        <v>-967</v>
      </c>
      <c r="Y72" s="1"/>
      <c r="Z72" s="5">
        <f t="shared" si="59"/>
        <v>-0.55638665132336018</v>
      </c>
    </row>
    <row r="73" spans="1:26" s="24" customFormat="1" hidden="1" outlineLevel="2" x14ac:dyDescent="0.25">
      <c r="A73" s="29"/>
      <c r="B73" s="11" t="str">
        <f>CONCATENATE("          ", "6274", " - ", "UTILITIES")</f>
        <v xml:space="preserve">          6274 - UTILITIES</v>
      </c>
      <c r="C73" s="11"/>
      <c r="D73" s="7"/>
      <c r="E73" s="2"/>
      <c r="F73" s="6">
        <f t="shared" si="52"/>
        <v>0</v>
      </c>
      <c r="G73" s="2"/>
      <c r="H73" s="7">
        <v>869</v>
      </c>
      <c r="I73" s="2"/>
      <c r="J73" s="6">
        <f t="shared" si="53"/>
        <v>2.7305740395622159E-2</v>
      </c>
      <c r="K73" s="2"/>
      <c r="L73" s="7">
        <f t="shared" si="54"/>
        <v>-869</v>
      </c>
      <c r="M73" s="2"/>
      <c r="N73" s="6">
        <f t="shared" si="55"/>
        <v>-1</v>
      </c>
      <c r="O73" s="11"/>
      <c r="P73" s="7">
        <v>771</v>
      </c>
      <c r="Q73" s="2"/>
      <c r="R73" s="6">
        <f t="shared" si="56"/>
        <v>1.6758075338307719E-2</v>
      </c>
      <c r="S73" s="2"/>
      <c r="T73" s="7">
        <v>1738</v>
      </c>
      <c r="U73" s="2"/>
      <c r="V73" s="6">
        <f t="shared" si="57"/>
        <v>3.8001331139838779E-2</v>
      </c>
      <c r="W73" s="2"/>
      <c r="X73" s="7">
        <f t="shared" si="58"/>
        <v>-967</v>
      </c>
      <c r="Y73" s="2"/>
      <c r="Z73" s="6">
        <f t="shared" si="59"/>
        <v>-0.55638665132336018</v>
      </c>
    </row>
    <row r="74" spans="1:26" s="62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5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6" t="s">
        <v>3</v>
      </c>
      <c r="C77" s="26"/>
      <c r="D77" s="20">
        <f>+D20-D22+D75</f>
        <v>-7605.5400000000045</v>
      </c>
      <c r="E77" s="13"/>
      <c r="F77" s="19">
        <f>IF(D$12=0,0,D77/D$12)</f>
        <v>-0.24132336716908934</v>
      </c>
      <c r="G77" s="13"/>
      <c r="H77" s="20">
        <f>+H20-H22+H75</f>
        <v>-9001.7199999999975</v>
      </c>
      <c r="I77" s="13"/>
      <c r="J77" s="19">
        <f>IF(H$12=0,0,H77/H$12)</f>
        <v>-0.28285227782978117</v>
      </c>
      <c r="K77" s="15"/>
      <c r="L77" s="20">
        <f>+D77-H77</f>
        <v>1396.179999999993</v>
      </c>
      <c r="M77" s="15"/>
      <c r="N77" s="19">
        <f>IF(H77=0,0,L77/H77)</f>
        <v>-0.15510146949693984</v>
      </c>
      <c r="O77" s="25"/>
      <c r="P77" s="20">
        <f>+P20-P22+P75</f>
        <v>-23574.339999999997</v>
      </c>
      <c r="Q77" s="13"/>
      <c r="R77" s="19">
        <f>IF(P$12=0,0,P77/P$12)</f>
        <v>-0.51240021500762789</v>
      </c>
      <c r="S77" s="13"/>
      <c r="T77" s="20">
        <f>+T20-T22+T75</f>
        <v>-25247.179999999993</v>
      </c>
      <c r="U77" s="13"/>
      <c r="V77" s="19">
        <f>IF(T$12=0,0,T77/T$12)</f>
        <v>-0.55202902619511773</v>
      </c>
      <c r="W77" s="15"/>
      <c r="X77" s="20">
        <f>+P77-T77</f>
        <v>1672.8399999999965</v>
      </c>
      <c r="Y77" s="15"/>
      <c r="Z77" s="19">
        <f>IF(T77=0,0,X77/T77)</f>
        <v>-6.6258489066897644E-2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2723.07</v>
      </c>
      <c r="E79" s="4"/>
      <c r="F79" s="12">
        <f>IF(D$12=0,0,D79/D$12)</f>
        <v>8.6402861787214541E-2</v>
      </c>
      <c r="G79" s="4"/>
      <c r="H79" s="4">
        <v>1813.53</v>
      </c>
      <c r="I79" s="4"/>
      <c r="J79" s="12">
        <f>IF(H$12=0,0,H79/H$12)</f>
        <v>5.6984786397782108E-2</v>
      </c>
      <c r="K79" s="4"/>
      <c r="L79" s="4">
        <f>+D79-H79</f>
        <v>909.54000000000019</v>
      </c>
      <c r="M79" s="4"/>
      <c r="N79" s="12">
        <f>IF(H79=0,0,L79/H79)</f>
        <v>0.50153016492696578</v>
      </c>
      <c r="O79" s="10"/>
      <c r="P79" s="4">
        <v>5736.32</v>
      </c>
      <c r="Q79" s="4"/>
      <c r="R79" s="12">
        <f>IF(P$12=0,0,P79/P$12)</f>
        <v>0.12468181935751145</v>
      </c>
      <c r="S79" s="4"/>
      <c r="T79" s="4">
        <v>4669.3500000000004</v>
      </c>
      <c r="U79" s="4"/>
      <c r="V79" s="12">
        <f>IF(T$12=0,0,T79/T$12)</f>
        <v>0.1020952333474144</v>
      </c>
      <c r="W79" s="4"/>
      <c r="X79" s="4">
        <f>+P79-T79</f>
        <v>1066.9699999999993</v>
      </c>
      <c r="Y79" s="4"/>
      <c r="Z79" s="12">
        <f>IF(T79=0,0,X79/T79)</f>
        <v>0.22850503817447809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4</v>
      </c>
      <c r="C81" s="26"/>
      <c r="D81" s="31">
        <f>+D77-D79</f>
        <v>-10328.610000000004</v>
      </c>
      <c r="E81" s="13"/>
      <c r="F81" s="36">
        <f>IF(D$12=0,0,D81/D$12)</f>
        <v>-0.32772622895630388</v>
      </c>
      <c r="G81" s="13"/>
      <c r="H81" s="31">
        <f>+H77-H79</f>
        <v>-10815.249999999998</v>
      </c>
      <c r="I81" s="13"/>
      <c r="J81" s="36">
        <f>IF(H$12=0,0,H81/H$12)</f>
        <v>-0.33983706422756332</v>
      </c>
      <c r="K81" s="15"/>
      <c r="L81" s="31">
        <f>D81-H81</f>
        <v>486.63999999999396</v>
      </c>
      <c r="M81" s="15"/>
      <c r="N81" s="36">
        <f>IF(H81=0,0,L81/H81)</f>
        <v>-4.4995723630983475E-2</v>
      </c>
      <c r="O81" s="25"/>
      <c r="P81" s="31">
        <f>+P77-P79</f>
        <v>-29310.659999999996</v>
      </c>
      <c r="Q81" s="13"/>
      <c r="R81" s="36">
        <f>IF(P$12=0,0,P81/P$12)</f>
        <v>-0.63708203436513944</v>
      </c>
      <c r="S81" s="13"/>
      <c r="T81" s="31">
        <f>+T77-T79</f>
        <v>-29916.529999999992</v>
      </c>
      <c r="U81" s="13"/>
      <c r="V81" s="36">
        <f>IF(T$12=0,0,T81/T$12)</f>
        <v>-0.65412425954253206</v>
      </c>
      <c r="W81" s="15"/>
      <c r="X81" s="31">
        <f>P81-T81</f>
        <v>605.86999999999534</v>
      </c>
      <c r="Y81" s="15"/>
      <c r="Z81" s="36">
        <f>IF(T81=0,0,X81/T81)</f>
        <v>-2.0252014521737499E-2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5</v>
      </c>
      <c r="C84" s="26"/>
      <c r="D84" s="32">
        <f>SUM(D81:D83)</f>
        <v>-10328.610000000004</v>
      </c>
      <c r="E84" s="13"/>
      <c r="F84" s="30">
        <f>IF(D$12=0,0,D84/D$12)</f>
        <v>-0.32772622895630388</v>
      </c>
      <c r="G84" s="13"/>
      <c r="H84" s="32">
        <f>SUM(H81:H83)</f>
        <v>-10815.249999999998</v>
      </c>
      <c r="I84" s="13"/>
      <c r="J84" s="30">
        <f>IF(H$12=0,0,H84/H$12)</f>
        <v>-0.33983706422756332</v>
      </c>
      <c r="K84" s="15"/>
      <c r="L84" s="32">
        <f>+D84-H84</f>
        <v>486.63999999999396</v>
      </c>
      <c r="M84" s="15"/>
      <c r="N84" s="30">
        <f>IF(H84=0,0,L84/H84)</f>
        <v>-4.4995723630983475E-2</v>
      </c>
      <c r="O84" s="25"/>
      <c r="P84" s="32">
        <f>SUM(P81:P83)</f>
        <v>-29310.659999999996</v>
      </c>
      <c r="Q84" s="13"/>
      <c r="R84" s="30">
        <f>IF(P$12=0,0,P84/P$12)</f>
        <v>-0.63708203436513944</v>
      </c>
      <c r="S84" s="13"/>
      <c r="T84" s="32">
        <f>SUM(T81:T83)</f>
        <v>-29916.529999999992</v>
      </c>
      <c r="U84" s="13"/>
      <c r="V84" s="30">
        <f>IF(T$12=0,0,T84/T$12)</f>
        <v>-0.65412425954253206</v>
      </c>
      <c r="W84" s="15"/>
      <c r="X84" s="32">
        <f>+P84-T84</f>
        <v>605.86999999999534</v>
      </c>
      <c r="Y84" s="15"/>
      <c r="Z84" s="30">
        <f>IF(T84=0,0,X84/T84)</f>
        <v>-2.0252014521737499E-2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7">
        <v>43732.70989204861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60" t="s">
        <v>313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6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","327", " - ", "C-Store Vending Machine(s)")</f>
        <v>Department 327 - C-Store Vending Machine(s)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227.5</v>
      </c>
      <c r="E12" s="4"/>
      <c r="F12" s="12"/>
      <c r="G12" s="4"/>
      <c r="H12" s="4">
        <f>SUM(OSRRefH13x_0)</f>
        <v>340.25</v>
      </c>
      <c r="I12" s="4"/>
      <c r="J12" s="12"/>
      <c r="K12" s="4"/>
      <c r="L12" s="4">
        <f t="shared" ref="L12:L13" si="0">+D12-H12</f>
        <v>-112.75</v>
      </c>
      <c r="M12" s="4"/>
      <c r="N12" s="12">
        <f t="shared" ref="N12:N13" si="1">IF(H12=0,0,L12/H12)</f>
        <v>-0.331373989713446</v>
      </c>
      <c r="O12" s="10"/>
      <c r="P12" s="4">
        <f>SUM(OSRRefP13x_0)</f>
        <v>464.5</v>
      </c>
      <c r="Q12" s="4"/>
      <c r="R12" s="12"/>
      <c r="S12" s="4"/>
      <c r="T12" s="4">
        <f>SUM(OSRRefT13x_0)</f>
        <v>500.5</v>
      </c>
      <c r="U12" s="4"/>
      <c r="V12" s="12"/>
      <c r="W12" s="4"/>
      <c r="X12" s="4">
        <f t="shared" ref="X12:X13" si="2">+P12-T12</f>
        <v>-36</v>
      </c>
      <c r="Y12" s="4"/>
      <c r="Z12" s="12">
        <f t="shared" ref="Z12:Z13" si="3">IF(T12=0,0,X12/T12)</f>
        <v>-7.1928071928071935E-2</v>
      </c>
    </row>
    <row r="13" spans="1:26" s="24" customFormat="1" hidden="1" outlineLevel="1" x14ac:dyDescent="0.25">
      <c r="A13" s="50"/>
      <c r="B13" s="11" t="str">
        <f>CONCATENATE("          ", "4153", " - ", "NON-TAXABLE SALES-FOOD")</f>
        <v xml:space="preserve">          4153 - NON-TAXABLE SALES-FOOD</v>
      </c>
      <c r="C13" s="11"/>
      <c r="D13" s="2">
        <f>--227.5</f>
        <v>227.5</v>
      </c>
      <c r="E13" s="2"/>
      <c r="F13" s="21"/>
      <c r="G13" s="2"/>
      <c r="H13" s="2">
        <f>--340.25</f>
        <v>340.25</v>
      </c>
      <c r="I13" s="2"/>
      <c r="J13" s="21"/>
      <c r="K13" s="2"/>
      <c r="L13" s="2">
        <f t="shared" si="0"/>
        <v>-112.75</v>
      </c>
      <c r="M13" s="2"/>
      <c r="N13" s="21">
        <f t="shared" si="1"/>
        <v>-0.331373989713446</v>
      </c>
      <c r="O13" s="11"/>
      <c r="P13" s="2">
        <f>--464.5</f>
        <v>464.5</v>
      </c>
      <c r="Q13" s="2"/>
      <c r="R13" s="21"/>
      <c r="S13" s="2"/>
      <c r="T13" s="2">
        <f>--500.5</f>
        <v>500.5</v>
      </c>
      <c r="U13" s="2"/>
      <c r="V13" s="21"/>
      <c r="W13" s="2"/>
      <c r="X13" s="2">
        <f t="shared" si="2"/>
        <v>-36</v>
      </c>
      <c r="Y13" s="2"/>
      <c r="Z13" s="21">
        <f t="shared" si="3"/>
        <v>-7.1928071928071935E-2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2739</v>
      </c>
      <c r="E15" s="4"/>
      <c r="F15" s="12">
        <f t="shared" ref="F15:F16" si="4">IF(D$12=0,0,D15/D$12)</f>
        <v>12.039560439560439</v>
      </c>
      <c r="G15" s="4"/>
      <c r="H15" s="4">
        <f>SUM(OSRRefH16x_0)</f>
        <v>174</v>
      </c>
      <c r="I15" s="4"/>
      <c r="J15" s="12">
        <f t="shared" ref="J15:J16" si="5">IF(H$12=0,0,H15/H$12)</f>
        <v>0.51138868479059518</v>
      </c>
      <c r="K15" s="4"/>
      <c r="L15" s="4">
        <f t="shared" ref="L15:L16" si="6">+D15-H15</f>
        <v>2565</v>
      </c>
      <c r="M15" s="4"/>
      <c r="N15" s="12">
        <f t="shared" ref="N15:N16" si="7">IF(H15=0,0,L15/H15)</f>
        <v>14.741379310344827</v>
      </c>
      <c r="O15" s="10"/>
      <c r="P15" s="4">
        <f>SUM(OSRRefP16x_0)</f>
        <v>488.96</v>
      </c>
      <c r="Q15" s="4"/>
      <c r="R15" s="12">
        <f t="shared" ref="R15:R16" si="8">IF(P$12=0,0,P15/P$12)</f>
        <v>1.0526587728740582</v>
      </c>
      <c r="S15" s="4"/>
      <c r="T15" s="4">
        <f>SUM(OSRRefT16x_0)</f>
        <v>277</v>
      </c>
      <c r="U15" s="4"/>
      <c r="V15" s="12">
        <f t="shared" ref="V15:V16" si="9">IF(T$12=0,0,T15/T$12)</f>
        <v>0.55344655344655347</v>
      </c>
      <c r="W15" s="4"/>
      <c r="X15" s="4">
        <f t="shared" ref="X15:X16" si="10">+P15-T15</f>
        <v>211.95999999999998</v>
      </c>
      <c r="Y15" s="4"/>
      <c r="Z15" s="12">
        <f t="shared" ref="Z15:Z16" si="11">IF(T15=0,0,X15/T15)</f>
        <v>0.76519855595667863</v>
      </c>
    </row>
    <row r="16" spans="1:26" s="24" customFormat="1" hidden="1" outlineLevel="1" x14ac:dyDescent="0.25">
      <c r="A16" s="50"/>
      <c r="B16" s="11" t="str">
        <f>CONCATENATE("          ", "5059", " - ", "PURCHASES @ COST-FOOD")</f>
        <v xml:space="preserve">          5059 - PURCHASES @ COST-FOOD</v>
      </c>
      <c r="C16" s="11"/>
      <c r="D16" s="2">
        <v>2739</v>
      </c>
      <c r="E16" s="2"/>
      <c r="F16" s="21">
        <f t="shared" si="4"/>
        <v>12.039560439560439</v>
      </c>
      <c r="G16" s="2"/>
      <c r="H16" s="2">
        <v>174</v>
      </c>
      <c r="I16" s="2"/>
      <c r="J16" s="21">
        <f t="shared" si="5"/>
        <v>0.51138868479059518</v>
      </c>
      <c r="K16" s="2"/>
      <c r="L16" s="2">
        <f t="shared" si="6"/>
        <v>2565</v>
      </c>
      <c r="M16" s="2"/>
      <c r="N16" s="21">
        <f t="shared" si="7"/>
        <v>14.741379310344827</v>
      </c>
      <c r="O16" s="11"/>
      <c r="P16" s="2">
        <v>488.96</v>
      </c>
      <c r="Q16" s="2"/>
      <c r="R16" s="21">
        <f t="shared" si="8"/>
        <v>1.0526587728740582</v>
      </c>
      <c r="S16" s="2"/>
      <c r="T16" s="2">
        <v>277</v>
      </c>
      <c r="U16" s="2"/>
      <c r="V16" s="21">
        <f t="shared" si="9"/>
        <v>0.55344655344655347</v>
      </c>
      <c r="W16" s="2"/>
      <c r="X16" s="2">
        <f t="shared" si="10"/>
        <v>211.95999999999998</v>
      </c>
      <c r="Y16" s="2"/>
      <c r="Z16" s="21">
        <f t="shared" si="11"/>
        <v>0.76519855595667863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>
        <f>D12-D15</f>
        <v>-2511.5</v>
      </c>
      <c r="E18" s="13"/>
      <c r="F18" s="19">
        <f>IF(D$12=0,0,D18/D$12)</f>
        <v>-11.039560439560439</v>
      </c>
      <c r="G18" s="13"/>
      <c r="H18" s="20">
        <f>H12-H15</f>
        <v>166.25</v>
      </c>
      <c r="I18" s="13"/>
      <c r="J18" s="19">
        <f>IF(H$12=0,0,H18/H$12)</f>
        <v>0.48861131520940487</v>
      </c>
      <c r="K18" s="15"/>
      <c r="L18" s="20">
        <f>+D18-H18</f>
        <v>-2677.75</v>
      </c>
      <c r="M18" s="15"/>
      <c r="N18" s="19">
        <f>IF(H18=0,0,L18/H18)</f>
        <v>-16.106766917293232</v>
      </c>
      <c r="O18" s="25"/>
      <c r="P18" s="20">
        <f>P12-P15</f>
        <v>-24.45999999999998</v>
      </c>
      <c r="Q18" s="13"/>
      <c r="R18" s="19">
        <f>IF(P$12=0,0,P18/P$12)</f>
        <v>-5.2658772874058082E-2</v>
      </c>
      <c r="S18" s="13"/>
      <c r="T18" s="20">
        <f>T12-T15</f>
        <v>223.5</v>
      </c>
      <c r="U18" s="13"/>
      <c r="V18" s="19">
        <f>IF(T$12=0,0,T18/T$12)</f>
        <v>0.44655344655344653</v>
      </c>
      <c r="W18" s="15"/>
      <c r="X18" s="20">
        <f>+P18-T18</f>
        <v>-247.95999999999998</v>
      </c>
      <c r="Y18" s="15"/>
      <c r="Z18" s="19">
        <f>IF(T18=0,0,X18/T18)</f>
        <v>-1.1094407158836688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>
        <f>SUM(OSRRefD22x_0)</f>
        <v>53.89</v>
      </c>
      <c r="E20" s="22"/>
      <c r="F20" s="33">
        <f t="shared" ref="F20:F24" si="12">IF(D$12=0,0,D20/D$12)</f>
        <v>0.23687912087912089</v>
      </c>
      <c r="G20" s="22"/>
      <c r="H20" s="22">
        <f>SUM(OSRRefH22x_0)</f>
        <v>5328.55</v>
      </c>
      <c r="I20" s="22"/>
      <c r="J20" s="33">
        <f t="shared" ref="J20:J24" si="13">IF(H$12=0,0,H20/H$12)</f>
        <v>15.66069066862601</v>
      </c>
      <c r="K20" s="4"/>
      <c r="L20" s="22">
        <f t="shared" ref="L20:L24" si="14">+D20-H20</f>
        <v>-5274.66</v>
      </c>
      <c r="M20" s="4"/>
      <c r="N20" s="33">
        <f t="shared" ref="N20:N24" si="15">IF(H20=0,0,L20/H20)</f>
        <v>-0.98988655450357033</v>
      </c>
      <c r="O20" s="10"/>
      <c r="P20" s="22">
        <f>SUM(OSRRefP22x_0)</f>
        <v>107.85</v>
      </c>
      <c r="Q20" s="22"/>
      <c r="R20" s="33">
        <f t="shared" ref="R20:R24" si="16">IF(P$12=0,0,P20/P$12)</f>
        <v>0.23218514531754575</v>
      </c>
      <c r="S20" s="22"/>
      <c r="T20" s="22">
        <f>SUM(OSRRefT22x_0)</f>
        <v>5374.7699999999995</v>
      </c>
      <c r="U20" s="22"/>
      <c r="V20" s="33">
        <f t="shared" ref="V20:V24" si="17">IF(T$12=0,0,T20/T$12)</f>
        <v>10.738801198801198</v>
      </c>
      <c r="W20" s="4"/>
      <c r="X20" s="22">
        <f t="shared" ref="X20:X24" si="18">+P20-T20</f>
        <v>-5266.9199999999992</v>
      </c>
      <c r="Y20" s="4"/>
      <c r="Z20" s="33">
        <f t="shared" ref="Z20:Z24" si="19">IF(T20=0,0,X20/T20)</f>
        <v>-0.97993402508386396</v>
      </c>
    </row>
    <row r="21" spans="1:26" s="27" customFormat="1" outlineLevel="1" collapsed="1" x14ac:dyDescent="0.25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53.89</v>
      </c>
      <c r="E21" s="1"/>
      <c r="F21" s="5">
        <f t="shared" si="12"/>
        <v>0.23687912087912089</v>
      </c>
      <c r="G21" s="1"/>
      <c r="H21" s="1">
        <f>SUM(OSRRefH22_0x_0)</f>
        <v>35.6</v>
      </c>
      <c r="I21" s="1"/>
      <c r="J21" s="5">
        <f t="shared" si="13"/>
        <v>0.10462894930198384</v>
      </c>
      <c r="K21" s="1"/>
      <c r="L21" s="1">
        <f t="shared" si="14"/>
        <v>18.29</v>
      </c>
      <c r="M21" s="1"/>
      <c r="N21" s="5">
        <f t="shared" si="15"/>
        <v>0.51376404494382022</v>
      </c>
      <c r="O21" s="14"/>
      <c r="P21" s="1">
        <f>SUM(OSRRefP22_0x_0)</f>
        <v>107.85</v>
      </c>
      <c r="Q21" s="1"/>
      <c r="R21" s="5">
        <f t="shared" si="16"/>
        <v>0.23218514531754575</v>
      </c>
      <c r="S21" s="1"/>
      <c r="T21" s="1">
        <f>SUM(OSRRefT22_0x_0)</f>
        <v>81.819999999999993</v>
      </c>
      <c r="U21" s="1"/>
      <c r="V21" s="5">
        <f t="shared" si="17"/>
        <v>0.16347652347652347</v>
      </c>
      <c r="W21" s="1"/>
      <c r="X21" s="1">
        <f t="shared" si="18"/>
        <v>26.03</v>
      </c>
      <c r="Y21" s="1"/>
      <c r="Z21" s="5">
        <f t="shared" si="19"/>
        <v>0.31813737472500614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7">
        <v>53.89</v>
      </c>
      <c r="E22" s="2"/>
      <c r="F22" s="6">
        <f t="shared" si="12"/>
        <v>0.23687912087912089</v>
      </c>
      <c r="G22" s="2"/>
      <c r="H22" s="7">
        <v>35.6</v>
      </c>
      <c r="I22" s="2"/>
      <c r="J22" s="6">
        <f t="shared" si="13"/>
        <v>0.10462894930198384</v>
      </c>
      <c r="K22" s="2"/>
      <c r="L22" s="7">
        <f t="shared" si="14"/>
        <v>18.29</v>
      </c>
      <c r="M22" s="2"/>
      <c r="N22" s="6">
        <f t="shared" si="15"/>
        <v>0.51376404494382022</v>
      </c>
      <c r="O22" s="11"/>
      <c r="P22" s="7">
        <v>107.85</v>
      </c>
      <c r="Q22" s="2"/>
      <c r="R22" s="6">
        <f t="shared" si="16"/>
        <v>0.23218514531754575</v>
      </c>
      <c r="S22" s="2"/>
      <c r="T22" s="7">
        <v>81.819999999999993</v>
      </c>
      <c r="U22" s="2"/>
      <c r="V22" s="6">
        <f t="shared" si="17"/>
        <v>0.16347652347652347</v>
      </c>
      <c r="W22" s="2"/>
      <c r="X22" s="7">
        <f t="shared" si="18"/>
        <v>26.03</v>
      </c>
      <c r="Y22" s="2"/>
      <c r="Z22" s="6">
        <f t="shared" si="19"/>
        <v>0.31813737472500614</v>
      </c>
    </row>
    <row r="23" spans="1:26" s="27" customFormat="1" outlineLevel="1" collapsed="1" x14ac:dyDescent="0.25">
      <c r="A23" s="28"/>
      <c r="B23" s="14" t="str">
        <f>CONCATENATE("     ","Supplies                                          ")</f>
        <v xml:space="preserve">     Supplies                                          </v>
      </c>
      <c r="C23" s="14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5292.95</v>
      </c>
      <c r="I23" s="1"/>
      <c r="J23" s="5">
        <f t="shared" si="13"/>
        <v>15.556061719324026</v>
      </c>
      <c r="K23" s="1"/>
      <c r="L23" s="1">
        <f t="shared" si="14"/>
        <v>-5292.95</v>
      </c>
      <c r="M23" s="1"/>
      <c r="N23" s="5">
        <f t="shared" si="15"/>
        <v>-1</v>
      </c>
      <c r="O23" s="14"/>
      <c r="P23" s="1">
        <f>SUM(OSRRefP22_1x_0)</f>
        <v>0</v>
      </c>
      <c r="Q23" s="1"/>
      <c r="R23" s="5">
        <f t="shared" si="16"/>
        <v>0</v>
      </c>
      <c r="S23" s="1"/>
      <c r="T23" s="1">
        <f>SUM(OSRRefT22_1x_0)</f>
        <v>5292.95</v>
      </c>
      <c r="U23" s="1"/>
      <c r="V23" s="5">
        <f t="shared" si="17"/>
        <v>10.575324675324675</v>
      </c>
      <c r="W23" s="1"/>
      <c r="X23" s="1">
        <f t="shared" si="18"/>
        <v>-5292.95</v>
      </c>
      <c r="Y23" s="1"/>
      <c r="Z23" s="5">
        <f t="shared" si="19"/>
        <v>-1</v>
      </c>
    </row>
    <row r="24" spans="1:26" s="24" customFormat="1" hidden="1" outlineLevel="2" x14ac:dyDescent="0.25">
      <c r="A24" s="29"/>
      <c r="B24" s="11" t="str">
        <f>CONCATENATE("          ", "6247", " - ", "STORE SUPPLIES")</f>
        <v xml:space="preserve">          6247 - STORE SUPPLIES</v>
      </c>
      <c r="C24" s="11"/>
      <c r="D24" s="7"/>
      <c r="E24" s="2"/>
      <c r="F24" s="6">
        <f t="shared" si="12"/>
        <v>0</v>
      </c>
      <c r="G24" s="2"/>
      <c r="H24" s="7">
        <v>5292.95</v>
      </c>
      <c r="I24" s="2"/>
      <c r="J24" s="6">
        <f t="shared" si="13"/>
        <v>15.556061719324026</v>
      </c>
      <c r="K24" s="2"/>
      <c r="L24" s="7">
        <f t="shared" si="14"/>
        <v>-5292.95</v>
      </c>
      <c r="M24" s="2"/>
      <c r="N24" s="6">
        <f t="shared" si="15"/>
        <v>-1</v>
      </c>
      <c r="O24" s="11"/>
      <c r="P24" s="7"/>
      <c r="Q24" s="2"/>
      <c r="R24" s="6">
        <f t="shared" si="16"/>
        <v>0</v>
      </c>
      <c r="S24" s="2"/>
      <c r="T24" s="7">
        <v>5292.95</v>
      </c>
      <c r="U24" s="2"/>
      <c r="V24" s="6">
        <f t="shared" si="17"/>
        <v>10.575324675324675</v>
      </c>
      <c r="W24" s="2"/>
      <c r="X24" s="7">
        <f t="shared" si="18"/>
        <v>-5292.95</v>
      </c>
      <c r="Y24" s="2"/>
      <c r="Z24" s="6">
        <f t="shared" si="19"/>
        <v>-1</v>
      </c>
    </row>
    <row r="25" spans="1:26" s="62" customFormat="1" x14ac:dyDescent="0.25">
      <c r="A25" s="37"/>
      <c r="B25" s="37"/>
      <c r="C25" s="37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3</v>
      </c>
      <c r="C28" s="26"/>
      <c r="D28" s="20">
        <f>+D18-D20+D26</f>
        <v>-2565.39</v>
      </c>
      <c r="E28" s="13"/>
      <c r="F28" s="19">
        <f>IF(D$12=0,0,D28/D$12)</f>
        <v>-11.27643956043956</v>
      </c>
      <c r="G28" s="13"/>
      <c r="H28" s="20">
        <f>+H18-H20+H26</f>
        <v>-5162.3</v>
      </c>
      <c r="I28" s="13"/>
      <c r="J28" s="19">
        <f>IF(H$12=0,0,H28/H$12)</f>
        <v>-15.172079353416606</v>
      </c>
      <c r="K28" s="15"/>
      <c r="L28" s="20">
        <f>+D28-H28</f>
        <v>2596.9100000000003</v>
      </c>
      <c r="M28" s="15"/>
      <c r="N28" s="19">
        <f>IF(H28=0,0,L28/H28)</f>
        <v>-0.50305290277589454</v>
      </c>
      <c r="O28" s="25"/>
      <c r="P28" s="20">
        <f>+P18-P20+P26</f>
        <v>-132.30999999999997</v>
      </c>
      <c r="Q28" s="13"/>
      <c r="R28" s="19">
        <f>IF(P$12=0,0,P28/P$12)</f>
        <v>-0.28484391819160382</v>
      </c>
      <c r="S28" s="13"/>
      <c r="T28" s="20">
        <f>+T18-T20+T26</f>
        <v>-5151.2699999999995</v>
      </c>
      <c r="U28" s="13"/>
      <c r="V28" s="19">
        <f>IF(T$12=0,0,T28/T$12)</f>
        <v>-10.292247752247752</v>
      </c>
      <c r="W28" s="15"/>
      <c r="X28" s="20">
        <f>+P28-T28</f>
        <v>5018.9599999999991</v>
      </c>
      <c r="Y28" s="15"/>
      <c r="Z28" s="19">
        <f>IF(T28=0,0,X28/T28)</f>
        <v>-0.97431507181724109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1"/>
      <c r="B30" s="10" t="s">
        <v>13</v>
      </c>
      <c r="C30" s="10"/>
      <c r="D30" s="4">
        <v>8.6300000000000008</v>
      </c>
      <c r="E30" s="4"/>
      <c r="F30" s="12">
        <f>IF(D$12=0,0,D30/D$12)</f>
        <v>3.7934065934065939E-2</v>
      </c>
      <c r="G30" s="4"/>
      <c r="H30" s="4">
        <v>18.2</v>
      </c>
      <c r="I30" s="4"/>
      <c r="J30" s="12">
        <f>IF(H$12=0,0,H30/H$12)</f>
        <v>5.3490080822924321E-2</v>
      </c>
      <c r="K30" s="4"/>
      <c r="L30" s="4">
        <f>+D30-H30</f>
        <v>-9.5699999999999985</v>
      </c>
      <c r="M30" s="4"/>
      <c r="N30" s="12">
        <f>IF(H30=0,0,L30/H30)</f>
        <v>-0.52582417582417573</v>
      </c>
      <c r="O30" s="10"/>
      <c r="P30" s="4">
        <v>57.91</v>
      </c>
      <c r="Q30" s="4"/>
      <c r="R30" s="12">
        <f>IF(P$12=0,0,P30/P$12)</f>
        <v>0.12467168998923572</v>
      </c>
      <c r="S30" s="4"/>
      <c r="T30" s="4">
        <v>51.1</v>
      </c>
      <c r="U30" s="4"/>
      <c r="V30" s="12">
        <f>IF(T$12=0,0,T30/T$12)</f>
        <v>0.10209790209790211</v>
      </c>
      <c r="W30" s="4"/>
      <c r="X30" s="4">
        <f>+P30-T30</f>
        <v>6.8099999999999952</v>
      </c>
      <c r="Y30" s="4"/>
      <c r="Z30" s="12">
        <f>IF(T30=0,0,X30/T30)</f>
        <v>0.13326810176125234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6" t="s">
        <v>4</v>
      </c>
      <c r="C32" s="26"/>
      <c r="D32" s="31">
        <f>+D28-D30</f>
        <v>-2574.02</v>
      </c>
      <c r="E32" s="13"/>
      <c r="F32" s="36">
        <f>IF(D$12=0,0,D32/D$12)</f>
        <v>-11.314373626373627</v>
      </c>
      <c r="G32" s="13"/>
      <c r="H32" s="31">
        <f>+H28-H30</f>
        <v>-5180.5</v>
      </c>
      <c r="I32" s="13"/>
      <c r="J32" s="36">
        <f>IF(H$12=0,0,H32/H$12)</f>
        <v>-15.22556943423953</v>
      </c>
      <c r="K32" s="15"/>
      <c r="L32" s="31">
        <f>D32-H32</f>
        <v>2606.48</v>
      </c>
      <c r="M32" s="15"/>
      <c r="N32" s="36">
        <f>IF(H32=0,0,L32/H32)</f>
        <v>-0.50313290222951457</v>
      </c>
      <c r="O32" s="25"/>
      <c r="P32" s="31">
        <f>+P28-P30</f>
        <v>-190.21999999999997</v>
      </c>
      <c r="Q32" s="13"/>
      <c r="R32" s="36">
        <f>IF(P$12=0,0,P32/P$12)</f>
        <v>-0.40951560818083954</v>
      </c>
      <c r="S32" s="13"/>
      <c r="T32" s="31">
        <f>+T28-T30</f>
        <v>-5202.37</v>
      </c>
      <c r="U32" s="13"/>
      <c r="V32" s="36">
        <f>IF(T$12=0,0,T32/T$12)</f>
        <v>-10.394345654345654</v>
      </c>
      <c r="W32" s="15"/>
      <c r="X32" s="31">
        <f>P32-T32</f>
        <v>5012.1499999999996</v>
      </c>
      <c r="Y32" s="15"/>
      <c r="Z32" s="36">
        <f>IF(T32=0,0,X32/T32)</f>
        <v>-0.9634358955629837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5</v>
      </c>
      <c r="C35" s="26"/>
      <c r="D35" s="32">
        <f>SUM(D32:D34)</f>
        <v>-2574.02</v>
      </c>
      <c r="E35" s="13"/>
      <c r="F35" s="30">
        <f>IF(D$12=0,0,D35/D$12)</f>
        <v>-11.314373626373627</v>
      </c>
      <c r="G35" s="13"/>
      <c r="H35" s="32">
        <f>SUM(H32:H34)</f>
        <v>-5180.5</v>
      </c>
      <c r="I35" s="13"/>
      <c r="J35" s="30">
        <f>IF(H$12=0,0,H35/H$12)</f>
        <v>-15.22556943423953</v>
      </c>
      <c r="K35" s="15"/>
      <c r="L35" s="32">
        <f>+D35-H35</f>
        <v>2606.48</v>
      </c>
      <c r="M35" s="15"/>
      <c r="N35" s="30">
        <f>IF(H35=0,0,L35/H35)</f>
        <v>-0.50313290222951457</v>
      </c>
      <c r="O35" s="25"/>
      <c r="P35" s="32">
        <f>SUM(P32:P34)</f>
        <v>-190.21999999999997</v>
      </c>
      <c r="Q35" s="13"/>
      <c r="R35" s="30">
        <f>IF(P$12=0,0,P35/P$12)</f>
        <v>-0.40951560818083954</v>
      </c>
      <c r="S35" s="13"/>
      <c r="T35" s="32">
        <f>SUM(T32:T34)</f>
        <v>-5202.37</v>
      </c>
      <c r="U35" s="13"/>
      <c r="V35" s="30">
        <f>IF(T$12=0,0,T35/T$12)</f>
        <v>-10.394345654345654</v>
      </c>
      <c r="W35" s="15"/>
      <c r="X35" s="32">
        <f>+P35-T35</f>
        <v>5012.1499999999996</v>
      </c>
      <c r="Y35" s="15"/>
      <c r="Z35" s="30">
        <f>IF(T35=0,0,X35/T35)</f>
        <v>-0.9634358955629837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57">
        <v>43732.709928009259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s">
        <v>313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6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2"/>
  <sheetViews>
    <sheetView zoomScale="80" workbookViewId="0">
      <pane xSplit="3" ySplit="10" topLeftCell="D33" activePane="bottomRight" state="frozen"/>
      <selection activeCell="D11" sqref="D11"/>
      <selection pane="topRight" activeCell="D11" sqref="D11"/>
      <selection pane="bottomLeft" activeCell="D11" sqref="D11"/>
      <selection pane="bottomRight" activeCell="AJ57" sqref="AJ57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854081.4</v>
      </c>
      <c r="E12" s="4"/>
      <c r="F12" s="12"/>
      <c r="G12" s="4"/>
      <c r="H12" s="4">
        <f>SUM(OSRRefH13x_0)</f>
        <v>816102.77</v>
      </c>
      <c r="I12" s="4"/>
      <c r="J12" s="12"/>
      <c r="K12" s="4"/>
      <c r="L12" s="4">
        <f t="shared" ref="L12:L24" si="0">+D12-H12</f>
        <v>37978.630000000005</v>
      </c>
      <c r="M12" s="4"/>
      <c r="N12" s="12">
        <f t="shared" ref="N12:N24" si="1">IF(H12=0,0,L12/H12)</f>
        <v>4.6536577740080458E-2</v>
      </c>
      <c r="O12" s="10"/>
      <c r="P12" s="4">
        <f>SUM(OSRRefP13x_0)</f>
        <v>1542981.09</v>
      </c>
      <c r="Q12" s="4"/>
      <c r="R12" s="12"/>
      <c r="S12" s="4"/>
      <c r="T12" s="4">
        <f>SUM(OSRRefT13x_0)</f>
        <v>1547832.55</v>
      </c>
      <c r="U12" s="4"/>
      <c r="V12" s="12"/>
      <c r="W12" s="4"/>
      <c r="X12" s="4">
        <f t="shared" ref="X12:X24" si="2">+P12-T12</f>
        <v>-4851.4599999999627</v>
      </c>
      <c r="Y12" s="4"/>
      <c r="Z12" s="12">
        <f t="shared" ref="Z12:Z24" si="3">IF(T12=0,0,X12/T12)</f>
        <v>-3.1343571370171549E-3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--34317.05</f>
        <v>34317.050000000003</v>
      </c>
      <c r="E13" s="2"/>
      <c r="F13" s="21"/>
      <c r="G13" s="2"/>
      <c r="H13" s="2">
        <f>--34956.57</f>
        <v>34956.57</v>
      </c>
      <c r="I13" s="2"/>
      <c r="J13" s="21"/>
      <c r="K13" s="2"/>
      <c r="L13" s="2">
        <f t="shared" si="0"/>
        <v>-639.5199999999968</v>
      </c>
      <c r="M13" s="2"/>
      <c r="N13" s="21">
        <f t="shared" si="1"/>
        <v>-1.8294701110549372E-2</v>
      </c>
      <c r="O13" s="11"/>
      <c r="P13" s="2">
        <f>--53195.75</f>
        <v>53195.75</v>
      </c>
      <c r="Q13" s="2"/>
      <c r="R13" s="21"/>
      <c r="S13" s="2"/>
      <c r="T13" s="2">
        <f>--55282.13</f>
        <v>55282.13</v>
      </c>
      <c r="U13" s="2"/>
      <c r="V13" s="21"/>
      <c r="W13" s="2"/>
      <c r="X13" s="2">
        <f t="shared" si="2"/>
        <v>-2086.3799999999974</v>
      </c>
      <c r="Y13" s="2"/>
      <c r="Z13" s="21">
        <f t="shared" si="3"/>
        <v>-3.7740586334137224E-2</v>
      </c>
    </row>
    <row r="14" spans="1:26" s="24" customFormat="1" hidden="1" outlineLevel="1" x14ac:dyDescent="0.25">
      <c r="A14" s="50"/>
      <c r="B14" s="11" t="str">
        <f>CONCATENATE("          ", "4052", " - ", "TAXABLE SALES-FOOD")</f>
        <v xml:space="preserve">          4052 - TAXABLE SALES-FOOD</v>
      </c>
      <c r="C14" s="11"/>
      <c r="D14" s="2">
        <f>--95751.36</f>
        <v>95751.360000000001</v>
      </c>
      <c r="E14" s="2"/>
      <c r="F14" s="21"/>
      <c r="G14" s="2"/>
      <c r="H14" s="2">
        <f>--90194.84</f>
        <v>90194.84</v>
      </c>
      <c r="I14" s="2"/>
      <c r="J14" s="21"/>
      <c r="K14" s="2"/>
      <c r="L14" s="2">
        <f t="shared" si="0"/>
        <v>5556.5200000000041</v>
      </c>
      <c r="M14" s="2"/>
      <c r="N14" s="21">
        <f t="shared" si="1"/>
        <v>6.1605741525790216E-2</v>
      </c>
      <c r="O14" s="11"/>
      <c r="P14" s="2">
        <f>--139530.2</f>
        <v>139530.20000000001</v>
      </c>
      <c r="Q14" s="2"/>
      <c r="R14" s="21"/>
      <c r="S14" s="2"/>
      <c r="T14" s="2">
        <f>--189834.62</f>
        <v>189834.62</v>
      </c>
      <c r="U14" s="2"/>
      <c r="V14" s="21"/>
      <c r="W14" s="2"/>
      <c r="X14" s="2">
        <f t="shared" si="2"/>
        <v>-50304.419999999984</v>
      </c>
      <c r="Y14" s="2"/>
      <c r="Z14" s="21">
        <f t="shared" si="3"/>
        <v>-0.26499075879836875</v>
      </c>
    </row>
    <row r="15" spans="1:26" s="24" customFormat="1" hidden="1" outlineLevel="1" x14ac:dyDescent="0.25">
      <c r="A15" s="50"/>
      <c r="B15" s="11" t="str">
        <f>CONCATENATE("          ", "4053", " - ", "TAXABLE SALES-FOOD")</f>
        <v xml:space="preserve">          4053 - TAXABLE SALES-FOOD</v>
      </c>
      <c r="C15" s="11"/>
      <c r="D15" s="2">
        <f>--20205.92</f>
        <v>20205.919999999998</v>
      </c>
      <c r="E15" s="2"/>
      <c r="F15" s="21"/>
      <c r="G15" s="2"/>
      <c r="H15" s="2">
        <f>--21638.18</f>
        <v>21638.18</v>
      </c>
      <c r="I15" s="2"/>
      <c r="J15" s="21"/>
      <c r="K15" s="2"/>
      <c r="L15" s="2">
        <f t="shared" si="0"/>
        <v>-1432.260000000002</v>
      </c>
      <c r="M15" s="2"/>
      <c r="N15" s="21">
        <f t="shared" si="1"/>
        <v>-6.6191334021622986E-2</v>
      </c>
      <c r="O15" s="11"/>
      <c r="P15" s="2">
        <f>--46281.13</f>
        <v>46281.13</v>
      </c>
      <c r="Q15" s="2"/>
      <c r="R15" s="21"/>
      <c r="S15" s="2"/>
      <c r="T15" s="2">
        <f>--35664.88</f>
        <v>35664.879999999997</v>
      </c>
      <c r="U15" s="2"/>
      <c r="V15" s="21"/>
      <c r="W15" s="2"/>
      <c r="X15" s="2">
        <f t="shared" si="2"/>
        <v>10616.25</v>
      </c>
      <c r="Y15" s="2"/>
      <c r="Z15" s="21">
        <f t="shared" si="3"/>
        <v>0.29766678031721966</v>
      </c>
    </row>
    <row r="16" spans="1:26" s="24" customFormat="1" hidden="1" outlineLevel="1" x14ac:dyDescent="0.25">
      <c r="A16" s="50"/>
      <c r="B16" s="11" t="str">
        <f>CONCATENATE("          ", "4055", " - ", "TAXABLE SALES-FOOD")</f>
        <v xml:space="preserve">          4055 - TAXABLE SALES-FOOD</v>
      </c>
      <c r="C16" s="11"/>
      <c r="D16" s="2">
        <f>--29739.09</f>
        <v>29739.09</v>
      </c>
      <c r="E16" s="2"/>
      <c r="F16" s="21"/>
      <c r="G16" s="2"/>
      <c r="H16" s="2">
        <f>--32104.59</f>
        <v>32104.59</v>
      </c>
      <c r="I16" s="2"/>
      <c r="J16" s="21"/>
      <c r="K16" s="2"/>
      <c r="L16" s="2">
        <f t="shared" si="0"/>
        <v>-2365.5</v>
      </c>
      <c r="M16" s="2"/>
      <c r="N16" s="21">
        <f t="shared" si="1"/>
        <v>-7.368105308306383E-2</v>
      </c>
      <c r="O16" s="11"/>
      <c r="P16" s="2">
        <f>--43982.72</f>
        <v>43982.720000000001</v>
      </c>
      <c r="Q16" s="2"/>
      <c r="R16" s="21"/>
      <c r="S16" s="2"/>
      <c r="T16" s="2">
        <f>--50200.41</f>
        <v>50200.41</v>
      </c>
      <c r="U16" s="2"/>
      <c r="V16" s="21"/>
      <c r="W16" s="2"/>
      <c r="X16" s="2">
        <f t="shared" si="2"/>
        <v>-6217.6900000000023</v>
      </c>
      <c r="Y16" s="2"/>
      <c r="Z16" s="21">
        <f t="shared" si="3"/>
        <v>-0.12385735494988989</v>
      </c>
    </row>
    <row r="17" spans="1:26" s="24" customFormat="1" hidden="1" outlineLevel="1" x14ac:dyDescent="0.25">
      <c r="A17" s="50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21"/>
      <c r="G17" s="2"/>
      <c r="H17" s="2">
        <f>--11506.08</f>
        <v>11506.08</v>
      </c>
      <c r="I17" s="2"/>
      <c r="J17" s="21"/>
      <c r="K17" s="2"/>
      <c r="L17" s="2">
        <f t="shared" si="0"/>
        <v>-11506.08</v>
      </c>
      <c r="M17" s="2"/>
      <c r="N17" s="21">
        <f t="shared" si="1"/>
        <v>-1</v>
      </c>
      <c r="O17" s="11"/>
      <c r="P17" s="2">
        <f>0</f>
        <v>0</v>
      </c>
      <c r="Q17" s="2"/>
      <c r="R17" s="21"/>
      <c r="S17" s="2"/>
      <c r="T17" s="2">
        <f>--11506.08</f>
        <v>11506.08</v>
      </c>
      <c r="U17" s="2"/>
      <c r="V17" s="21"/>
      <c r="W17" s="2"/>
      <c r="X17" s="2">
        <f t="shared" si="2"/>
        <v>-11506.08</v>
      </c>
      <c r="Y17" s="2"/>
      <c r="Z17" s="21">
        <f t="shared" si="3"/>
        <v>-1</v>
      </c>
    </row>
    <row r="18" spans="1:26" s="24" customFormat="1" hidden="1" outlineLevel="1" x14ac:dyDescent="0.25">
      <c r="A18" s="50"/>
      <c r="B18" s="11" t="str">
        <f>CONCATENATE("          ", "4058", " - ", "TAXABLE SALES-FOOD")</f>
        <v xml:space="preserve">          4058 - TAXABLE SALES-FOOD</v>
      </c>
      <c r="C18" s="11"/>
      <c r="D18" s="2">
        <f>--9436.48</f>
        <v>9436.48</v>
      </c>
      <c r="E18" s="2"/>
      <c r="F18" s="21"/>
      <c r="G18" s="2"/>
      <c r="H18" s="2">
        <f>--13188.27</f>
        <v>13188.27</v>
      </c>
      <c r="I18" s="2"/>
      <c r="J18" s="21"/>
      <c r="K18" s="2"/>
      <c r="L18" s="2">
        <f t="shared" si="0"/>
        <v>-3751.7900000000009</v>
      </c>
      <c r="M18" s="2"/>
      <c r="N18" s="21">
        <f t="shared" si="1"/>
        <v>-0.28447931381447306</v>
      </c>
      <c r="O18" s="11"/>
      <c r="P18" s="2">
        <f>--17838.14</f>
        <v>17838.14</v>
      </c>
      <c r="Q18" s="2"/>
      <c r="R18" s="21"/>
      <c r="S18" s="2"/>
      <c r="T18" s="2">
        <f>--28372.29</f>
        <v>28372.29</v>
      </c>
      <c r="U18" s="2"/>
      <c r="V18" s="21"/>
      <c r="W18" s="2"/>
      <c r="X18" s="2">
        <f t="shared" si="2"/>
        <v>-10534.150000000001</v>
      </c>
      <c r="Y18" s="2"/>
      <c r="Z18" s="21">
        <f t="shared" si="3"/>
        <v>-0.37128303707596394</v>
      </c>
    </row>
    <row r="19" spans="1:26" s="24" customFormat="1" hidden="1" outlineLevel="1" x14ac:dyDescent="0.25">
      <c r="A19" s="50"/>
      <c r="B19" s="11" t="str">
        <f>CONCATENATE("          ", "4151", " - ", "NON-TAXABLE SALES-FOOD")</f>
        <v xml:space="preserve">          4151 - NON-TAXABLE SALES-FOOD</v>
      </c>
      <c r="C19" s="11"/>
      <c r="D19" s="2">
        <f>--483731.26</f>
        <v>483731.26</v>
      </c>
      <c r="E19" s="2"/>
      <c r="F19" s="21"/>
      <c r="G19" s="2"/>
      <c r="H19" s="2">
        <f>--465855.26</f>
        <v>465855.26</v>
      </c>
      <c r="I19" s="2"/>
      <c r="J19" s="21"/>
      <c r="K19" s="2"/>
      <c r="L19" s="2">
        <f t="shared" si="0"/>
        <v>17876</v>
      </c>
      <c r="M19" s="2"/>
      <c r="N19" s="21">
        <f t="shared" si="1"/>
        <v>3.8372433532252052E-2</v>
      </c>
      <c r="O19" s="11"/>
      <c r="P19" s="2">
        <f>--1003377.76</f>
        <v>1003377.76</v>
      </c>
      <c r="Q19" s="2"/>
      <c r="R19" s="21"/>
      <c r="S19" s="2"/>
      <c r="T19" s="2">
        <f>--954372.38</f>
        <v>954372.38</v>
      </c>
      <c r="U19" s="2"/>
      <c r="V19" s="21"/>
      <c r="W19" s="2"/>
      <c r="X19" s="2">
        <f t="shared" si="2"/>
        <v>49005.380000000005</v>
      </c>
      <c r="Y19" s="2"/>
      <c r="Z19" s="21">
        <f t="shared" si="3"/>
        <v>5.1348279798290063E-2</v>
      </c>
    </row>
    <row r="20" spans="1:26" s="24" customFormat="1" hidden="1" outlineLevel="1" x14ac:dyDescent="0.25">
      <c r="A20" s="50"/>
      <c r="B20" s="11" t="str">
        <f>CONCATENATE("          ", "4152", " - ", "NON-TAXABLE SALES-FOOD")</f>
        <v xml:space="preserve">          4152 - NON-TAXABLE SALES-FOOD</v>
      </c>
      <c r="C20" s="11"/>
      <c r="D20" s="2">
        <f>--3990.43</f>
        <v>3990.43</v>
      </c>
      <c r="E20" s="2"/>
      <c r="F20" s="21"/>
      <c r="G20" s="2"/>
      <c r="H20" s="2">
        <f>--3838.79</f>
        <v>3838.79</v>
      </c>
      <c r="I20" s="2"/>
      <c r="J20" s="21"/>
      <c r="K20" s="2"/>
      <c r="L20" s="2">
        <f t="shared" si="0"/>
        <v>151.63999999999987</v>
      </c>
      <c r="M20" s="2"/>
      <c r="N20" s="21">
        <f t="shared" si="1"/>
        <v>3.9502030587763297E-2</v>
      </c>
      <c r="O20" s="11"/>
      <c r="P20" s="2">
        <f>--7657.52</f>
        <v>7657.52</v>
      </c>
      <c r="Q20" s="2"/>
      <c r="R20" s="21"/>
      <c r="S20" s="2"/>
      <c r="T20" s="2">
        <f>--7672.53</f>
        <v>7672.53</v>
      </c>
      <c r="U20" s="2"/>
      <c r="V20" s="21"/>
      <c r="W20" s="2"/>
      <c r="X20" s="2">
        <f t="shared" si="2"/>
        <v>-15.009999999999309</v>
      </c>
      <c r="Y20" s="2"/>
      <c r="Z20" s="21">
        <f t="shared" si="3"/>
        <v>-1.956329919856854E-3</v>
      </c>
    </row>
    <row r="21" spans="1:26" s="24" customFormat="1" hidden="1" outlineLevel="1" x14ac:dyDescent="0.25">
      <c r="A21" s="50"/>
      <c r="B21" s="11" t="str">
        <f>CONCATENATE("          ", "4153", " - ", "NON-TAXABLE SALES-FOOD")</f>
        <v xml:space="preserve">          4153 - NON-TAXABLE SALES-FOOD</v>
      </c>
      <c r="C21" s="11"/>
      <c r="D21" s="2">
        <f>--100740.21</f>
        <v>100740.21</v>
      </c>
      <c r="E21" s="2"/>
      <c r="F21" s="21"/>
      <c r="G21" s="2"/>
      <c r="H21" s="2">
        <f>--64210.24</f>
        <v>64210.239999999998</v>
      </c>
      <c r="I21" s="2"/>
      <c r="J21" s="21"/>
      <c r="K21" s="2"/>
      <c r="L21" s="2">
        <f t="shared" si="0"/>
        <v>36529.970000000008</v>
      </c>
      <c r="M21" s="2"/>
      <c r="N21" s="21">
        <f t="shared" si="1"/>
        <v>0.56891190563997285</v>
      </c>
      <c r="O21" s="11"/>
      <c r="P21" s="2">
        <f>--119751.92</f>
        <v>119751.92</v>
      </c>
      <c r="Q21" s="2"/>
      <c r="R21" s="21"/>
      <c r="S21" s="2"/>
      <c r="T21" s="2">
        <f>--91636.98</f>
        <v>91636.98</v>
      </c>
      <c r="U21" s="2"/>
      <c r="V21" s="21"/>
      <c r="W21" s="2"/>
      <c r="X21" s="2">
        <f t="shared" si="2"/>
        <v>28114.940000000002</v>
      </c>
      <c r="Y21" s="2"/>
      <c r="Z21" s="21">
        <f t="shared" si="3"/>
        <v>0.30680779746342585</v>
      </c>
    </row>
    <row r="22" spans="1:26" s="24" customFormat="1" hidden="1" outlineLevel="1" x14ac:dyDescent="0.25">
      <c r="A22" s="50"/>
      <c r="B22" s="11" t="str">
        <f>CONCATENATE("          ", "4155", " - ", "NON-TAXABLE SALES-FOOD")</f>
        <v xml:space="preserve">          4155 - NON-TAXABLE SALES-FOOD</v>
      </c>
      <c r="C22" s="11"/>
      <c r="D22" s="2">
        <f>--45359.38</f>
        <v>45359.38</v>
      </c>
      <c r="E22" s="2"/>
      <c r="F22" s="21"/>
      <c r="G22" s="2"/>
      <c r="H22" s="2">
        <f>--45492.47</f>
        <v>45492.47</v>
      </c>
      <c r="I22" s="2"/>
      <c r="J22" s="21"/>
      <c r="K22" s="2"/>
      <c r="L22" s="2">
        <f t="shared" si="0"/>
        <v>-133.09000000000378</v>
      </c>
      <c r="M22" s="2"/>
      <c r="N22" s="21">
        <f t="shared" si="1"/>
        <v>-2.9255391057026311E-3</v>
      </c>
      <c r="O22" s="11"/>
      <c r="P22" s="2">
        <f>--70996.04</f>
        <v>70996.039999999994</v>
      </c>
      <c r="Q22" s="2"/>
      <c r="R22" s="21"/>
      <c r="S22" s="2"/>
      <c r="T22" s="2">
        <f>--67759.98</f>
        <v>67759.98</v>
      </c>
      <c r="U22" s="2"/>
      <c r="V22" s="21"/>
      <c r="W22" s="2"/>
      <c r="X22" s="2">
        <f t="shared" si="2"/>
        <v>3236.0599999999977</v>
      </c>
      <c r="Y22" s="2"/>
      <c r="Z22" s="21">
        <f t="shared" si="3"/>
        <v>4.7757688240167691E-2</v>
      </c>
    </row>
    <row r="23" spans="1:26" s="24" customFormat="1" hidden="1" outlineLevel="1" x14ac:dyDescent="0.25">
      <c r="A23" s="50"/>
      <c r="B23" s="11" t="str">
        <f>CONCATENATE("          ", "4158", " - ", "NON-TAXABLE SALES-FOOD")</f>
        <v xml:space="preserve">          4158 - NON-TAXABLE SALES-FOOD</v>
      </c>
      <c r="C23" s="11"/>
      <c r="D23" s="2">
        <f>--30810.22</f>
        <v>30810.22</v>
      </c>
      <c r="E23" s="2"/>
      <c r="F23" s="21"/>
      <c r="G23" s="2"/>
      <c r="H23" s="2">
        <f>--32062.58</f>
        <v>32062.58</v>
      </c>
      <c r="I23" s="2"/>
      <c r="J23" s="21"/>
      <c r="K23" s="2"/>
      <c r="L23" s="2">
        <f t="shared" si="0"/>
        <v>-1252.3600000000006</v>
      </c>
      <c r="M23" s="2"/>
      <c r="N23" s="21">
        <f t="shared" si="1"/>
        <v>-3.905986355433657E-2</v>
      </c>
      <c r="O23" s="11"/>
      <c r="P23" s="2">
        <f>--40369.91</f>
        <v>40369.910000000003</v>
      </c>
      <c r="Q23" s="2"/>
      <c r="R23" s="21"/>
      <c r="S23" s="2"/>
      <c r="T23" s="2">
        <f>--54475.37</f>
        <v>54475.37</v>
      </c>
      <c r="U23" s="2"/>
      <c r="V23" s="21"/>
      <c r="W23" s="2"/>
      <c r="X23" s="2">
        <f t="shared" si="2"/>
        <v>-14105.46</v>
      </c>
      <c r="Y23" s="2"/>
      <c r="Z23" s="21">
        <f t="shared" si="3"/>
        <v>-0.25893279843716527</v>
      </c>
    </row>
    <row r="24" spans="1:26" s="24" customFormat="1" hidden="1" outlineLevel="1" x14ac:dyDescent="0.25">
      <c r="A24" s="50"/>
      <c r="B24" s="11" t="str">
        <f>CONCATENATE("          ", "4159", " - ", "NON-TAXABLE SALES-FOOD")</f>
        <v xml:space="preserve">          4159 - NON-TAXABLE SALES-FOOD</v>
      </c>
      <c r="C24" s="11"/>
      <c r="D24" s="2">
        <f>0</f>
        <v>0</v>
      </c>
      <c r="E24" s="2"/>
      <c r="F24" s="21"/>
      <c r="G24" s="2"/>
      <c r="H24" s="2">
        <f>--1054.9</f>
        <v>1054.9000000000001</v>
      </c>
      <c r="I24" s="2"/>
      <c r="J24" s="21"/>
      <c r="K24" s="2"/>
      <c r="L24" s="2">
        <f t="shared" si="0"/>
        <v>-1054.9000000000001</v>
      </c>
      <c r="M24" s="2"/>
      <c r="N24" s="21">
        <f t="shared" si="1"/>
        <v>-1</v>
      </c>
      <c r="O24" s="11"/>
      <c r="P24" s="2">
        <f>0</f>
        <v>0</v>
      </c>
      <c r="Q24" s="2"/>
      <c r="R24" s="21"/>
      <c r="S24" s="2"/>
      <c r="T24" s="2">
        <f>--1054.9</f>
        <v>1054.9000000000001</v>
      </c>
      <c r="U24" s="2"/>
      <c r="V24" s="21"/>
      <c r="W24" s="2"/>
      <c r="X24" s="2">
        <f t="shared" si="2"/>
        <v>-1054.9000000000001</v>
      </c>
      <c r="Y24" s="2"/>
      <c r="Z24" s="21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5" t="s">
        <v>8</v>
      </c>
      <c r="C26" s="10"/>
      <c r="D26" s="4">
        <f>SUM(OSRRefD16x_0)</f>
        <v>251281.21999999994</v>
      </c>
      <c r="E26" s="4"/>
      <c r="F26" s="12">
        <f t="shared" ref="F26:F28" si="4">IF(D$12=0,0,D26/D$12)</f>
        <v>0.29421226126690025</v>
      </c>
      <c r="G26" s="4"/>
      <c r="H26" s="4">
        <f>SUM(OSRRefH16x_0)</f>
        <v>283546.15000000002</v>
      </c>
      <c r="I26" s="4"/>
      <c r="J26" s="12">
        <f t="shared" ref="J26:J28" si="5">IF(H$12=0,0,H26/H$12)</f>
        <v>0.3474392691989025</v>
      </c>
      <c r="K26" s="4"/>
      <c r="L26" s="4">
        <f t="shared" ref="L26:L28" si="6">+D26-H26</f>
        <v>-32264.93000000008</v>
      </c>
      <c r="M26" s="4"/>
      <c r="N26" s="12">
        <f t="shared" ref="N26:N28" si="7">IF(H26=0,0,L26/H26)</f>
        <v>-0.11379075328654639</v>
      </c>
      <c r="O26" s="10"/>
      <c r="P26" s="4">
        <f>SUM(OSRRefP16x_0)</f>
        <v>479309.92</v>
      </c>
      <c r="Q26" s="4"/>
      <c r="R26" s="12">
        <f t="shared" ref="R26:R28" si="8">IF(P$12=0,0,P26/P$12)</f>
        <v>0.31063888151733599</v>
      </c>
      <c r="S26" s="4"/>
      <c r="T26" s="4">
        <f>SUM(OSRRefT16x_0)</f>
        <v>497107.15000000008</v>
      </c>
      <c r="U26" s="4"/>
      <c r="V26" s="12">
        <f t="shared" ref="V26:V28" si="9">IF(T$12=0,0,T26/T$12)</f>
        <v>0.32116339070398803</v>
      </c>
      <c r="W26" s="4"/>
      <c r="X26" s="4">
        <f t="shared" ref="X26:X28" si="10">+P26-T26</f>
        <v>-17797.230000000098</v>
      </c>
      <c r="Y26" s="4"/>
      <c r="Z26" s="12">
        <f t="shared" ref="Z26:Z28" si="11">IF(T26=0,0,X26/T26)</f>
        <v>-3.5801597301507525E-2</v>
      </c>
    </row>
    <row r="27" spans="1:26" s="24" customFormat="1" hidden="1" outlineLevel="1" x14ac:dyDescent="0.25">
      <c r="A27" s="50"/>
      <c r="B27" s="11" t="str">
        <f>CONCATENATE("          ", "5053", " - ", "PURCHASES @ COST-FOOD")</f>
        <v xml:space="preserve">          5053 - PURCHASES @ COST-FOOD</v>
      </c>
      <c r="C27" s="11"/>
      <c r="D27" s="2">
        <v>296545.50999999995</v>
      </c>
      <c r="E27" s="2"/>
      <c r="F27" s="21">
        <f t="shared" si="4"/>
        <v>0.34720989123519136</v>
      </c>
      <c r="G27" s="2"/>
      <c r="H27" s="2">
        <v>334162.07</v>
      </c>
      <c r="I27" s="2"/>
      <c r="J27" s="21">
        <f t="shared" si="5"/>
        <v>0.40946077171138628</v>
      </c>
      <c r="K27" s="2"/>
      <c r="L27" s="2">
        <f t="shared" si="6"/>
        <v>-37616.560000000056</v>
      </c>
      <c r="M27" s="2"/>
      <c r="N27" s="21">
        <f t="shared" si="7"/>
        <v>-0.11256980781810472</v>
      </c>
      <c r="O27" s="11"/>
      <c r="P27" s="2">
        <v>528619.21</v>
      </c>
      <c r="Q27" s="2"/>
      <c r="R27" s="21">
        <f t="shared" si="8"/>
        <v>0.34259603920356529</v>
      </c>
      <c r="S27" s="2"/>
      <c r="T27" s="2">
        <v>554468.21000000008</v>
      </c>
      <c r="U27" s="2"/>
      <c r="V27" s="21">
        <f t="shared" si="9"/>
        <v>0.35822234775977546</v>
      </c>
      <c r="W27" s="2"/>
      <c r="X27" s="2">
        <f t="shared" si="10"/>
        <v>-25849.000000000116</v>
      </c>
      <c r="Y27" s="2"/>
      <c r="Z27" s="21">
        <f t="shared" si="11"/>
        <v>-4.6619444602604199E-2</v>
      </c>
    </row>
    <row r="28" spans="1:26" s="24" customFormat="1" hidden="1" outlineLevel="1" x14ac:dyDescent="0.25">
      <c r="A28" s="50"/>
      <c r="B28" s="11" t="str">
        <f>CONCATENATE("          ", "5059", " - ", "PURCHASES @ COST-FOOD")</f>
        <v xml:space="preserve">          5059 - PURCHASES @ COST-FOOD</v>
      </c>
      <c r="C28" s="11"/>
      <c r="D28" s="2">
        <v>-45264.29</v>
      </c>
      <c r="E28" s="2"/>
      <c r="F28" s="21">
        <f t="shared" si="4"/>
        <v>-5.2997629968291077E-2</v>
      </c>
      <c r="G28" s="2"/>
      <c r="H28" s="2">
        <v>-50615.92</v>
      </c>
      <c r="I28" s="2"/>
      <c r="J28" s="21">
        <f t="shared" si="5"/>
        <v>-6.2021502512483812E-2</v>
      </c>
      <c r="K28" s="2"/>
      <c r="L28" s="2">
        <f t="shared" si="6"/>
        <v>5351.6299999999974</v>
      </c>
      <c r="M28" s="2"/>
      <c r="N28" s="21">
        <f t="shared" si="7"/>
        <v>-0.10573017343160013</v>
      </c>
      <c r="O28" s="11"/>
      <c r="P28" s="2">
        <v>-49309.29</v>
      </c>
      <c r="Q28" s="2"/>
      <c r="R28" s="21">
        <f t="shared" si="8"/>
        <v>-3.1957157686229323E-2</v>
      </c>
      <c r="S28" s="2"/>
      <c r="T28" s="2">
        <v>-57361.06</v>
      </c>
      <c r="U28" s="2"/>
      <c r="V28" s="21">
        <f t="shared" si="9"/>
        <v>-3.7058957055787461E-2</v>
      </c>
      <c r="W28" s="2"/>
      <c r="X28" s="2">
        <f t="shared" si="10"/>
        <v>8051.7699999999968</v>
      </c>
      <c r="Y28" s="2"/>
      <c r="Z28" s="21">
        <f t="shared" si="11"/>
        <v>-0.14036996526912154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6</v>
      </c>
      <c r="C30" s="26"/>
      <c r="D30" s="20">
        <f>D12-D26</f>
        <v>602800.18000000005</v>
      </c>
      <c r="E30" s="13"/>
      <c r="F30" s="19">
        <f>IF(D$12=0,0,D30/D$12)</f>
        <v>0.70578773873309975</v>
      </c>
      <c r="G30" s="13"/>
      <c r="H30" s="20">
        <f>H12-H26</f>
        <v>532556.62</v>
      </c>
      <c r="I30" s="13"/>
      <c r="J30" s="19">
        <f>IF(H$12=0,0,H30/H$12)</f>
        <v>0.65256073080109744</v>
      </c>
      <c r="K30" s="15"/>
      <c r="L30" s="20">
        <f>+D30-H30</f>
        <v>70243.560000000056</v>
      </c>
      <c r="M30" s="15"/>
      <c r="N30" s="19">
        <f>IF(H30=0,0,L30/H30)</f>
        <v>0.13189876411638646</v>
      </c>
      <c r="O30" s="25"/>
      <c r="P30" s="20">
        <f>P12-P26</f>
        <v>1063671.1700000002</v>
      </c>
      <c r="Q30" s="13"/>
      <c r="R30" s="19">
        <f>IF(P$12=0,0,P30/P$12)</f>
        <v>0.68936111848266401</v>
      </c>
      <c r="S30" s="13"/>
      <c r="T30" s="20">
        <f>T12-T26</f>
        <v>1050725.3999999999</v>
      </c>
      <c r="U30" s="13"/>
      <c r="V30" s="19">
        <f>IF(T$12=0,0,T30/T$12)</f>
        <v>0.67883660929601197</v>
      </c>
      <c r="W30" s="15"/>
      <c r="X30" s="20">
        <f>+P30-T30</f>
        <v>12945.770000000251</v>
      </c>
      <c r="Y30" s="15"/>
      <c r="Z30" s="19">
        <f>IF(T30=0,0,X30/T30)</f>
        <v>1.2320792854156045E-2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5" t="s">
        <v>9</v>
      </c>
      <c r="C32" s="10"/>
      <c r="D32" s="22">
        <f>SUM(OSRRefD22x_0)</f>
        <v>761049.23</v>
      </c>
      <c r="E32" s="22"/>
      <c r="F32" s="33">
        <f t="shared" ref="F32:F42" si="12">IF(D$12=0,0,D32/D$12)</f>
        <v>0.89107341525058381</v>
      </c>
      <c r="G32" s="22"/>
      <c r="H32" s="22">
        <f>SUM(OSRRefH22x_0)</f>
        <v>766462.6799999997</v>
      </c>
      <c r="I32" s="22"/>
      <c r="J32" s="33">
        <f t="shared" ref="J32:J42" si="13">IF(H$12=0,0,H32/H$12)</f>
        <v>0.93917421699230319</v>
      </c>
      <c r="K32" s="4"/>
      <c r="L32" s="22">
        <f t="shared" ref="L32:L42" si="14">+D32-H32</f>
        <v>-5413.4499999997206</v>
      </c>
      <c r="M32" s="4"/>
      <c r="N32" s="33">
        <f t="shared" ref="N32:N42" si="15">IF(H32=0,0,L32/H32)</f>
        <v>-7.0629009621182371E-3</v>
      </c>
      <c r="O32" s="10"/>
      <c r="P32" s="22">
        <f>SUM(OSRRefP22x_0)</f>
        <v>1570428.8899999997</v>
      </c>
      <c r="Q32" s="22"/>
      <c r="R32" s="33">
        <f t="shared" ref="R32:R42" si="16">IF(P$12=0,0,P32/P$12)</f>
        <v>1.0177888116567906</v>
      </c>
      <c r="S32" s="22"/>
      <c r="T32" s="22">
        <f>SUM(OSRRefT22x_0)</f>
        <v>1481812.6300000001</v>
      </c>
      <c r="U32" s="22"/>
      <c r="V32" s="33">
        <f t="shared" ref="V32:V42" si="17">IF(T$12=0,0,T32/T$12)</f>
        <v>0.95734685899970262</v>
      </c>
      <c r="W32" s="4"/>
      <c r="X32" s="22">
        <f t="shared" ref="X32:X42" si="18">+P32-T32</f>
        <v>88616.259999999544</v>
      </c>
      <c r="Y32" s="4"/>
      <c r="Z32" s="33">
        <f t="shared" ref="Z32:Z42" si="19">IF(T32=0,0,X32/T32)</f>
        <v>5.98026081070719E-2</v>
      </c>
    </row>
    <row r="33" spans="1:26" s="27" customFormat="1" outlineLevel="1" collapsed="1" x14ac:dyDescent="0.25">
      <c r="A33" s="28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144777.88999999998</v>
      </c>
      <c r="E33" s="1"/>
      <c r="F33" s="5">
        <f t="shared" si="12"/>
        <v>0.16951298787211616</v>
      </c>
      <c r="G33" s="1"/>
      <c r="H33" s="1">
        <f>SUM(OSRRefH22_0x_0)</f>
        <v>149407.29999999999</v>
      </c>
      <c r="I33" s="1"/>
      <c r="J33" s="5">
        <f t="shared" si="13"/>
        <v>0.18307412435323556</v>
      </c>
      <c r="K33" s="1"/>
      <c r="L33" s="1">
        <f t="shared" si="14"/>
        <v>-4629.4100000000035</v>
      </c>
      <c r="M33" s="1"/>
      <c r="N33" s="5">
        <f t="shared" si="15"/>
        <v>-3.0985166052796644E-2</v>
      </c>
      <c r="O33" s="14"/>
      <c r="P33" s="1">
        <f>SUM(OSRRefP22_0x_0)</f>
        <v>311893.34999999998</v>
      </c>
      <c r="Q33" s="1"/>
      <c r="R33" s="5">
        <f t="shared" si="16"/>
        <v>0.20213685833311149</v>
      </c>
      <c r="S33" s="1"/>
      <c r="T33" s="1">
        <f>SUM(OSRRefT22_0x_0)</f>
        <v>275940.56999999995</v>
      </c>
      <c r="U33" s="1"/>
      <c r="V33" s="5">
        <f t="shared" si="17"/>
        <v>0.17827546655482851</v>
      </c>
      <c r="W33" s="1"/>
      <c r="X33" s="1">
        <f t="shared" si="18"/>
        <v>35952.780000000028</v>
      </c>
      <c r="Y33" s="1"/>
      <c r="Z33" s="5">
        <f t="shared" si="19"/>
        <v>0.13029175086505052</v>
      </c>
    </row>
    <row r="34" spans="1:26" s="24" customFormat="1" hidden="1" outlineLevel="2" x14ac:dyDescent="0.25">
      <c r="A34" s="29"/>
      <c r="B34" s="11" t="str">
        <f>CONCATENATE("          ", "6111", " - ", "F.I.C.A.")</f>
        <v xml:space="preserve">          6111 - F.I.C.A.</v>
      </c>
      <c r="C34" s="11"/>
      <c r="D34" s="7">
        <v>25677.66</v>
      </c>
      <c r="E34" s="2"/>
      <c r="F34" s="6">
        <f t="shared" si="12"/>
        <v>3.0064651917252851E-2</v>
      </c>
      <c r="G34" s="2"/>
      <c r="H34" s="7">
        <v>24669.809999999998</v>
      </c>
      <c r="I34" s="2"/>
      <c r="J34" s="6">
        <f t="shared" si="13"/>
        <v>3.022880316899304E-2</v>
      </c>
      <c r="K34" s="2"/>
      <c r="L34" s="7">
        <f t="shared" si="14"/>
        <v>1007.8500000000022</v>
      </c>
      <c r="M34" s="2"/>
      <c r="N34" s="6">
        <f t="shared" si="15"/>
        <v>4.085357771300234E-2</v>
      </c>
      <c r="O34" s="11"/>
      <c r="P34" s="7">
        <v>49268.689999999995</v>
      </c>
      <c r="Q34" s="2"/>
      <c r="R34" s="6">
        <f t="shared" si="16"/>
        <v>3.193084498527457E-2</v>
      </c>
      <c r="S34" s="2"/>
      <c r="T34" s="7">
        <v>45478.03</v>
      </c>
      <c r="U34" s="2"/>
      <c r="V34" s="6">
        <f t="shared" si="17"/>
        <v>2.938175062929126E-2</v>
      </c>
      <c r="W34" s="2"/>
      <c r="X34" s="7">
        <f t="shared" si="18"/>
        <v>3790.6599999999962</v>
      </c>
      <c r="Y34" s="2"/>
      <c r="Z34" s="6">
        <f t="shared" si="19"/>
        <v>8.3351455636930541E-2</v>
      </c>
    </row>
    <row r="35" spans="1:26" s="24" customFormat="1" hidden="1" outlineLevel="2" x14ac:dyDescent="0.25">
      <c r="A35" s="29"/>
      <c r="B35" s="11" t="str">
        <f>CONCATENATE("          ", "6112", " - ", "COMPENSATION INSURANCE")</f>
        <v xml:space="preserve">          6112 - COMPENSATION INSURANCE</v>
      </c>
      <c r="C35" s="11"/>
      <c r="D35" s="7">
        <v>13173.58</v>
      </c>
      <c r="E35" s="2"/>
      <c r="F35" s="6">
        <f t="shared" si="12"/>
        <v>1.5424267522978489E-2</v>
      </c>
      <c r="G35" s="2"/>
      <c r="H35" s="7">
        <v>11417.71</v>
      </c>
      <c r="I35" s="2"/>
      <c r="J35" s="6">
        <f t="shared" si="13"/>
        <v>1.3990529648612759E-2</v>
      </c>
      <c r="K35" s="2"/>
      <c r="L35" s="7">
        <f t="shared" si="14"/>
        <v>1755.8700000000008</v>
      </c>
      <c r="M35" s="2"/>
      <c r="N35" s="6">
        <f t="shared" si="15"/>
        <v>0.15378477820859007</v>
      </c>
      <c r="O35" s="11"/>
      <c r="P35" s="7">
        <v>25177.14</v>
      </c>
      <c r="Q35" s="2"/>
      <c r="R35" s="6">
        <f t="shared" si="16"/>
        <v>1.6317205805808026E-2</v>
      </c>
      <c r="S35" s="2"/>
      <c r="T35" s="7">
        <v>25185.78</v>
      </c>
      <c r="U35" s="2"/>
      <c r="V35" s="6">
        <f t="shared" si="17"/>
        <v>1.6271643854498342E-2</v>
      </c>
      <c r="W35" s="2"/>
      <c r="X35" s="7">
        <f t="shared" si="18"/>
        <v>-8.6399999999994179</v>
      </c>
      <c r="Y35" s="2"/>
      <c r="Z35" s="6">
        <f t="shared" si="19"/>
        <v>-3.4305072147852554E-4</v>
      </c>
    </row>
    <row r="36" spans="1:26" s="24" customFormat="1" hidden="1" outlineLevel="2" x14ac:dyDescent="0.25">
      <c r="A36" s="29"/>
      <c r="B36" s="11" t="str">
        <f>CONCATENATE("          ", "6113", " - ", "GROUP INSURANCE")</f>
        <v xml:space="preserve">          6113 - GROUP INSURANCE</v>
      </c>
      <c r="C36" s="11"/>
      <c r="D36" s="7">
        <v>66228.41</v>
      </c>
      <c r="E36" s="2"/>
      <c r="F36" s="6">
        <f t="shared" si="12"/>
        <v>7.7543440238834374E-2</v>
      </c>
      <c r="G36" s="2"/>
      <c r="H36" s="7">
        <v>73413.13</v>
      </c>
      <c r="I36" s="2"/>
      <c r="J36" s="6">
        <f t="shared" si="13"/>
        <v>8.9955741726008356E-2</v>
      </c>
      <c r="K36" s="2"/>
      <c r="L36" s="7">
        <f t="shared" si="14"/>
        <v>-7184.7200000000012</v>
      </c>
      <c r="M36" s="2"/>
      <c r="N36" s="6">
        <f t="shared" si="15"/>
        <v>-9.7866961945363193E-2</v>
      </c>
      <c r="O36" s="11"/>
      <c r="P36" s="7">
        <v>131292</v>
      </c>
      <c r="Q36" s="2"/>
      <c r="R36" s="6">
        <f t="shared" si="16"/>
        <v>8.5089830880558617E-2</v>
      </c>
      <c r="S36" s="2"/>
      <c r="T36" s="7">
        <v>100604.98999999999</v>
      </c>
      <c r="U36" s="2"/>
      <c r="V36" s="6">
        <f t="shared" si="17"/>
        <v>6.4997334498489504E-2</v>
      </c>
      <c r="W36" s="2"/>
      <c r="X36" s="7">
        <f t="shared" si="18"/>
        <v>30687.010000000009</v>
      </c>
      <c r="Y36" s="2"/>
      <c r="Z36" s="6">
        <f t="shared" si="19"/>
        <v>0.3050247308806453</v>
      </c>
    </row>
    <row r="37" spans="1:26" s="24" customFormat="1" hidden="1" outlineLevel="2" x14ac:dyDescent="0.25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7">
        <v>902.42</v>
      </c>
      <c r="E37" s="2"/>
      <c r="F37" s="6">
        <f t="shared" si="12"/>
        <v>1.0565971814864483E-3</v>
      </c>
      <c r="G37" s="2"/>
      <c r="H37" s="7">
        <v>861.53</v>
      </c>
      <c r="I37" s="2"/>
      <c r="J37" s="6">
        <f t="shared" si="13"/>
        <v>1.0556636145224699E-3</v>
      </c>
      <c r="K37" s="2"/>
      <c r="L37" s="7">
        <f t="shared" si="14"/>
        <v>40.889999999999986</v>
      </c>
      <c r="M37" s="2"/>
      <c r="N37" s="6">
        <f t="shared" si="15"/>
        <v>4.7462073288219782E-2</v>
      </c>
      <c r="O37" s="11"/>
      <c r="P37" s="7">
        <v>1725.89</v>
      </c>
      <c r="Q37" s="2"/>
      <c r="R37" s="6">
        <f t="shared" si="16"/>
        <v>1.1185425480489848E-3</v>
      </c>
      <c r="S37" s="2"/>
      <c r="T37" s="7">
        <v>1899.19</v>
      </c>
      <c r="U37" s="2"/>
      <c r="V37" s="6">
        <f t="shared" si="17"/>
        <v>1.2269996518680267E-3</v>
      </c>
      <c r="W37" s="2"/>
      <c r="X37" s="7">
        <f t="shared" si="18"/>
        <v>-173.29999999999995</v>
      </c>
      <c r="Y37" s="2"/>
      <c r="Z37" s="6">
        <f t="shared" si="19"/>
        <v>-9.1249427387465151E-2</v>
      </c>
    </row>
    <row r="38" spans="1:26" s="24" customFormat="1" hidden="1" outlineLevel="2" x14ac:dyDescent="0.25">
      <c r="A38" s="29"/>
      <c r="B38" s="11" t="str">
        <f>CONCATENATE("          ", "6115", " - ", "P.E.R.S.")</f>
        <v xml:space="preserve">          6115 - P.E.R.S.</v>
      </c>
      <c r="C38" s="11"/>
      <c r="D38" s="7">
        <v>9994.9</v>
      </c>
      <c r="E38" s="2"/>
      <c r="F38" s="6">
        <f t="shared" si="12"/>
        <v>1.1702514537841475E-2</v>
      </c>
      <c r="G38" s="2"/>
      <c r="H38" s="7">
        <v>9254.8700000000008</v>
      </c>
      <c r="I38" s="2"/>
      <c r="J38" s="6">
        <f t="shared" si="13"/>
        <v>1.1340324209412989E-2</v>
      </c>
      <c r="K38" s="2"/>
      <c r="L38" s="7">
        <f t="shared" si="14"/>
        <v>740.02999999999884</v>
      </c>
      <c r="M38" s="2"/>
      <c r="N38" s="6">
        <f t="shared" si="15"/>
        <v>7.9961144781071886E-2</v>
      </c>
      <c r="O38" s="11"/>
      <c r="P38" s="7">
        <v>19737.02</v>
      </c>
      <c r="Q38" s="2"/>
      <c r="R38" s="6">
        <f t="shared" si="16"/>
        <v>1.2791485344775028E-2</v>
      </c>
      <c r="S38" s="2"/>
      <c r="T38" s="7">
        <v>22743.769999999997</v>
      </c>
      <c r="U38" s="2"/>
      <c r="V38" s="6">
        <f t="shared" si="17"/>
        <v>1.4693947352379944E-2</v>
      </c>
      <c r="W38" s="2"/>
      <c r="X38" s="7">
        <f t="shared" si="18"/>
        <v>-3006.7499999999964</v>
      </c>
      <c r="Y38" s="2"/>
      <c r="Z38" s="6">
        <f t="shared" si="19"/>
        <v>-0.13220103791060131</v>
      </c>
    </row>
    <row r="39" spans="1:26" s="24" customFormat="1" hidden="1" outlineLevel="2" x14ac:dyDescent="0.25">
      <c r="A39" s="29"/>
      <c r="B39" s="11" t="str">
        <f>CONCATENATE("          ", "6117", " - ", "RETIREMENT STAFF HOURLY")</f>
        <v xml:space="preserve">          6117 - RETIREMENT STAFF HOURLY</v>
      </c>
      <c r="C39" s="11"/>
      <c r="D39" s="7">
        <v>1221.05</v>
      </c>
      <c r="E39" s="2"/>
      <c r="F39" s="6">
        <f t="shared" si="12"/>
        <v>1.4296646666231111E-3</v>
      </c>
      <c r="G39" s="2"/>
      <c r="H39" s="7">
        <v>1398.82</v>
      </c>
      <c r="I39" s="2"/>
      <c r="J39" s="6">
        <f t="shared" si="13"/>
        <v>1.7140243256373213E-3</v>
      </c>
      <c r="K39" s="2"/>
      <c r="L39" s="7">
        <f t="shared" si="14"/>
        <v>-177.76999999999998</v>
      </c>
      <c r="M39" s="2"/>
      <c r="N39" s="6">
        <f t="shared" si="15"/>
        <v>-0.12708568650719893</v>
      </c>
      <c r="O39" s="11"/>
      <c r="P39" s="7">
        <v>2659.31</v>
      </c>
      <c r="Q39" s="2"/>
      <c r="R39" s="6">
        <f t="shared" si="16"/>
        <v>1.7234883934967732E-3</v>
      </c>
      <c r="S39" s="2"/>
      <c r="T39" s="7">
        <v>2730.11</v>
      </c>
      <c r="U39" s="2"/>
      <c r="V39" s="6">
        <f t="shared" si="17"/>
        <v>1.7638277473877907E-3</v>
      </c>
      <c r="W39" s="2"/>
      <c r="X39" s="7">
        <f t="shared" si="18"/>
        <v>-70.800000000000182</v>
      </c>
      <c r="Y39" s="2"/>
      <c r="Z39" s="6">
        <f t="shared" si="19"/>
        <v>-2.5933021013805371E-2</v>
      </c>
    </row>
    <row r="40" spans="1:26" s="24" customFormat="1" hidden="1" outlineLevel="2" x14ac:dyDescent="0.25">
      <c r="A40" s="29"/>
      <c r="B40" s="11" t="str">
        <f>CONCATENATE("          ", "6118", " - ", "VACATION")</f>
        <v xml:space="preserve">          6118 - VACATION</v>
      </c>
      <c r="C40" s="11"/>
      <c r="D40" s="7">
        <v>13045.34</v>
      </c>
      <c r="E40" s="2"/>
      <c r="F40" s="6">
        <f t="shared" si="12"/>
        <v>1.5274117900237612E-2</v>
      </c>
      <c r="G40" s="2"/>
      <c r="H40" s="7">
        <v>12976.93</v>
      </c>
      <c r="I40" s="2"/>
      <c r="J40" s="6">
        <f t="shared" si="13"/>
        <v>1.5901097848252617E-2</v>
      </c>
      <c r="K40" s="2"/>
      <c r="L40" s="7">
        <f t="shared" si="14"/>
        <v>68.409999999999854</v>
      </c>
      <c r="M40" s="2"/>
      <c r="N40" s="6">
        <f t="shared" si="15"/>
        <v>5.2716628663327806E-3</v>
      </c>
      <c r="O40" s="11"/>
      <c r="P40" s="7">
        <v>32507.699999999997</v>
      </c>
      <c r="Q40" s="2"/>
      <c r="R40" s="6">
        <f t="shared" si="16"/>
        <v>2.1068113025286651E-2</v>
      </c>
      <c r="S40" s="2"/>
      <c r="T40" s="7">
        <v>30964.47</v>
      </c>
      <c r="U40" s="2"/>
      <c r="V40" s="6">
        <f t="shared" si="17"/>
        <v>2.0005051580030412E-2</v>
      </c>
      <c r="W40" s="2"/>
      <c r="X40" s="7">
        <f t="shared" si="18"/>
        <v>1543.2299999999959</v>
      </c>
      <c r="Y40" s="2"/>
      <c r="Z40" s="6">
        <f t="shared" si="19"/>
        <v>4.9838734523794399E-2</v>
      </c>
    </row>
    <row r="41" spans="1:26" s="24" customFormat="1" hidden="1" outlineLevel="2" x14ac:dyDescent="0.25">
      <c r="A41" s="29"/>
      <c r="B41" s="11" t="str">
        <f>CONCATENATE("          ", "6119", " - ", "SICK LEAVE")</f>
        <v xml:space="preserve">          6119 - SICK LEAVE</v>
      </c>
      <c r="C41" s="11"/>
      <c r="D41" s="7">
        <v>8789.92</v>
      </c>
      <c r="E41" s="2"/>
      <c r="F41" s="6">
        <f t="shared" si="12"/>
        <v>1.0291665408004436E-2</v>
      </c>
      <c r="G41" s="2"/>
      <c r="H41" s="7">
        <v>8784.77</v>
      </c>
      <c r="I41" s="2"/>
      <c r="J41" s="6">
        <f t="shared" si="13"/>
        <v>1.0764293815593838E-2</v>
      </c>
      <c r="K41" s="2"/>
      <c r="L41" s="7">
        <f t="shared" si="14"/>
        <v>5.1499999999996362</v>
      </c>
      <c r="M41" s="2"/>
      <c r="N41" s="6">
        <f t="shared" si="15"/>
        <v>5.8624187087421024E-4</v>
      </c>
      <c r="O41" s="11"/>
      <c r="P41" s="7">
        <v>38610.1</v>
      </c>
      <c r="Q41" s="2"/>
      <c r="R41" s="6">
        <f t="shared" si="16"/>
        <v>2.5023054559923347E-2</v>
      </c>
      <c r="S41" s="2"/>
      <c r="T41" s="7">
        <v>33875.630000000005</v>
      </c>
      <c r="U41" s="2"/>
      <c r="V41" s="6">
        <f t="shared" si="17"/>
        <v>2.1885849344620647E-2</v>
      </c>
      <c r="W41" s="2"/>
      <c r="X41" s="7">
        <f t="shared" si="18"/>
        <v>4734.4699999999939</v>
      </c>
      <c r="Y41" s="2"/>
      <c r="Z41" s="6">
        <f t="shared" si="19"/>
        <v>0.1397603527963906</v>
      </c>
    </row>
    <row r="42" spans="1:26" s="24" customFormat="1" hidden="1" outlineLevel="2" x14ac:dyDescent="0.25">
      <c r="A42" s="29"/>
      <c r="B42" s="11" t="str">
        <f>CONCATENATE("          ", "6156", " - ", "EMPLOYEE MEALS")</f>
        <v xml:space="preserve">          6156 - EMPLOYEE MEALS</v>
      </c>
      <c r="C42" s="11"/>
      <c r="D42" s="7">
        <v>5744.61</v>
      </c>
      <c r="E42" s="2"/>
      <c r="F42" s="6">
        <f t="shared" si="12"/>
        <v>6.7260684988573686E-3</v>
      </c>
      <c r="G42" s="2"/>
      <c r="H42" s="7">
        <v>6629.73</v>
      </c>
      <c r="I42" s="2"/>
      <c r="J42" s="6">
        <f t="shared" si="13"/>
        <v>8.1236459962021682E-3</v>
      </c>
      <c r="K42" s="2"/>
      <c r="L42" s="7">
        <f t="shared" si="14"/>
        <v>-885.11999999999989</v>
      </c>
      <c r="M42" s="2"/>
      <c r="N42" s="6">
        <f t="shared" si="15"/>
        <v>-0.13350769940857318</v>
      </c>
      <c r="O42" s="11"/>
      <c r="P42" s="7">
        <v>10915.5</v>
      </c>
      <c r="Q42" s="2"/>
      <c r="R42" s="6">
        <f t="shared" si="16"/>
        <v>7.0742927899395056E-3</v>
      </c>
      <c r="S42" s="2"/>
      <c r="T42" s="7">
        <v>12458.6</v>
      </c>
      <c r="U42" s="2"/>
      <c r="V42" s="6">
        <f t="shared" si="17"/>
        <v>8.0490618962626159E-3</v>
      </c>
      <c r="W42" s="2"/>
      <c r="X42" s="7">
        <f t="shared" si="18"/>
        <v>-1543.1000000000004</v>
      </c>
      <c r="Y42" s="2"/>
      <c r="Z42" s="6">
        <f t="shared" si="19"/>
        <v>-0.1238582184194051</v>
      </c>
    </row>
    <row r="43" spans="1:26" s="27" customFormat="1" outlineLevel="1" collapsed="1" x14ac:dyDescent="0.25">
      <c r="A43" s="28"/>
      <c r="B43" s="14" t="str">
        <f>CONCATENATE("     ","*Payroll                                          ")</f>
        <v xml:space="preserve">     *Payroll                                          </v>
      </c>
      <c r="C43" s="14"/>
      <c r="D43" s="1">
        <f>SUM(OSRRefD22_1x_0)</f>
        <v>376743.27999999997</v>
      </c>
      <c r="E43" s="1"/>
      <c r="F43" s="5">
        <f t="shared" ref="F43:F50" si="20">IF(D$12=0,0,D43/D$12)</f>
        <v>0.44110933688521958</v>
      </c>
      <c r="G43" s="1"/>
      <c r="H43" s="1">
        <f>SUM(OSRRefH22_1x_0)</f>
        <v>358699.73</v>
      </c>
      <c r="I43" s="1"/>
      <c r="J43" s="5">
        <f t="shared" ref="J43:J50" si="21">IF(H$12=0,0,H43/H$12)</f>
        <v>0.43952764674478434</v>
      </c>
      <c r="K43" s="1"/>
      <c r="L43" s="1">
        <f t="shared" ref="L43:L50" si="22">+D43-H43</f>
        <v>18043.549999999988</v>
      </c>
      <c r="M43" s="1"/>
      <c r="N43" s="5">
        <f t="shared" ref="N43:N50" si="23">IF(H43=0,0,L43/H43)</f>
        <v>5.0302658438019981E-2</v>
      </c>
      <c r="O43" s="14"/>
      <c r="P43" s="1">
        <f>SUM(OSRRefP22_1x_0)</f>
        <v>742519.63</v>
      </c>
      <c r="Q43" s="1"/>
      <c r="R43" s="5">
        <f t="shared" ref="R43:R50" si="24">IF(P$12=0,0,P43/P$12)</f>
        <v>0.4812240634783152</v>
      </c>
      <c r="S43" s="1"/>
      <c r="T43" s="1">
        <f>SUM(OSRRefT22_1x_0)</f>
        <v>676956.31</v>
      </c>
      <c r="U43" s="1"/>
      <c r="V43" s="5">
        <f t="shared" ref="V43:V50" si="25">IF(T$12=0,0,T43/T$12)</f>
        <v>0.43735758755041043</v>
      </c>
      <c r="W43" s="1"/>
      <c r="X43" s="1">
        <f t="shared" ref="X43:X50" si="26">+P43-T43</f>
        <v>65563.319999999949</v>
      </c>
      <c r="Y43" s="1"/>
      <c r="Z43" s="5">
        <f t="shared" ref="Z43:Z50" si="27">IF(T43=0,0,X43/T43)</f>
        <v>9.6850149753386516E-2</v>
      </c>
    </row>
    <row r="44" spans="1:26" s="24" customFormat="1" hidden="1" outlineLevel="2" x14ac:dyDescent="0.25">
      <c r="A44" s="29"/>
      <c r="B44" s="11" t="str">
        <f>CONCATENATE("          ", "6001", " - ", "ADMINISTRATIVE SALARIES")</f>
        <v xml:space="preserve">          6001 - ADMINISTRATIVE SALARIES</v>
      </c>
      <c r="C44" s="11"/>
      <c r="D44" s="7">
        <v>20350.510000000002</v>
      </c>
      <c r="E44" s="2"/>
      <c r="F44" s="6">
        <f t="shared" si="20"/>
        <v>2.3827365869342199E-2</v>
      </c>
      <c r="G44" s="2"/>
      <c r="H44" s="7">
        <v>21988.78</v>
      </c>
      <c r="I44" s="2"/>
      <c r="J44" s="6">
        <f t="shared" si="21"/>
        <v>2.6943640933849541E-2</v>
      </c>
      <c r="K44" s="2"/>
      <c r="L44" s="7">
        <f t="shared" si="22"/>
        <v>-1638.2699999999968</v>
      </c>
      <c r="M44" s="2"/>
      <c r="N44" s="6">
        <f t="shared" si="23"/>
        <v>-7.450481563779332E-2</v>
      </c>
      <c r="O44" s="11"/>
      <c r="P44" s="7">
        <v>48514.71</v>
      </c>
      <c r="Q44" s="2"/>
      <c r="R44" s="6">
        <f t="shared" si="24"/>
        <v>3.1442193500893778E-2</v>
      </c>
      <c r="S44" s="2"/>
      <c r="T44" s="7">
        <v>49311.740000000005</v>
      </c>
      <c r="U44" s="2"/>
      <c r="V44" s="6">
        <f t="shared" si="25"/>
        <v>3.1858575399515927E-2</v>
      </c>
      <c r="W44" s="2"/>
      <c r="X44" s="7">
        <f t="shared" si="26"/>
        <v>-797.03000000000611</v>
      </c>
      <c r="Y44" s="2"/>
      <c r="Z44" s="6">
        <f t="shared" si="27"/>
        <v>-1.616308814087692E-2</v>
      </c>
    </row>
    <row r="45" spans="1:26" s="24" customFormat="1" hidden="1" outlineLevel="2" x14ac:dyDescent="0.25">
      <c r="A45" s="29"/>
      <c r="B45" s="11" t="str">
        <f>CONCATENATE("          ", "6002", " - ", "STAFF SALARIES")</f>
        <v xml:space="preserve">          6002 - STAFF SALARIES</v>
      </c>
      <c r="C45" s="11"/>
      <c r="D45" s="7">
        <v>87438.76</v>
      </c>
      <c r="E45" s="2"/>
      <c r="F45" s="6">
        <f t="shared" si="20"/>
        <v>0.10237754855684715</v>
      </c>
      <c r="G45" s="2"/>
      <c r="H45" s="7">
        <v>84764.78</v>
      </c>
      <c r="I45" s="2"/>
      <c r="J45" s="6">
        <f t="shared" si="21"/>
        <v>0.10386532568686171</v>
      </c>
      <c r="K45" s="2"/>
      <c r="L45" s="7">
        <f t="shared" si="22"/>
        <v>2673.9799999999959</v>
      </c>
      <c r="M45" s="2"/>
      <c r="N45" s="6">
        <f t="shared" si="23"/>
        <v>3.1545884977227524E-2</v>
      </c>
      <c r="O45" s="11"/>
      <c r="P45" s="7">
        <v>190849.47999999998</v>
      </c>
      <c r="Q45" s="2"/>
      <c r="R45" s="6">
        <f t="shared" si="24"/>
        <v>0.12368880035982811</v>
      </c>
      <c r="S45" s="2"/>
      <c r="T45" s="7">
        <v>185458.4</v>
      </c>
      <c r="U45" s="2"/>
      <c r="V45" s="6">
        <f t="shared" si="25"/>
        <v>0.11981812890548141</v>
      </c>
      <c r="W45" s="2"/>
      <c r="X45" s="7">
        <f t="shared" si="26"/>
        <v>5391.0799999999872</v>
      </c>
      <c r="Y45" s="2"/>
      <c r="Z45" s="6">
        <f t="shared" si="27"/>
        <v>2.9068944841538519E-2</v>
      </c>
    </row>
    <row r="46" spans="1:26" s="24" customFormat="1" hidden="1" outlineLevel="2" x14ac:dyDescent="0.25">
      <c r="A46" s="29"/>
      <c r="B46" s="11" t="str">
        <f>CONCATENATE("          ", "6004", " - ", "STAFF HOURLY")</f>
        <v xml:space="preserve">          6004 - STAFF HOURLY</v>
      </c>
      <c r="C46" s="11"/>
      <c r="D46" s="7">
        <v>55345.77</v>
      </c>
      <c r="E46" s="2"/>
      <c r="F46" s="6">
        <f t="shared" si="20"/>
        <v>6.4801516576757201E-2</v>
      </c>
      <c r="G46" s="2"/>
      <c r="H46" s="7">
        <v>64244.899999999994</v>
      </c>
      <c r="I46" s="2"/>
      <c r="J46" s="6">
        <f t="shared" si="21"/>
        <v>7.8721580616617673E-2</v>
      </c>
      <c r="K46" s="2"/>
      <c r="L46" s="7">
        <f t="shared" si="22"/>
        <v>-8899.1299999999974</v>
      </c>
      <c r="M46" s="2"/>
      <c r="N46" s="6">
        <f t="shared" si="23"/>
        <v>-0.13851885519317483</v>
      </c>
      <c r="O46" s="11"/>
      <c r="P46" s="7">
        <v>116428.26999999999</v>
      </c>
      <c r="Q46" s="2"/>
      <c r="R46" s="6">
        <f t="shared" si="24"/>
        <v>7.5456705694299853E-2</v>
      </c>
      <c r="S46" s="2"/>
      <c r="T46" s="7">
        <v>120851.4</v>
      </c>
      <c r="U46" s="2"/>
      <c r="V46" s="6">
        <f t="shared" si="25"/>
        <v>7.8077825666607148E-2</v>
      </c>
      <c r="W46" s="2"/>
      <c r="X46" s="7">
        <f t="shared" si="26"/>
        <v>-4423.1300000000047</v>
      </c>
      <c r="Y46" s="2"/>
      <c r="Z46" s="6">
        <f t="shared" si="27"/>
        <v>-3.6599741500719103E-2</v>
      </c>
    </row>
    <row r="47" spans="1:26" s="24" customFormat="1" hidden="1" outlineLevel="2" x14ac:dyDescent="0.25">
      <c r="A47" s="29"/>
      <c r="B47" s="11" t="str">
        <f>CONCATENATE("          ", "6005", " - ", "TEMPORARY WAGES-HOURLY")</f>
        <v xml:space="preserve">          6005 - TEMPORARY WAGES-HOURLY</v>
      </c>
      <c r="C47" s="11"/>
      <c r="D47" s="7">
        <v>66390.38</v>
      </c>
      <c r="E47" s="2"/>
      <c r="F47" s="6">
        <f t="shared" si="20"/>
        <v>7.7733082584400037E-2</v>
      </c>
      <c r="G47" s="2"/>
      <c r="H47" s="7">
        <v>55715.950000000004</v>
      </c>
      <c r="I47" s="2"/>
      <c r="J47" s="6">
        <f t="shared" si="21"/>
        <v>6.8270752224012188E-2</v>
      </c>
      <c r="K47" s="2"/>
      <c r="L47" s="7">
        <f t="shared" si="22"/>
        <v>10674.43</v>
      </c>
      <c r="M47" s="2"/>
      <c r="N47" s="6">
        <f t="shared" si="23"/>
        <v>0.19158661029741034</v>
      </c>
      <c r="O47" s="11"/>
      <c r="P47" s="7">
        <v>127888.62999999999</v>
      </c>
      <c r="Q47" s="2"/>
      <c r="R47" s="6">
        <f t="shared" si="24"/>
        <v>8.288412011582072E-2</v>
      </c>
      <c r="S47" s="2"/>
      <c r="T47" s="7">
        <v>100569.44</v>
      </c>
      <c r="U47" s="2"/>
      <c r="V47" s="6">
        <f t="shared" si="25"/>
        <v>6.4974366897762939E-2</v>
      </c>
      <c r="W47" s="2"/>
      <c r="X47" s="7">
        <f t="shared" si="26"/>
        <v>27319.189999999988</v>
      </c>
      <c r="Y47" s="2"/>
      <c r="Z47" s="6">
        <f t="shared" si="27"/>
        <v>0.27164504445883347</v>
      </c>
    </row>
    <row r="48" spans="1:26" s="24" customFormat="1" hidden="1" outlineLevel="2" x14ac:dyDescent="0.25">
      <c r="A48" s="29"/>
      <c r="B48" s="11" t="str">
        <f>CONCATENATE("          ", "6006", " - ", "TEMPORARY PART TIME")</f>
        <v xml:space="preserve">          6006 - TEMPORARY PART TIME</v>
      </c>
      <c r="C48" s="11"/>
      <c r="D48" s="7">
        <v>7103.69</v>
      </c>
      <c r="E48" s="2"/>
      <c r="F48" s="6">
        <f t="shared" si="20"/>
        <v>8.3173453958838104E-3</v>
      </c>
      <c r="G48" s="2"/>
      <c r="H48" s="7">
        <v>1884.19</v>
      </c>
      <c r="I48" s="2"/>
      <c r="J48" s="6">
        <f t="shared" si="21"/>
        <v>2.3087655982346441E-3</v>
      </c>
      <c r="K48" s="2"/>
      <c r="L48" s="7">
        <f t="shared" si="22"/>
        <v>5219.5</v>
      </c>
      <c r="M48" s="2"/>
      <c r="N48" s="6">
        <f t="shared" si="23"/>
        <v>2.7701558759997664</v>
      </c>
      <c r="O48" s="11"/>
      <c r="P48" s="7">
        <v>15678.9</v>
      </c>
      <c r="Q48" s="2"/>
      <c r="R48" s="6">
        <f t="shared" si="24"/>
        <v>1.0161433669935643E-2</v>
      </c>
      <c r="S48" s="2"/>
      <c r="T48" s="7">
        <v>4639.5</v>
      </c>
      <c r="U48" s="2"/>
      <c r="V48" s="6">
        <f t="shared" si="25"/>
        <v>2.9974172593798987E-3</v>
      </c>
      <c r="W48" s="2"/>
      <c r="X48" s="7">
        <f t="shared" si="26"/>
        <v>11039.4</v>
      </c>
      <c r="Y48" s="2"/>
      <c r="Z48" s="6">
        <f t="shared" si="27"/>
        <v>2.3794374393792435</v>
      </c>
    </row>
    <row r="49" spans="1:26" s="24" customFormat="1" hidden="1" outlineLevel="2" x14ac:dyDescent="0.25">
      <c r="A49" s="29"/>
      <c r="B49" s="11" t="str">
        <f>CONCATENATE("          ", "6007", " - ", "STUDENT HOURLY")</f>
        <v xml:space="preserve">          6007 - STUDENT HOURLY</v>
      </c>
      <c r="C49" s="11"/>
      <c r="D49" s="7">
        <v>127234.93000000001</v>
      </c>
      <c r="E49" s="2"/>
      <c r="F49" s="6">
        <f t="shared" si="20"/>
        <v>0.14897283795197977</v>
      </c>
      <c r="G49" s="2"/>
      <c r="H49" s="7">
        <v>117656.26999999999</v>
      </c>
      <c r="I49" s="2"/>
      <c r="J49" s="6">
        <f t="shared" si="21"/>
        <v>0.14416844829481462</v>
      </c>
      <c r="K49" s="2"/>
      <c r="L49" s="7">
        <f t="shared" si="22"/>
        <v>9578.660000000018</v>
      </c>
      <c r="M49" s="2"/>
      <c r="N49" s="6">
        <f t="shared" si="23"/>
        <v>8.1412235828995927E-2</v>
      </c>
      <c r="O49" s="11"/>
      <c r="P49" s="7">
        <v>220276.98</v>
      </c>
      <c r="Q49" s="2"/>
      <c r="R49" s="6">
        <f t="shared" si="24"/>
        <v>0.14276064783140019</v>
      </c>
      <c r="S49" s="2"/>
      <c r="T49" s="7">
        <v>197420.39</v>
      </c>
      <c r="U49" s="2"/>
      <c r="V49" s="6">
        <f t="shared" si="25"/>
        <v>0.12754634860211461</v>
      </c>
      <c r="W49" s="2"/>
      <c r="X49" s="7">
        <f t="shared" si="26"/>
        <v>22856.589999999997</v>
      </c>
      <c r="Y49" s="2"/>
      <c r="Z49" s="6">
        <f t="shared" si="27"/>
        <v>0.1157762377027013</v>
      </c>
    </row>
    <row r="50" spans="1:26" s="24" customFormat="1" hidden="1" outlineLevel="2" x14ac:dyDescent="0.25">
      <c r="A50" s="29"/>
      <c r="B50" s="11" t="str">
        <f>CONCATENATE("          ", "6008", " - ", "STUDENT HOURLY-FICA EXEMPT")</f>
        <v xml:space="preserve">          6008 - STUDENT HOURLY-FICA EXEMPT</v>
      </c>
      <c r="C50" s="11"/>
      <c r="D50" s="7">
        <v>12879.24</v>
      </c>
      <c r="E50" s="2"/>
      <c r="F50" s="6">
        <f t="shared" si="20"/>
        <v>1.5079639950009448E-2</v>
      </c>
      <c r="G50" s="2"/>
      <c r="H50" s="7">
        <v>12444.86</v>
      </c>
      <c r="I50" s="2"/>
      <c r="J50" s="6">
        <f t="shared" si="21"/>
        <v>1.5249133390393958E-2</v>
      </c>
      <c r="K50" s="2"/>
      <c r="L50" s="7">
        <f t="shared" si="22"/>
        <v>434.3799999999992</v>
      </c>
      <c r="M50" s="2"/>
      <c r="N50" s="6">
        <f t="shared" si="23"/>
        <v>3.4904370157639315E-2</v>
      </c>
      <c r="O50" s="11"/>
      <c r="P50" s="7">
        <v>22882.66</v>
      </c>
      <c r="Q50" s="2"/>
      <c r="R50" s="6">
        <f t="shared" si="24"/>
        <v>1.4830162306136881E-2</v>
      </c>
      <c r="S50" s="2"/>
      <c r="T50" s="7">
        <v>18705.439999999999</v>
      </c>
      <c r="U50" s="2"/>
      <c r="V50" s="6">
        <f t="shared" si="25"/>
        <v>1.2084924819548469E-2</v>
      </c>
      <c r="W50" s="2"/>
      <c r="X50" s="7">
        <f t="shared" si="26"/>
        <v>4177.2200000000012</v>
      </c>
      <c r="Y50" s="2"/>
      <c r="Z50" s="6">
        <f t="shared" si="27"/>
        <v>0.22331578407137184</v>
      </c>
    </row>
    <row r="51" spans="1:26" s="27" customFormat="1" outlineLevel="1" collapsed="1" x14ac:dyDescent="0.25">
      <c r="A51" s="28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SUM(OSRRefD22_2x_0)</f>
        <v>8051.84</v>
      </c>
      <c r="E51" s="1"/>
      <c r="F51" s="5">
        <f t="shared" ref="F51:F60" si="28">IF(D$12=0,0,D51/D$12)</f>
        <v>9.4274854832337995E-3</v>
      </c>
      <c r="G51" s="1"/>
      <c r="H51" s="1">
        <f>SUM(OSRRefH22_2x_0)</f>
        <v>4149.08</v>
      </c>
      <c r="I51" s="1"/>
      <c r="J51" s="5">
        <f t="shared" ref="J51:J60" si="29">IF(H$12=0,0,H51/H$12)</f>
        <v>5.0840165632571E-3</v>
      </c>
      <c r="K51" s="1"/>
      <c r="L51" s="1">
        <f t="shared" ref="L51:L60" si="30">+D51-H51</f>
        <v>3902.76</v>
      </c>
      <c r="M51" s="1"/>
      <c r="N51" s="5">
        <f t="shared" ref="N51:N60" si="31">IF(H51=0,0,L51/H51)</f>
        <v>0.94063262217166221</v>
      </c>
      <c r="O51" s="14"/>
      <c r="P51" s="1">
        <f>SUM(OSRRefP22_2x_0)</f>
        <v>11968.74</v>
      </c>
      <c r="Q51" s="1"/>
      <c r="R51" s="5">
        <f t="shared" ref="R51:R60" si="32">IF(P$12=0,0,P51/P$12)</f>
        <v>7.7568935080079299E-3</v>
      </c>
      <c r="S51" s="1"/>
      <c r="T51" s="1">
        <f>SUM(OSRRefT22_2x_0)</f>
        <v>9220.61</v>
      </c>
      <c r="U51" s="1"/>
      <c r="V51" s="5">
        <f t="shared" ref="V51:V60" si="33">IF(T$12=0,0,T51/T$12)</f>
        <v>5.9571107998730227E-3</v>
      </c>
      <c r="W51" s="1"/>
      <c r="X51" s="1">
        <f t="shared" ref="X51:X60" si="34">+P51-T51</f>
        <v>2748.1299999999992</v>
      </c>
      <c r="Y51" s="1"/>
      <c r="Z51" s="5">
        <f t="shared" ref="Z51:Z60" si="35">IF(T51=0,0,X51/T51)</f>
        <v>0.29804210350508253</v>
      </c>
    </row>
    <row r="52" spans="1:26" s="24" customFormat="1" hidden="1" outlineLevel="2" x14ac:dyDescent="0.25">
      <c r="A52" s="29"/>
      <c r="B52" s="11" t="str">
        <f>CONCATENATE("          ", "6362", " - ", "ADVERTISING EXPENSE")</f>
        <v xml:space="preserve">          6362 - ADVERTISING EXPENSE</v>
      </c>
      <c r="C52" s="11"/>
      <c r="D52" s="7">
        <v>8051.84</v>
      </c>
      <c r="E52" s="2"/>
      <c r="F52" s="6">
        <f t="shared" si="28"/>
        <v>9.4274854832337995E-3</v>
      </c>
      <c r="G52" s="2"/>
      <c r="H52" s="7">
        <v>4149.08</v>
      </c>
      <c r="I52" s="2"/>
      <c r="J52" s="6">
        <f t="shared" si="29"/>
        <v>5.0840165632571E-3</v>
      </c>
      <c r="K52" s="2"/>
      <c r="L52" s="7">
        <f t="shared" si="30"/>
        <v>3902.76</v>
      </c>
      <c r="M52" s="2"/>
      <c r="N52" s="6">
        <f t="shared" si="31"/>
        <v>0.94063262217166221</v>
      </c>
      <c r="O52" s="11"/>
      <c r="P52" s="7">
        <v>11968.74</v>
      </c>
      <c r="Q52" s="2"/>
      <c r="R52" s="6">
        <f t="shared" si="32"/>
        <v>7.7568935080079299E-3</v>
      </c>
      <c r="S52" s="2"/>
      <c r="T52" s="7">
        <v>9220.61</v>
      </c>
      <c r="U52" s="2"/>
      <c r="V52" s="6">
        <f t="shared" si="33"/>
        <v>5.9571107998730227E-3</v>
      </c>
      <c r="W52" s="2"/>
      <c r="X52" s="7">
        <f t="shared" si="34"/>
        <v>2748.1299999999992</v>
      </c>
      <c r="Y52" s="2"/>
      <c r="Z52" s="6">
        <f t="shared" si="35"/>
        <v>0.29804210350508253</v>
      </c>
    </row>
    <row r="53" spans="1:26" s="27" customFormat="1" outlineLevel="1" collapsed="1" x14ac:dyDescent="0.25">
      <c r="A53" s="28"/>
      <c r="B53" s="14" t="str">
        <f>CONCATENATE("     ","Bad Debts/Over/Short                              ")</f>
        <v xml:space="preserve">     Bad Debts/Over/Short                              </v>
      </c>
      <c r="C53" s="14"/>
      <c r="D53" s="1">
        <f>SUM(OSRRefD22_3x_0)</f>
        <v>5.55</v>
      </c>
      <c r="E53" s="1"/>
      <c r="F53" s="5">
        <f t="shared" si="28"/>
        <v>6.4982096554262853E-6</v>
      </c>
      <c r="G53" s="1"/>
      <c r="H53" s="1">
        <f>SUM(OSRRefH22_3x_0)</f>
        <v>244.16</v>
      </c>
      <c r="I53" s="1"/>
      <c r="J53" s="5">
        <f t="shared" si="29"/>
        <v>2.9917800671109103E-4</v>
      </c>
      <c r="K53" s="1"/>
      <c r="L53" s="1">
        <f t="shared" si="30"/>
        <v>-238.60999999999999</v>
      </c>
      <c r="M53" s="1"/>
      <c r="N53" s="5">
        <f t="shared" si="31"/>
        <v>-0.9772690039318479</v>
      </c>
      <c r="O53" s="14"/>
      <c r="P53" s="1">
        <f>SUM(OSRRefP22_3x_0)</f>
        <v>-15.13</v>
      </c>
      <c r="Q53" s="1"/>
      <c r="R53" s="5">
        <f t="shared" si="32"/>
        <v>-9.8056937301804518E-6</v>
      </c>
      <c r="S53" s="1"/>
      <c r="T53" s="1">
        <f>SUM(OSRRefT22_3x_0)</f>
        <v>248.86</v>
      </c>
      <c r="U53" s="1"/>
      <c r="V53" s="5">
        <f t="shared" si="33"/>
        <v>1.6077966573322159E-4</v>
      </c>
      <c r="W53" s="1"/>
      <c r="X53" s="1">
        <f t="shared" si="34"/>
        <v>-263.99</v>
      </c>
      <c r="Y53" s="1"/>
      <c r="Z53" s="5">
        <f t="shared" si="35"/>
        <v>-1.0607972353933939</v>
      </c>
    </row>
    <row r="54" spans="1:26" s="24" customFormat="1" hidden="1" outlineLevel="2" x14ac:dyDescent="0.25">
      <c r="A54" s="29"/>
      <c r="B54" s="11" t="str">
        <f>CONCATENATE("          ", "6272", " - ", "CASH (OVER/SHORT)")</f>
        <v xml:space="preserve">          6272 - CASH (OVER/SHORT)</v>
      </c>
      <c r="C54" s="11"/>
      <c r="D54" s="7">
        <v>5.55</v>
      </c>
      <c r="E54" s="2"/>
      <c r="F54" s="6">
        <f t="shared" si="28"/>
        <v>6.4982096554262853E-6</v>
      </c>
      <c r="G54" s="2"/>
      <c r="H54" s="7">
        <v>244.16</v>
      </c>
      <c r="I54" s="2"/>
      <c r="J54" s="6">
        <f t="shared" si="29"/>
        <v>2.9917800671109103E-4</v>
      </c>
      <c r="K54" s="2"/>
      <c r="L54" s="7">
        <f t="shared" si="30"/>
        <v>-238.60999999999999</v>
      </c>
      <c r="M54" s="2"/>
      <c r="N54" s="6">
        <f t="shared" si="31"/>
        <v>-0.9772690039318479</v>
      </c>
      <c r="O54" s="11"/>
      <c r="P54" s="7">
        <v>-15.13</v>
      </c>
      <c r="Q54" s="2"/>
      <c r="R54" s="6">
        <f t="shared" si="32"/>
        <v>-9.8056937301804518E-6</v>
      </c>
      <c r="S54" s="2"/>
      <c r="T54" s="7">
        <v>248.86</v>
      </c>
      <c r="U54" s="2"/>
      <c r="V54" s="6">
        <f t="shared" si="33"/>
        <v>1.6077966573322159E-4</v>
      </c>
      <c r="W54" s="2"/>
      <c r="X54" s="7">
        <f t="shared" si="34"/>
        <v>-263.99</v>
      </c>
      <c r="Y54" s="2"/>
      <c r="Z54" s="6">
        <f t="shared" si="35"/>
        <v>-1.0607972353933939</v>
      </c>
    </row>
    <row r="55" spans="1:26" s="27" customFormat="1" outlineLevel="1" collapsed="1" x14ac:dyDescent="0.25">
      <c r="A55" s="28"/>
      <c r="B55" s="14" t="str">
        <f>CONCATENATE("     ","Bank/card Fees                                    ")</f>
        <v xml:space="preserve">     Bank/card Fees                                    </v>
      </c>
      <c r="C55" s="14"/>
      <c r="D55" s="1">
        <f>SUM(OSRRefD22_4x_0)</f>
        <v>9024.08</v>
      </c>
      <c r="E55" s="1"/>
      <c r="F55" s="5">
        <f t="shared" si="28"/>
        <v>1.0565831313034096E-2</v>
      </c>
      <c r="G55" s="1"/>
      <c r="H55" s="1">
        <f>SUM(OSRRefH22_4x_0)</f>
        <v>7756.84</v>
      </c>
      <c r="I55" s="1"/>
      <c r="J55" s="5">
        <f t="shared" si="29"/>
        <v>9.5047343118318302E-3</v>
      </c>
      <c r="K55" s="1"/>
      <c r="L55" s="1">
        <f t="shared" si="30"/>
        <v>1267.2399999999998</v>
      </c>
      <c r="M55" s="1"/>
      <c r="N55" s="5">
        <f t="shared" si="31"/>
        <v>0.16337065093517461</v>
      </c>
      <c r="O55" s="14"/>
      <c r="P55" s="1">
        <f>SUM(OSRRefP22_4x_0)</f>
        <v>13566.72</v>
      </c>
      <c r="Q55" s="1"/>
      <c r="R55" s="5">
        <f t="shared" si="32"/>
        <v>8.7925380861278071E-3</v>
      </c>
      <c r="S55" s="1"/>
      <c r="T55" s="1">
        <f>SUM(OSRRefT22_4x_0)</f>
        <v>12800.97</v>
      </c>
      <c r="U55" s="1"/>
      <c r="V55" s="5">
        <f t="shared" si="33"/>
        <v>8.2702550737804286E-3</v>
      </c>
      <c r="W55" s="1"/>
      <c r="X55" s="1">
        <f t="shared" si="34"/>
        <v>765.75</v>
      </c>
      <c r="Y55" s="1"/>
      <c r="Z55" s="5">
        <f t="shared" si="35"/>
        <v>5.9819685539455214E-2</v>
      </c>
    </row>
    <row r="56" spans="1:26" s="24" customFormat="1" hidden="1" outlineLevel="2" x14ac:dyDescent="0.25">
      <c r="A56" s="29"/>
      <c r="B56" s="11" t="str">
        <f>CONCATENATE("          ", "6381", " - ", "BANK/CREDIT CARD FEES")</f>
        <v xml:space="preserve">          6381 - BANK/CREDIT CARD FEES</v>
      </c>
      <c r="C56" s="11"/>
      <c r="D56" s="7">
        <v>9024.08</v>
      </c>
      <c r="E56" s="2"/>
      <c r="F56" s="6">
        <f t="shared" si="28"/>
        <v>1.0565831313034096E-2</v>
      </c>
      <c r="G56" s="2"/>
      <c r="H56" s="7">
        <v>7756.84</v>
      </c>
      <c r="I56" s="2"/>
      <c r="J56" s="6">
        <f t="shared" si="29"/>
        <v>9.5047343118318302E-3</v>
      </c>
      <c r="K56" s="2"/>
      <c r="L56" s="7">
        <f t="shared" si="30"/>
        <v>1267.2399999999998</v>
      </c>
      <c r="M56" s="2"/>
      <c r="N56" s="6">
        <f t="shared" si="31"/>
        <v>0.16337065093517461</v>
      </c>
      <c r="O56" s="11"/>
      <c r="P56" s="7">
        <v>13566.72</v>
      </c>
      <c r="Q56" s="2"/>
      <c r="R56" s="6">
        <f t="shared" si="32"/>
        <v>8.7925380861278071E-3</v>
      </c>
      <c r="S56" s="2"/>
      <c r="T56" s="7">
        <v>12800.97</v>
      </c>
      <c r="U56" s="2"/>
      <c r="V56" s="6">
        <f t="shared" si="33"/>
        <v>8.2702550737804286E-3</v>
      </c>
      <c r="W56" s="2"/>
      <c r="X56" s="7">
        <f t="shared" si="34"/>
        <v>765.75</v>
      </c>
      <c r="Y56" s="2"/>
      <c r="Z56" s="6">
        <f t="shared" si="35"/>
        <v>5.9819685539455214E-2</v>
      </c>
    </row>
    <row r="57" spans="1:26" s="27" customFormat="1" outlineLevel="1" collapsed="1" x14ac:dyDescent="0.25">
      <c r="A57" s="28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SUM(OSRRefD22_5x_0)</f>
        <v>39571.050000000003</v>
      </c>
      <c r="E57" s="1"/>
      <c r="F57" s="5">
        <f t="shared" si="28"/>
        <v>4.633170796132547E-2</v>
      </c>
      <c r="G57" s="1"/>
      <c r="H57" s="1">
        <f>SUM(OSRRefH22_5x_0)</f>
        <v>41769.21</v>
      </c>
      <c r="I57" s="1"/>
      <c r="J57" s="5">
        <f t="shared" si="29"/>
        <v>5.118131139292665E-2</v>
      </c>
      <c r="K57" s="1"/>
      <c r="L57" s="1">
        <f t="shared" si="30"/>
        <v>-2198.1599999999962</v>
      </c>
      <c r="M57" s="1"/>
      <c r="N57" s="5">
        <f t="shared" si="31"/>
        <v>-5.2626324510327012E-2</v>
      </c>
      <c r="O57" s="14"/>
      <c r="P57" s="1">
        <f>SUM(OSRRefP22_5x_0)</f>
        <v>79142.100000000006</v>
      </c>
      <c r="Q57" s="1"/>
      <c r="R57" s="5">
        <f t="shared" si="32"/>
        <v>5.1291684981051841E-2</v>
      </c>
      <c r="S57" s="1"/>
      <c r="T57" s="1">
        <f>SUM(OSRRefT22_5x_0)</f>
        <v>83538.42</v>
      </c>
      <c r="U57" s="1"/>
      <c r="V57" s="5">
        <f t="shared" si="33"/>
        <v>5.397122576340703E-2</v>
      </c>
      <c r="W57" s="1"/>
      <c r="X57" s="1">
        <f t="shared" si="34"/>
        <v>-4396.3199999999924</v>
      </c>
      <c r="Y57" s="1"/>
      <c r="Z57" s="5">
        <f t="shared" si="35"/>
        <v>-5.2626324510327012E-2</v>
      </c>
    </row>
    <row r="58" spans="1:26" s="24" customFormat="1" hidden="1" outlineLevel="2" x14ac:dyDescent="0.25">
      <c r="A58" s="29"/>
      <c r="B58" s="11" t="str">
        <f>CONCATENATE("          ", "6321", " - ", "BUILDING DEPRECIATION")</f>
        <v xml:space="preserve">          6321 - BUILDING DEPRECIATION</v>
      </c>
      <c r="C58" s="11"/>
      <c r="D58" s="7">
        <v>24042.959999999999</v>
      </c>
      <c r="E58" s="2"/>
      <c r="F58" s="6">
        <f t="shared" si="28"/>
        <v>2.8150665732797831E-2</v>
      </c>
      <c r="G58" s="2"/>
      <c r="H58" s="7">
        <v>27841.129999999997</v>
      </c>
      <c r="I58" s="2"/>
      <c r="J58" s="6">
        <f t="shared" si="29"/>
        <v>3.41147353292282E-2</v>
      </c>
      <c r="K58" s="2"/>
      <c r="L58" s="7">
        <f t="shared" si="30"/>
        <v>-3798.1699999999983</v>
      </c>
      <c r="M58" s="2"/>
      <c r="N58" s="6">
        <f t="shared" si="31"/>
        <v>-0.13642298283151577</v>
      </c>
      <c r="O58" s="11"/>
      <c r="P58" s="7">
        <v>48085.919999999998</v>
      </c>
      <c r="Q58" s="2"/>
      <c r="R58" s="6">
        <f t="shared" si="32"/>
        <v>3.1164296381623182E-2</v>
      </c>
      <c r="S58" s="2"/>
      <c r="T58" s="7">
        <v>55682.259999999995</v>
      </c>
      <c r="U58" s="2"/>
      <c r="V58" s="6">
        <f t="shared" si="33"/>
        <v>3.5974343607129852E-2</v>
      </c>
      <c r="W58" s="2"/>
      <c r="X58" s="7">
        <f t="shared" si="34"/>
        <v>-7596.3399999999965</v>
      </c>
      <c r="Y58" s="2"/>
      <c r="Z58" s="6">
        <f t="shared" si="35"/>
        <v>-0.13642298283151577</v>
      </c>
    </row>
    <row r="59" spans="1:26" s="24" customFormat="1" hidden="1" outlineLevel="2" x14ac:dyDescent="0.25">
      <c r="A59" s="29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15103.84</v>
      </c>
      <c r="E59" s="2"/>
      <c r="F59" s="6">
        <f t="shared" si="28"/>
        <v>1.7684309715678154E-2</v>
      </c>
      <c r="G59" s="2"/>
      <c r="H59" s="7">
        <v>13503.83</v>
      </c>
      <c r="I59" s="2"/>
      <c r="J59" s="6">
        <f t="shared" si="29"/>
        <v>1.6546727319648725E-2</v>
      </c>
      <c r="K59" s="2"/>
      <c r="L59" s="7">
        <f t="shared" si="30"/>
        <v>1600.0100000000002</v>
      </c>
      <c r="M59" s="2"/>
      <c r="N59" s="6">
        <f t="shared" si="31"/>
        <v>0.11848564444309505</v>
      </c>
      <c r="O59" s="11"/>
      <c r="P59" s="7">
        <v>30207.68</v>
      </c>
      <c r="Q59" s="2"/>
      <c r="R59" s="6">
        <f t="shared" si="32"/>
        <v>1.9577479073317743E-2</v>
      </c>
      <c r="S59" s="2"/>
      <c r="T59" s="7">
        <v>27007.66</v>
      </c>
      <c r="U59" s="2"/>
      <c r="V59" s="6">
        <f t="shared" si="33"/>
        <v>1.7448696243014143E-2</v>
      </c>
      <c r="W59" s="2"/>
      <c r="X59" s="7">
        <f t="shared" si="34"/>
        <v>3200.0200000000004</v>
      </c>
      <c r="Y59" s="2"/>
      <c r="Z59" s="6">
        <f t="shared" si="35"/>
        <v>0.11848564444309505</v>
      </c>
    </row>
    <row r="60" spans="1:26" s="24" customFormat="1" hidden="1" outlineLevel="2" x14ac:dyDescent="0.25">
      <c r="A60" s="29"/>
      <c r="B60" s="11" t="str">
        <f>CONCATENATE("          ", "6326", " - ", "VEHICLES DEPRECIATION EXPENSE")</f>
        <v xml:space="preserve">          6326 - VEHICLES DEPRECIATION EXPENSE</v>
      </c>
      <c r="C60" s="11"/>
      <c r="D60" s="7">
        <v>424.25</v>
      </c>
      <c r="E60" s="2"/>
      <c r="F60" s="6">
        <f t="shared" si="28"/>
        <v>4.9673251284947778E-4</v>
      </c>
      <c r="G60" s="2"/>
      <c r="H60" s="7">
        <v>424.25</v>
      </c>
      <c r="I60" s="2"/>
      <c r="J60" s="6">
        <f t="shared" si="29"/>
        <v>5.1984874404972304E-4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848.5</v>
      </c>
      <c r="Q60" s="2"/>
      <c r="R60" s="6">
        <f t="shared" si="32"/>
        <v>5.4990952611091298E-4</v>
      </c>
      <c r="S60" s="2"/>
      <c r="T60" s="7">
        <v>848.5</v>
      </c>
      <c r="U60" s="2"/>
      <c r="V60" s="6">
        <f t="shared" si="33"/>
        <v>5.4818591326303353E-4</v>
      </c>
      <c r="W60" s="2"/>
      <c r="X60" s="7">
        <f t="shared" si="34"/>
        <v>0</v>
      </c>
      <c r="Y60" s="2"/>
      <c r="Z60" s="6">
        <f t="shared" si="35"/>
        <v>0</v>
      </c>
    </row>
    <row r="61" spans="1:26" s="27" customFormat="1" outlineLevel="1" collapsed="1" x14ac:dyDescent="0.25">
      <c r="A61" s="28"/>
      <c r="B61" s="14" t="str">
        <f>CONCATENATE("     ","Donations                                         ")</f>
        <v xml:space="preserve">     Donations                                         </v>
      </c>
      <c r="C61" s="14"/>
      <c r="D61" s="1">
        <f>SUM(OSRRefD22_6x_0)</f>
        <v>7780.75</v>
      </c>
      <c r="E61" s="1"/>
      <c r="F61" s="5">
        <f t="shared" ref="F61:F69" si="36">IF(D$12=0,0,D61/D$12)</f>
        <v>9.1100801399023549E-3</v>
      </c>
      <c r="G61" s="1"/>
      <c r="H61" s="1">
        <f>SUM(OSRRefH22_6x_0)</f>
        <v>6554.6</v>
      </c>
      <c r="I61" s="1"/>
      <c r="J61" s="5">
        <f t="shared" ref="J61:J69" si="37">IF(H$12=0,0,H61/H$12)</f>
        <v>8.0315865120761699E-3</v>
      </c>
      <c r="K61" s="1"/>
      <c r="L61" s="1">
        <f t="shared" ref="L61:L69" si="38">+D61-H61</f>
        <v>1226.1499999999996</v>
      </c>
      <c r="M61" s="1"/>
      <c r="N61" s="5">
        <f t="shared" ref="N61:N69" si="39">IF(H61=0,0,L61/H61)</f>
        <v>0.18706709791596735</v>
      </c>
      <c r="O61" s="14"/>
      <c r="P61" s="1">
        <f>SUM(OSRRefP22_6x_0)</f>
        <v>7780.75</v>
      </c>
      <c r="Q61" s="1"/>
      <c r="R61" s="5">
        <f t="shared" ref="R61:R69" si="40">IF(P$12=0,0,P61/P$12)</f>
        <v>5.0426735949174852E-3</v>
      </c>
      <c r="S61" s="1"/>
      <c r="T61" s="1">
        <f>SUM(OSRRefT22_6x_0)</f>
        <v>6554.6</v>
      </c>
      <c r="U61" s="1"/>
      <c r="V61" s="5">
        <f t="shared" ref="V61:V69" si="41">IF(T$12=0,0,T61/T$12)</f>
        <v>4.2346958009120564E-3</v>
      </c>
      <c r="W61" s="1"/>
      <c r="X61" s="1">
        <f t="shared" ref="X61:X69" si="42">+P61-T61</f>
        <v>1226.1499999999996</v>
      </c>
      <c r="Y61" s="1"/>
      <c r="Z61" s="5">
        <f t="shared" ref="Z61:Z69" si="43">IF(T61=0,0,X61/T61)</f>
        <v>0.18706709791596735</v>
      </c>
    </row>
    <row r="62" spans="1:26" s="24" customFormat="1" hidden="1" outlineLevel="2" x14ac:dyDescent="0.25">
      <c r="A62" s="29"/>
      <c r="B62" s="11" t="str">
        <f>CONCATENATE("          ", "6399", " - ", "DONATION-ON CAMPUS")</f>
        <v xml:space="preserve">          6399 - DONATION-ON CAMPUS</v>
      </c>
      <c r="C62" s="11"/>
      <c r="D62" s="7">
        <v>7780.75</v>
      </c>
      <c r="E62" s="2"/>
      <c r="F62" s="6">
        <f t="shared" si="36"/>
        <v>9.1100801399023549E-3</v>
      </c>
      <c r="G62" s="2"/>
      <c r="H62" s="7">
        <v>6554.6</v>
      </c>
      <c r="I62" s="2"/>
      <c r="J62" s="6">
        <f t="shared" si="37"/>
        <v>8.0315865120761699E-3</v>
      </c>
      <c r="K62" s="2"/>
      <c r="L62" s="7">
        <f t="shared" si="38"/>
        <v>1226.1499999999996</v>
      </c>
      <c r="M62" s="2"/>
      <c r="N62" s="6">
        <f t="shared" si="39"/>
        <v>0.18706709791596735</v>
      </c>
      <c r="O62" s="11"/>
      <c r="P62" s="7">
        <v>7780.75</v>
      </c>
      <c r="Q62" s="2"/>
      <c r="R62" s="6">
        <f t="shared" si="40"/>
        <v>5.0426735949174852E-3</v>
      </c>
      <c r="S62" s="2"/>
      <c r="T62" s="7">
        <v>6554.6</v>
      </c>
      <c r="U62" s="2"/>
      <c r="V62" s="6">
        <f t="shared" si="41"/>
        <v>4.2346958009120564E-3</v>
      </c>
      <c r="W62" s="2"/>
      <c r="X62" s="7">
        <f t="shared" si="42"/>
        <v>1226.1499999999996</v>
      </c>
      <c r="Y62" s="2"/>
      <c r="Z62" s="6">
        <f t="shared" si="43"/>
        <v>0.18706709791596735</v>
      </c>
    </row>
    <row r="63" spans="1:26" s="27" customFormat="1" outlineLevel="1" collapsed="1" x14ac:dyDescent="0.25">
      <c r="A63" s="28"/>
      <c r="B63" s="14" t="str">
        <f>CONCATENATE("     ","Employees' Appreciation                           ")</f>
        <v xml:space="preserve">     Employees' Appreciation                           </v>
      </c>
      <c r="C63" s="14"/>
      <c r="D63" s="1">
        <f>SUM(OSRRefD22_7x_0)</f>
        <v>403.02</v>
      </c>
      <c r="E63" s="1"/>
      <c r="F63" s="5">
        <f t="shared" si="36"/>
        <v>4.7187539735673906E-4</v>
      </c>
      <c r="G63" s="1"/>
      <c r="H63" s="1">
        <f>SUM(OSRRefH22_7x_0)</f>
        <v>310.83999999999997</v>
      </c>
      <c r="I63" s="1"/>
      <c r="J63" s="5">
        <f t="shared" si="37"/>
        <v>3.8088340271164619E-4</v>
      </c>
      <c r="K63" s="1"/>
      <c r="L63" s="1">
        <f t="shared" si="38"/>
        <v>92.18</v>
      </c>
      <c r="M63" s="1"/>
      <c r="N63" s="5">
        <f t="shared" si="39"/>
        <v>0.29655128040149276</v>
      </c>
      <c r="O63" s="14"/>
      <c r="P63" s="1">
        <f>SUM(OSRRefP22_7x_0)</f>
        <v>512.78</v>
      </c>
      <c r="Q63" s="1"/>
      <c r="R63" s="5">
        <f t="shared" si="40"/>
        <v>3.3233070925062339E-4</v>
      </c>
      <c r="S63" s="1"/>
      <c r="T63" s="1">
        <f>SUM(OSRRefT22_7x_0)</f>
        <v>388.95</v>
      </c>
      <c r="U63" s="1"/>
      <c r="V63" s="5">
        <f t="shared" si="41"/>
        <v>2.5128687208445124E-4</v>
      </c>
      <c r="W63" s="1"/>
      <c r="X63" s="1">
        <f t="shared" si="42"/>
        <v>123.82999999999998</v>
      </c>
      <c r="Y63" s="1"/>
      <c r="Z63" s="5">
        <f t="shared" si="43"/>
        <v>0.31836997043321763</v>
      </c>
    </row>
    <row r="64" spans="1:26" s="24" customFormat="1" hidden="1" outlineLevel="2" x14ac:dyDescent="0.25">
      <c r="A64" s="29"/>
      <c r="B64" s="11" t="str">
        <f>CONCATENATE("          ", "6277", " - ", "EMPLOYEE APPRECIATION")</f>
        <v xml:space="preserve">          6277 - EMPLOYEE APPRECIATION</v>
      </c>
      <c r="C64" s="11"/>
      <c r="D64" s="7">
        <v>403.02</v>
      </c>
      <c r="E64" s="2"/>
      <c r="F64" s="6">
        <f t="shared" si="36"/>
        <v>4.7187539735673906E-4</v>
      </c>
      <c r="G64" s="2"/>
      <c r="H64" s="7">
        <v>310.83999999999997</v>
      </c>
      <c r="I64" s="2"/>
      <c r="J64" s="6">
        <f t="shared" si="37"/>
        <v>3.8088340271164619E-4</v>
      </c>
      <c r="K64" s="2"/>
      <c r="L64" s="7">
        <f t="shared" si="38"/>
        <v>92.18</v>
      </c>
      <c r="M64" s="2"/>
      <c r="N64" s="6">
        <f t="shared" si="39"/>
        <v>0.29655128040149276</v>
      </c>
      <c r="O64" s="11"/>
      <c r="P64" s="7">
        <v>512.78</v>
      </c>
      <c r="Q64" s="2"/>
      <c r="R64" s="6">
        <f t="shared" si="40"/>
        <v>3.3233070925062339E-4</v>
      </c>
      <c r="S64" s="2"/>
      <c r="T64" s="7">
        <v>388.95</v>
      </c>
      <c r="U64" s="2"/>
      <c r="V64" s="6">
        <f t="shared" si="41"/>
        <v>2.5128687208445124E-4</v>
      </c>
      <c r="W64" s="2"/>
      <c r="X64" s="7">
        <f t="shared" si="42"/>
        <v>123.82999999999998</v>
      </c>
      <c r="Y64" s="2"/>
      <c r="Z64" s="6">
        <f t="shared" si="43"/>
        <v>0.31836997043321763</v>
      </c>
    </row>
    <row r="65" spans="1:26" s="27" customFormat="1" outlineLevel="1" collapsed="1" x14ac:dyDescent="0.25">
      <c r="A65" s="28"/>
      <c r="B65" s="14" t="str">
        <f>CONCATENATE("     ","Equipment Rental                                  ")</f>
        <v xml:space="preserve">     Equipment Rental                                  </v>
      </c>
      <c r="C65" s="14"/>
      <c r="D65" s="1">
        <f>SUM(OSRRefD22_8x_0)</f>
        <v>5077.03</v>
      </c>
      <c r="E65" s="1"/>
      <c r="F65" s="5">
        <f t="shared" si="36"/>
        <v>5.944433399439444E-3</v>
      </c>
      <c r="G65" s="1"/>
      <c r="H65" s="1">
        <f>SUM(OSRRefH22_8x_0)</f>
        <v>1272.23</v>
      </c>
      <c r="I65" s="1"/>
      <c r="J65" s="5">
        <f t="shared" si="37"/>
        <v>1.5589090574952957E-3</v>
      </c>
      <c r="K65" s="1"/>
      <c r="L65" s="1">
        <f t="shared" si="38"/>
        <v>3804.7999999999997</v>
      </c>
      <c r="M65" s="1"/>
      <c r="N65" s="5">
        <f t="shared" si="39"/>
        <v>2.9906542056074765</v>
      </c>
      <c r="O65" s="14"/>
      <c r="P65" s="1">
        <f>SUM(OSRRefP22_8x_0)</f>
        <v>6866.67</v>
      </c>
      <c r="Q65" s="1"/>
      <c r="R65" s="5">
        <f t="shared" si="40"/>
        <v>4.4502619277077462E-3</v>
      </c>
      <c r="S65" s="1"/>
      <c r="T65" s="1">
        <f>SUM(OSRRefT22_8x_0)</f>
        <v>3777.76</v>
      </c>
      <c r="U65" s="1"/>
      <c r="V65" s="5">
        <f t="shared" si="41"/>
        <v>2.4406774492499207E-3</v>
      </c>
      <c r="W65" s="1"/>
      <c r="X65" s="1">
        <f t="shared" si="42"/>
        <v>3088.91</v>
      </c>
      <c r="Y65" s="1"/>
      <c r="Z65" s="5">
        <f t="shared" si="43"/>
        <v>0.81765649485409331</v>
      </c>
    </row>
    <row r="66" spans="1:26" s="24" customFormat="1" hidden="1" outlineLevel="2" x14ac:dyDescent="0.25">
      <c r="A66" s="29"/>
      <c r="B66" s="11" t="str">
        <f>CONCATENATE("          ", "6351", " - ", "EQUIPMENT RENTAL")</f>
        <v xml:space="preserve">          6351 - EQUIPMENT RENTAL</v>
      </c>
      <c r="C66" s="11"/>
      <c r="D66" s="7">
        <v>5077.03</v>
      </c>
      <c r="E66" s="2"/>
      <c r="F66" s="6">
        <f t="shared" si="36"/>
        <v>5.944433399439444E-3</v>
      </c>
      <c r="G66" s="2"/>
      <c r="H66" s="7">
        <v>1272.23</v>
      </c>
      <c r="I66" s="2"/>
      <c r="J66" s="6">
        <f t="shared" si="37"/>
        <v>1.5589090574952957E-3</v>
      </c>
      <c r="K66" s="2"/>
      <c r="L66" s="7">
        <f t="shared" si="38"/>
        <v>3804.7999999999997</v>
      </c>
      <c r="M66" s="2"/>
      <c r="N66" s="6">
        <f t="shared" si="39"/>
        <v>2.9906542056074765</v>
      </c>
      <c r="O66" s="11"/>
      <c r="P66" s="7">
        <v>6866.67</v>
      </c>
      <c r="Q66" s="2"/>
      <c r="R66" s="6">
        <f t="shared" si="40"/>
        <v>4.4502619277077462E-3</v>
      </c>
      <c r="S66" s="2"/>
      <c r="T66" s="7">
        <v>3777.76</v>
      </c>
      <c r="U66" s="2"/>
      <c r="V66" s="6">
        <f t="shared" si="41"/>
        <v>2.4406774492499207E-3</v>
      </c>
      <c r="W66" s="2"/>
      <c r="X66" s="7">
        <f t="shared" si="42"/>
        <v>3088.91</v>
      </c>
      <c r="Y66" s="2"/>
      <c r="Z66" s="6">
        <f t="shared" si="43"/>
        <v>0.81765649485409331</v>
      </c>
    </row>
    <row r="67" spans="1:26" s="27" customFormat="1" outlineLevel="1" collapsed="1" x14ac:dyDescent="0.25">
      <c r="A67" s="28"/>
      <c r="B67" s="14" t="str">
        <f>CONCATENATE("     ","General                                           ")</f>
        <v xml:space="preserve">     General                                           </v>
      </c>
      <c r="C67" s="14"/>
      <c r="D67" s="1">
        <f>SUM(OSRRefD22_9x_0)</f>
        <v>4937.93</v>
      </c>
      <c r="E67" s="1"/>
      <c r="F67" s="5">
        <f t="shared" si="36"/>
        <v>5.7815683610484905E-3</v>
      </c>
      <c r="G67" s="1"/>
      <c r="H67" s="1">
        <f>SUM(OSRRefH22_9x_0)</f>
        <v>3383.04</v>
      </c>
      <c r="I67" s="1"/>
      <c r="J67" s="5">
        <f t="shared" si="37"/>
        <v>4.1453602712315267E-3</v>
      </c>
      <c r="K67" s="1"/>
      <c r="L67" s="1">
        <f t="shared" si="38"/>
        <v>1554.8900000000003</v>
      </c>
      <c r="M67" s="1"/>
      <c r="N67" s="5">
        <f t="shared" si="39"/>
        <v>0.45961324725690511</v>
      </c>
      <c r="O67" s="14"/>
      <c r="P67" s="1">
        <f>SUM(OSRRefP22_9x_0)</f>
        <v>28176.84</v>
      </c>
      <c r="Q67" s="1"/>
      <c r="R67" s="5">
        <f t="shared" si="40"/>
        <v>1.8261299624870969E-2</v>
      </c>
      <c r="S67" s="1"/>
      <c r="T67" s="1">
        <f>SUM(OSRRefT22_9x_0)</f>
        <v>25178</v>
      </c>
      <c r="U67" s="1"/>
      <c r="V67" s="5">
        <f t="shared" si="41"/>
        <v>1.6266617470991937E-2</v>
      </c>
      <c r="W67" s="1"/>
      <c r="X67" s="1">
        <f t="shared" si="42"/>
        <v>2998.84</v>
      </c>
      <c r="Y67" s="1"/>
      <c r="Z67" s="5">
        <f t="shared" si="43"/>
        <v>0.11910556835332434</v>
      </c>
    </row>
    <row r="68" spans="1:26" s="24" customFormat="1" hidden="1" outlineLevel="2" x14ac:dyDescent="0.25">
      <c r="A68" s="29"/>
      <c r="B68" s="11" t="str">
        <f>CONCATENATE("          ", "6269", " - ", "ENTERTAINMENT")</f>
        <v xml:space="preserve">          6269 - ENTERTAINMENT</v>
      </c>
      <c r="C68" s="11"/>
      <c r="D68" s="7">
        <v>2600</v>
      </c>
      <c r="E68" s="2"/>
      <c r="F68" s="6">
        <f t="shared" si="36"/>
        <v>3.0442063250645662E-3</v>
      </c>
      <c r="G68" s="2"/>
      <c r="H68" s="7">
        <v>1550</v>
      </c>
      <c r="I68" s="2"/>
      <c r="J68" s="6">
        <f t="shared" si="37"/>
        <v>1.8992706028923294E-3</v>
      </c>
      <c r="K68" s="2"/>
      <c r="L68" s="7">
        <f t="shared" si="38"/>
        <v>1050</v>
      </c>
      <c r="M68" s="2"/>
      <c r="N68" s="6">
        <f t="shared" si="39"/>
        <v>0.67741935483870963</v>
      </c>
      <c r="O68" s="11"/>
      <c r="P68" s="7">
        <v>2600</v>
      </c>
      <c r="Q68" s="2"/>
      <c r="R68" s="6">
        <f t="shared" si="40"/>
        <v>1.6850498148360327E-3</v>
      </c>
      <c r="S68" s="2"/>
      <c r="T68" s="7">
        <v>1550</v>
      </c>
      <c r="U68" s="2"/>
      <c r="V68" s="6">
        <f t="shared" si="41"/>
        <v>1.0014003129731313E-3</v>
      </c>
      <c r="W68" s="2"/>
      <c r="X68" s="7">
        <f t="shared" si="42"/>
        <v>1050</v>
      </c>
      <c r="Y68" s="2"/>
      <c r="Z68" s="6">
        <f t="shared" si="43"/>
        <v>0.67741935483870963</v>
      </c>
    </row>
    <row r="69" spans="1:26" s="24" customFormat="1" hidden="1" outlineLevel="2" x14ac:dyDescent="0.25">
      <c r="A69" s="29"/>
      <c r="B69" s="11" t="str">
        <f>CONCATENATE("          ", "6279", " - ", "GENERAL EXPENSE")</f>
        <v xml:space="preserve">          6279 - GENERAL EXPENSE</v>
      </c>
      <c r="C69" s="11"/>
      <c r="D69" s="7">
        <v>2337.9299999999998</v>
      </c>
      <c r="E69" s="2"/>
      <c r="F69" s="6">
        <f t="shared" si="36"/>
        <v>2.7373620359839234E-3</v>
      </c>
      <c r="G69" s="2"/>
      <c r="H69" s="7">
        <v>1833.04</v>
      </c>
      <c r="I69" s="2"/>
      <c r="J69" s="6">
        <f t="shared" si="37"/>
        <v>2.2460896683391971E-3</v>
      </c>
      <c r="K69" s="2"/>
      <c r="L69" s="7">
        <f t="shared" si="38"/>
        <v>504.88999999999987</v>
      </c>
      <c r="M69" s="2"/>
      <c r="N69" s="6">
        <f t="shared" si="39"/>
        <v>0.27543861563304667</v>
      </c>
      <c r="O69" s="11"/>
      <c r="P69" s="7">
        <v>25576.84</v>
      </c>
      <c r="Q69" s="2"/>
      <c r="R69" s="6">
        <f t="shared" si="40"/>
        <v>1.6576249810034936E-2</v>
      </c>
      <c r="S69" s="2"/>
      <c r="T69" s="7">
        <v>23628</v>
      </c>
      <c r="U69" s="2"/>
      <c r="V69" s="6">
        <f t="shared" si="41"/>
        <v>1.5265217158018804E-2</v>
      </c>
      <c r="W69" s="2"/>
      <c r="X69" s="7">
        <f t="shared" si="42"/>
        <v>1948.8400000000001</v>
      </c>
      <c r="Y69" s="2"/>
      <c r="Z69" s="6">
        <f t="shared" si="43"/>
        <v>8.2480108346030145E-2</v>
      </c>
    </row>
    <row r="70" spans="1:26" s="27" customFormat="1" outlineLevel="1" collapsed="1" x14ac:dyDescent="0.25">
      <c r="A70" s="28"/>
      <c r="B70" s="14" t="str">
        <f>CONCATENATE("     ","Insurance                                         ")</f>
        <v xml:space="preserve">     Insurance                                         </v>
      </c>
      <c r="C70" s="14"/>
      <c r="D70" s="1">
        <f>SUM(OSRRefD22_10x_0)</f>
        <v>4246.03</v>
      </c>
      <c r="E70" s="1"/>
      <c r="F70" s="5">
        <f t="shared" ref="F70:F83" si="44">IF(D$12=0,0,D70/D$12)</f>
        <v>4.9714582240053462E-3</v>
      </c>
      <c r="G70" s="1"/>
      <c r="H70" s="1">
        <f>SUM(OSRRefH22_10x_0)</f>
        <v>3998.11</v>
      </c>
      <c r="I70" s="1"/>
      <c r="J70" s="5">
        <f t="shared" ref="J70:J83" si="45">IF(H$12=0,0,H70/H$12)</f>
        <v>4.8990276065353881E-3</v>
      </c>
      <c r="K70" s="1"/>
      <c r="L70" s="1">
        <f t="shared" ref="L70:L83" si="46">+D70-H70</f>
        <v>247.91999999999962</v>
      </c>
      <c r="M70" s="1"/>
      <c r="N70" s="5">
        <f t="shared" ref="N70:N83" si="47">IF(H70=0,0,L70/H70)</f>
        <v>6.2009299393963553E-2</v>
      </c>
      <c r="O70" s="14"/>
      <c r="P70" s="1">
        <f>SUM(OSRRefP22_10x_0)</f>
        <v>8492.06</v>
      </c>
      <c r="Q70" s="1"/>
      <c r="R70" s="5">
        <f t="shared" ref="R70:R83" si="48">IF(P$12=0,0,P70/P$12)</f>
        <v>5.5036708194524915E-3</v>
      </c>
      <c r="S70" s="1"/>
      <c r="T70" s="1">
        <f>SUM(OSRRefT22_10x_0)</f>
        <v>7996.22</v>
      </c>
      <c r="U70" s="1"/>
      <c r="V70" s="5">
        <f t="shared" ref="V70:V83" si="49">IF(T$12=0,0,T70/T$12)</f>
        <v>5.1660756197432342E-3</v>
      </c>
      <c r="W70" s="1"/>
      <c r="X70" s="1">
        <f t="shared" ref="X70:X83" si="50">+P70-T70</f>
        <v>495.83999999999924</v>
      </c>
      <c r="Y70" s="1"/>
      <c r="Z70" s="5">
        <f t="shared" ref="Z70:Z83" si="51">IF(T70=0,0,X70/T70)</f>
        <v>6.2009299393963553E-2</v>
      </c>
    </row>
    <row r="71" spans="1:26" s="24" customFormat="1" hidden="1" outlineLevel="2" x14ac:dyDescent="0.25">
      <c r="A71" s="29"/>
      <c r="B71" s="11" t="str">
        <f>CONCATENATE("          ", "6314", " - ", "LIABILITY INSURANCE")</f>
        <v xml:space="preserve">          6314 - LIABILITY INSURANCE</v>
      </c>
      <c r="C71" s="11"/>
      <c r="D71" s="7">
        <v>4246.03</v>
      </c>
      <c r="E71" s="2"/>
      <c r="F71" s="6">
        <f t="shared" si="44"/>
        <v>4.9714582240053462E-3</v>
      </c>
      <c r="G71" s="2"/>
      <c r="H71" s="7">
        <v>3998.11</v>
      </c>
      <c r="I71" s="2"/>
      <c r="J71" s="6">
        <f t="shared" si="45"/>
        <v>4.8990276065353881E-3</v>
      </c>
      <c r="K71" s="2"/>
      <c r="L71" s="7">
        <f t="shared" si="46"/>
        <v>247.91999999999962</v>
      </c>
      <c r="M71" s="2"/>
      <c r="N71" s="6">
        <f t="shared" si="47"/>
        <v>6.2009299393963553E-2</v>
      </c>
      <c r="O71" s="11"/>
      <c r="P71" s="7">
        <v>8492.06</v>
      </c>
      <c r="Q71" s="2"/>
      <c r="R71" s="6">
        <f t="shared" si="48"/>
        <v>5.5036708194524915E-3</v>
      </c>
      <c r="S71" s="2"/>
      <c r="T71" s="7">
        <v>7996.22</v>
      </c>
      <c r="U71" s="2"/>
      <c r="V71" s="6">
        <f t="shared" si="49"/>
        <v>5.1660756197432342E-3</v>
      </c>
      <c r="W71" s="2"/>
      <c r="X71" s="7">
        <f t="shared" si="50"/>
        <v>495.83999999999924</v>
      </c>
      <c r="Y71" s="2"/>
      <c r="Z71" s="6">
        <f t="shared" si="51"/>
        <v>6.2009299393963553E-2</v>
      </c>
    </row>
    <row r="72" spans="1:26" s="27" customFormat="1" outlineLevel="1" collapsed="1" x14ac:dyDescent="0.25">
      <c r="A72" s="28"/>
      <c r="B72" s="14" t="str">
        <f>CONCATENATE("     ","Interest                                          ")</f>
        <v xml:space="preserve">     Interest                                          </v>
      </c>
      <c r="C72" s="14"/>
      <c r="D72" s="1">
        <f>SUM(OSRRefD22_11x_0)</f>
        <v>7630</v>
      </c>
      <c r="E72" s="1"/>
      <c r="F72" s="5">
        <f t="shared" si="44"/>
        <v>8.9335747154779387E-3</v>
      </c>
      <c r="G72" s="1"/>
      <c r="H72" s="1">
        <f>SUM(OSRRefH22_11x_0)</f>
        <v>7949</v>
      </c>
      <c r="I72" s="1"/>
      <c r="J72" s="5">
        <f t="shared" si="45"/>
        <v>9.7401948531555642E-3</v>
      </c>
      <c r="K72" s="1"/>
      <c r="L72" s="1">
        <f t="shared" si="46"/>
        <v>-319</v>
      </c>
      <c r="M72" s="1"/>
      <c r="N72" s="5">
        <f t="shared" si="47"/>
        <v>-4.013083406717826E-2</v>
      </c>
      <c r="O72" s="14"/>
      <c r="P72" s="1">
        <f>SUM(OSRRefP22_11x_0)</f>
        <v>15260</v>
      </c>
      <c r="Q72" s="1"/>
      <c r="R72" s="5">
        <f t="shared" si="48"/>
        <v>9.8899462209222529E-3</v>
      </c>
      <c r="S72" s="1"/>
      <c r="T72" s="1">
        <f>SUM(OSRRefT22_11x_0)</f>
        <v>15898</v>
      </c>
      <c r="U72" s="1"/>
      <c r="V72" s="5">
        <f t="shared" si="49"/>
        <v>1.0271136887514092E-2</v>
      </c>
      <c r="W72" s="1"/>
      <c r="X72" s="1">
        <f t="shared" si="50"/>
        <v>-638</v>
      </c>
      <c r="Y72" s="1"/>
      <c r="Z72" s="5">
        <f t="shared" si="51"/>
        <v>-4.013083406717826E-2</v>
      </c>
    </row>
    <row r="73" spans="1:26" s="24" customFormat="1" hidden="1" outlineLevel="2" x14ac:dyDescent="0.25">
      <c r="A73" s="29"/>
      <c r="B73" s="11" t="str">
        <f>CONCATENATE("          ", "6401", " - ", "INTEREST EXPENSE")</f>
        <v xml:space="preserve">          6401 - INTEREST EXPENSE</v>
      </c>
      <c r="C73" s="11"/>
      <c r="D73" s="7">
        <v>7630</v>
      </c>
      <c r="E73" s="2"/>
      <c r="F73" s="6">
        <f t="shared" si="44"/>
        <v>8.9335747154779387E-3</v>
      </c>
      <c r="G73" s="2"/>
      <c r="H73" s="7">
        <v>7949</v>
      </c>
      <c r="I73" s="2"/>
      <c r="J73" s="6">
        <f t="shared" si="45"/>
        <v>9.7401948531555642E-3</v>
      </c>
      <c r="K73" s="2"/>
      <c r="L73" s="7">
        <f t="shared" si="46"/>
        <v>-319</v>
      </c>
      <c r="M73" s="2"/>
      <c r="N73" s="6">
        <f t="shared" si="47"/>
        <v>-4.013083406717826E-2</v>
      </c>
      <c r="O73" s="11"/>
      <c r="P73" s="7">
        <v>15260</v>
      </c>
      <c r="Q73" s="2"/>
      <c r="R73" s="6">
        <f t="shared" si="48"/>
        <v>9.8899462209222529E-3</v>
      </c>
      <c r="S73" s="2"/>
      <c r="T73" s="7">
        <v>15898</v>
      </c>
      <c r="U73" s="2"/>
      <c r="V73" s="6">
        <f t="shared" si="49"/>
        <v>1.0271136887514092E-2</v>
      </c>
      <c r="W73" s="2"/>
      <c r="X73" s="7">
        <f t="shared" si="50"/>
        <v>-638</v>
      </c>
      <c r="Y73" s="2"/>
      <c r="Z73" s="6">
        <f t="shared" si="51"/>
        <v>-4.013083406717826E-2</v>
      </c>
    </row>
    <row r="74" spans="1:26" s="27" customFormat="1" outlineLevel="1" collapsed="1" x14ac:dyDescent="0.25">
      <c r="A74" s="28"/>
      <c r="B74" s="14" t="str">
        <f>CONCATENATE("     ","Professional Services                             ")</f>
        <v xml:space="preserve">     Professional Services                             </v>
      </c>
      <c r="C74" s="14"/>
      <c r="D74" s="1">
        <f>SUM(OSRRefD22_12x_0)</f>
        <v>125</v>
      </c>
      <c r="E74" s="1"/>
      <c r="F74" s="5">
        <f t="shared" si="44"/>
        <v>1.4635607332041185E-4</v>
      </c>
      <c r="G74" s="1"/>
      <c r="H74" s="1">
        <f>SUM(OSRRefH22_12x_0)</f>
        <v>0</v>
      </c>
      <c r="I74" s="1"/>
      <c r="J74" s="5">
        <f t="shared" si="45"/>
        <v>0</v>
      </c>
      <c r="K74" s="1"/>
      <c r="L74" s="1">
        <f t="shared" si="46"/>
        <v>125</v>
      </c>
      <c r="M74" s="1"/>
      <c r="N74" s="5">
        <f t="shared" si="47"/>
        <v>0</v>
      </c>
      <c r="O74" s="14"/>
      <c r="P74" s="1">
        <f>SUM(OSRRefP22_12x_0)</f>
        <v>125</v>
      </c>
      <c r="Q74" s="1"/>
      <c r="R74" s="5">
        <f t="shared" si="48"/>
        <v>8.1012010328655414E-5</v>
      </c>
      <c r="S74" s="1"/>
      <c r="T74" s="1">
        <f>SUM(OSRRefT22_12x_0)</f>
        <v>0</v>
      </c>
      <c r="U74" s="1"/>
      <c r="V74" s="5">
        <f t="shared" si="49"/>
        <v>0</v>
      </c>
      <c r="W74" s="1"/>
      <c r="X74" s="1">
        <f t="shared" si="50"/>
        <v>125</v>
      </c>
      <c r="Y74" s="1"/>
      <c r="Z74" s="5">
        <f t="shared" si="51"/>
        <v>0</v>
      </c>
    </row>
    <row r="75" spans="1:26" s="24" customFormat="1" hidden="1" outlineLevel="2" x14ac:dyDescent="0.25">
      <c r="A75" s="29"/>
      <c r="B75" s="11" t="str">
        <f>CONCATENATE("          ", "6336", " - ", "PROFESSIONAL SERVICES")</f>
        <v xml:space="preserve">          6336 - PROFESSIONAL SERVICES</v>
      </c>
      <c r="C75" s="11"/>
      <c r="D75" s="7">
        <v>125</v>
      </c>
      <c r="E75" s="2"/>
      <c r="F75" s="6">
        <f t="shared" si="44"/>
        <v>1.4635607332041185E-4</v>
      </c>
      <c r="G75" s="2"/>
      <c r="H75" s="7"/>
      <c r="I75" s="2"/>
      <c r="J75" s="6">
        <f t="shared" si="45"/>
        <v>0</v>
      </c>
      <c r="K75" s="2"/>
      <c r="L75" s="7">
        <f t="shared" si="46"/>
        <v>125</v>
      </c>
      <c r="M75" s="2"/>
      <c r="N75" s="6">
        <f t="shared" si="47"/>
        <v>0</v>
      </c>
      <c r="O75" s="11"/>
      <c r="P75" s="7">
        <v>125</v>
      </c>
      <c r="Q75" s="2"/>
      <c r="R75" s="6">
        <f t="shared" si="48"/>
        <v>8.1012010328655414E-5</v>
      </c>
      <c r="S75" s="2"/>
      <c r="T75" s="7"/>
      <c r="U75" s="2"/>
      <c r="V75" s="6">
        <f t="shared" si="49"/>
        <v>0</v>
      </c>
      <c r="W75" s="2"/>
      <c r="X75" s="7">
        <f t="shared" si="50"/>
        <v>125</v>
      </c>
      <c r="Y75" s="2"/>
      <c r="Z75" s="6">
        <f t="shared" si="51"/>
        <v>0</v>
      </c>
    </row>
    <row r="76" spans="1:26" s="27" customFormat="1" outlineLevel="1" collapsed="1" x14ac:dyDescent="0.25">
      <c r="A76" s="28"/>
      <c r="B76" s="14" t="str">
        <f>CONCATENATE("     ","R/H Commissions                                   ")</f>
        <v xml:space="preserve">     R/H Commissions                                   </v>
      </c>
      <c r="C76" s="14"/>
      <c r="D76" s="1">
        <f>SUM(OSRRefD22_13x_0)</f>
        <v>32320.179999999997</v>
      </c>
      <c r="E76" s="1"/>
      <c r="F76" s="5">
        <f t="shared" si="44"/>
        <v>3.7842037070471263E-2</v>
      </c>
      <c r="G76" s="1"/>
      <c r="H76" s="1">
        <f>SUM(OSRRefH22_13x_0)</f>
        <v>36735.14</v>
      </c>
      <c r="I76" s="1"/>
      <c r="J76" s="5">
        <f t="shared" si="45"/>
        <v>4.5012884835570401E-2</v>
      </c>
      <c r="K76" s="1"/>
      <c r="L76" s="1">
        <f t="shared" si="46"/>
        <v>-4414.9600000000028</v>
      </c>
      <c r="M76" s="1"/>
      <c r="N76" s="5">
        <f t="shared" si="47"/>
        <v>-0.12018356265962245</v>
      </c>
      <c r="O76" s="14"/>
      <c r="P76" s="1">
        <f>SUM(OSRRefP22_13x_0)</f>
        <v>72032.83</v>
      </c>
      <c r="Q76" s="1"/>
      <c r="R76" s="5">
        <f t="shared" si="48"/>
        <v>4.6684194943698236E-2</v>
      </c>
      <c r="S76" s="1"/>
      <c r="T76" s="1">
        <f>SUM(OSRRefT22_13x_0)</f>
        <v>77201</v>
      </c>
      <c r="U76" s="1"/>
      <c r="V76" s="5">
        <f t="shared" si="49"/>
        <v>4.9876842297960459E-2</v>
      </c>
      <c r="W76" s="1"/>
      <c r="X76" s="1">
        <f t="shared" si="50"/>
        <v>-5168.1699999999983</v>
      </c>
      <c r="Y76" s="1"/>
      <c r="Z76" s="5">
        <f t="shared" si="51"/>
        <v>-6.6944340099221483E-2</v>
      </c>
    </row>
    <row r="77" spans="1:26" s="24" customFormat="1" hidden="1" outlineLevel="2" x14ac:dyDescent="0.25">
      <c r="A77" s="29"/>
      <c r="B77" s="11" t="str">
        <f>CONCATENATE("          ", "6387", " - ", "COMMISSION DUE HOUSING")</f>
        <v xml:space="preserve">          6387 - COMMISSION DUE HOUSING</v>
      </c>
      <c r="C77" s="11"/>
      <c r="D77" s="7">
        <v>32320.179999999997</v>
      </c>
      <c r="E77" s="2"/>
      <c r="F77" s="6">
        <f t="shared" si="44"/>
        <v>3.7842037070471263E-2</v>
      </c>
      <c r="G77" s="2"/>
      <c r="H77" s="7">
        <v>36735.14</v>
      </c>
      <c r="I77" s="2"/>
      <c r="J77" s="6">
        <f t="shared" si="45"/>
        <v>4.5012884835570401E-2</v>
      </c>
      <c r="K77" s="2"/>
      <c r="L77" s="7">
        <f t="shared" si="46"/>
        <v>-4414.9600000000028</v>
      </c>
      <c r="M77" s="2"/>
      <c r="N77" s="6">
        <f t="shared" si="47"/>
        <v>-0.12018356265962245</v>
      </c>
      <c r="O77" s="11"/>
      <c r="P77" s="7">
        <v>72032.83</v>
      </c>
      <c r="Q77" s="2"/>
      <c r="R77" s="6">
        <f t="shared" si="48"/>
        <v>4.6684194943698236E-2</v>
      </c>
      <c r="S77" s="2"/>
      <c r="T77" s="7">
        <v>77201</v>
      </c>
      <c r="U77" s="2"/>
      <c r="V77" s="6">
        <f t="shared" si="49"/>
        <v>4.9876842297960459E-2</v>
      </c>
      <c r="W77" s="2"/>
      <c r="X77" s="7">
        <f t="shared" si="50"/>
        <v>-5168.1699999999983</v>
      </c>
      <c r="Y77" s="2"/>
      <c r="Z77" s="6">
        <f t="shared" si="51"/>
        <v>-6.6944340099221483E-2</v>
      </c>
    </row>
    <row r="78" spans="1:26" s="27" customFormat="1" outlineLevel="1" collapsed="1" x14ac:dyDescent="0.25">
      <c r="A78" s="28"/>
      <c r="B78" s="14" t="str">
        <f>CONCATENATE("     ","Rent                                              ")</f>
        <v xml:space="preserve">     Rent                                              </v>
      </c>
      <c r="C78" s="14"/>
      <c r="D78" s="1">
        <f>SUM(OSRRefD22_14x_0)</f>
        <v>1850</v>
      </c>
      <c r="E78" s="1"/>
      <c r="F78" s="5">
        <f t="shared" si="44"/>
        <v>2.1660698851420951E-3</v>
      </c>
      <c r="G78" s="1"/>
      <c r="H78" s="1">
        <f>SUM(OSRRefH22_14x_0)</f>
        <v>1850</v>
      </c>
      <c r="I78" s="1"/>
      <c r="J78" s="5">
        <f t="shared" si="45"/>
        <v>2.2668713647424578E-3</v>
      </c>
      <c r="K78" s="1"/>
      <c r="L78" s="1">
        <f t="shared" si="46"/>
        <v>0</v>
      </c>
      <c r="M78" s="1"/>
      <c r="N78" s="5">
        <f t="shared" si="47"/>
        <v>0</v>
      </c>
      <c r="O78" s="14"/>
      <c r="P78" s="1">
        <f>SUM(OSRRefP22_14x_0)</f>
        <v>3700</v>
      </c>
      <c r="Q78" s="1"/>
      <c r="R78" s="5">
        <f t="shared" si="48"/>
        <v>2.3979555057282004E-3</v>
      </c>
      <c r="S78" s="1"/>
      <c r="T78" s="1">
        <f>SUM(OSRRefT22_14x_0)</f>
        <v>3700</v>
      </c>
      <c r="U78" s="1"/>
      <c r="V78" s="5">
        <f t="shared" si="49"/>
        <v>2.3904394567745716E-3</v>
      </c>
      <c r="W78" s="1"/>
      <c r="X78" s="1">
        <f t="shared" si="50"/>
        <v>0</v>
      </c>
      <c r="Y78" s="1"/>
      <c r="Z78" s="5">
        <f t="shared" si="51"/>
        <v>0</v>
      </c>
    </row>
    <row r="79" spans="1:26" s="24" customFormat="1" hidden="1" outlineLevel="2" x14ac:dyDescent="0.25">
      <c r="A79" s="29"/>
      <c r="B79" s="11" t="str">
        <f>CONCATENATE("          ", "6273", " - ", "RENT")</f>
        <v xml:space="preserve">          6273 - RENT</v>
      </c>
      <c r="C79" s="11"/>
      <c r="D79" s="7">
        <v>1850</v>
      </c>
      <c r="E79" s="2"/>
      <c r="F79" s="6">
        <f t="shared" si="44"/>
        <v>2.1660698851420951E-3</v>
      </c>
      <c r="G79" s="2"/>
      <c r="H79" s="7">
        <v>1850</v>
      </c>
      <c r="I79" s="2"/>
      <c r="J79" s="6">
        <f t="shared" si="45"/>
        <v>2.2668713647424578E-3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3700</v>
      </c>
      <c r="Q79" s="2"/>
      <c r="R79" s="6">
        <f t="shared" si="48"/>
        <v>2.3979555057282004E-3</v>
      </c>
      <c r="S79" s="2"/>
      <c r="T79" s="7">
        <v>3700</v>
      </c>
      <c r="U79" s="2"/>
      <c r="V79" s="6">
        <f t="shared" si="49"/>
        <v>2.3904394567745716E-3</v>
      </c>
      <c r="W79" s="2"/>
      <c r="X79" s="7">
        <f t="shared" si="50"/>
        <v>0</v>
      </c>
      <c r="Y79" s="2"/>
      <c r="Z79" s="6">
        <f t="shared" si="51"/>
        <v>0</v>
      </c>
    </row>
    <row r="80" spans="1:26" s="27" customFormat="1" outlineLevel="1" collapsed="1" x14ac:dyDescent="0.25">
      <c r="A80" s="28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SUM(OSRRefD22_15x_0)</f>
        <v>21962.65</v>
      </c>
      <c r="E80" s="1"/>
      <c r="F80" s="5">
        <f t="shared" si="44"/>
        <v>2.5714937709684346E-2</v>
      </c>
      <c r="G80" s="1"/>
      <c r="H80" s="1">
        <f>SUM(OSRRefH22_15x_0)</f>
        <v>27560.230000000003</v>
      </c>
      <c r="I80" s="1"/>
      <c r="J80" s="5">
        <f t="shared" si="45"/>
        <v>3.3770538482549205E-2</v>
      </c>
      <c r="K80" s="1"/>
      <c r="L80" s="1">
        <f t="shared" si="46"/>
        <v>-5597.5800000000017</v>
      </c>
      <c r="M80" s="1"/>
      <c r="N80" s="5">
        <f t="shared" si="47"/>
        <v>-0.20310352997779776</v>
      </c>
      <c r="O80" s="14"/>
      <c r="P80" s="1">
        <f>SUM(OSRRefP22_15x_0)</f>
        <v>47839.02</v>
      </c>
      <c r="Q80" s="1"/>
      <c r="R80" s="5">
        <f t="shared" si="48"/>
        <v>3.1004281458822024E-2</v>
      </c>
      <c r="S80" s="1"/>
      <c r="T80" s="1">
        <f>SUM(OSRRefT22_15x_0)</f>
        <v>52666.960000000006</v>
      </c>
      <c r="U80" s="1"/>
      <c r="V80" s="5">
        <f t="shared" si="49"/>
        <v>3.4026264662802189E-2</v>
      </c>
      <c r="W80" s="1"/>
      <c r="X80" s="1">
        <f t="shared" si="50"/>
        <v>-4827.9400000000096</v>
      </c>
      <c r="Y80" s="1"/>
      <c r="Z80" s="5">
        <f t="shared" si="51"/>
        <v>-9.166923627260827E-2</v>
      </c>
    </row>
    <row r="81" spans="1:26" s="24" customFormat="1" hidden="1" outlineLevel="2" x14ac:dyDescent="0.25">
      <c r="A81" s="29"/>
      <c r="B81" s="11" t="str">
        <f>CONCATENATE("          ", "6371", " - ", "COMPUTER SOFTWARE MAINTENANCE")</f>
        <v xml:space="preserve">          6371 - COMPUTER SOFTWARE MAINTENANCE</v>
      </c>
      <c r="C81" s="11"/>
      <c r="D81" s="7"/>
      <c r="E81" s="2"/>
      <c r="F81" s="6">
        <f t="shared" si="44"/>
        <v>0</v>
      </c>
      <c r="G81" s="2"/>
      <c r="H81" s="7">
        <v>249</v>
      </c>
      <c r="I81" s="2"/>
      <c r="J81" s="6">
        <f t="shared" si="45"/>
        <v>3.0510863233560646E-4</v>
      </c>
      <c r="K81" s="2"/>
      <c r="L81" s="7">
        <f t="shared" si="46"/>
        <v>-249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249</v>
      </c>
      <c r="U81" s="2"/>
      <c r="V81" s="6">
        <f t="shared" si="49"/>
        <v>1.6087011479374821E-4</v>
      </c>
      <c r="W81" s="2"/>
      <c r="X81" s="7">
        <f t="shared" si="50"/>
        <v>-249</v>
      </c>
      <c r="Y81" s="2"/>
      <c r="Z81" s="6">
        <f t="shared" si="51"/>
        <v>-1</v>
      </c>
    </row>
    <row r="82" spans="1:26" s="24" customFormat="1" hidden="1" outlineLevel="2" x14ac:dyDescent="0.25">
      <c r="A82" s="29"/>
      <c r="B82" s="11" t="str">
        <f>CONCATENATE("          ", "6373", " - ", "MAINTENANCE CONTRACTS")</f>
        <v xml:space="preserve">          6373 - MAINTENANCE CONTRACTS</v>
      </c>
      <c r="C82" s="11"/>
      <c r="D82" s="7">
        <v>10082.709999999999</v>
      </c>
      <c r="E82" s="2"/>
      <c r="F82" s="6">
        <f t="shared" si="44"/>
        <v>1.1805326752227596E-2</v>
      </c>
      <c r="G82" s="2"/>
      <c r="H82" s="7">
        <v>15495.04</v>
      </c>
      <c r="I82" s="2"/>
      <c r="J82" s="6">
        <f t="shared" si="45"/>
        <v>1.898662836299404E-2</v>
      </c>
      <c r="K82" s="2"/>
      <c r="L82" s="7">
        <f t="shared" si="46"/>
        <v>-5412.3300000000017</v>
      </c>
      <c r="M82" s="2"/>
      <c r="N82" s="6">
        <f t="shared" si="47"/>
        <v>-0.3492943548387098</v>
      </c>
      <c r="O82" s="11"/>
      <c r="P82" s="7">
        <v>16120.409999999998</v>
      </c>
      <c r="Q82" s="2"/>
      <c r="R82" s="6">
        <f t="shared" si="48"/>
        <v>1.044757457137728E-2</v>
      </c>
      <c r="S82" s="2"/>
      <c r="T82" s="7">
        <v>22348.78</v>
      </c>
      <c r="U82" s="2"/>
      <c r="V82" s="6">
        <f t="shared" si="49"/>
        <v>1.4438758249398489E-2</v>
      </c>
      <c r="W82" s="2"/>
      <c r="X82" s="7">
        <f t="shared" si="50"/>
        <v>-6228.3700000000008</v>
      </c>
      <c r="Y82" s="2"/>
      <c r="Z82" s="6">
        <f t="shared" si="51"/>
        <v>-0.27868948551106598</v>
      </c>
    </row>
    <row r="83" spans="1:26" s="24" customFormat="1" hidden="1" outlineLevel="2" x14ac:dyDescent="0.25">
      <c r="A83" s="29"/>
      <c r="B83" s="11" t="str">
        <f>CONCATENATE("          ", "6375", " - ", "OUTSIDE REPAIRS &amp; MAINTENANCE")</f>
        <v xml:space="preserve">          6375 - OUTSIDE REPAIRS &amp; MAINTENANCE</v>
      </c>
      <c r="C83" s="11"/>
      <c r="D83" s="7">
        <v>11879.94</v>
      </c>
      <c r="E83" s="2"/>
      <c r="F83" s="6">
        <f t="shared" si="44"/>
        <v>1.3909610957456749E-2</v>
      </c>
      <c r="G83" s="2"/>
      <c r="H83" s="7">
        <v>11816.19</v>
      </c>
      <c r="I83" s="2"/>
      <c r="J83" s="6">
        <f t="shared" si="45"/>
        <v>1.4478801487219558E-2</v>
      </c>
      <c r="K83" s="2"/>
      <c r="L83" s="7">
        <f t="shared" si="46"/>
        <v>63.75</v>
      </c>
      <c r="M83" s="2"/>
      <c r="N83" s="6">
        <f t="shared" si="47"/>
        <v>5.3951400578359015E-3</v>
      </c>
      <c r="O83" s="11"/>
      <c r="P83" s="7">
        <v>31718.609999999997</v>
      </c>
      <c r="Q83" s="2"/>
      <c r="R83" s="6">
        <f t="shared" si="48"/>
        <v>2.055670688744474E-2</v>
      </c>
      <c r="S83" s="2"/>
      <c r="T83" s="7">
        <v>30069.180000000004</v>
      </c>
      <c r="U83" s="2"/>
      <c r="V83" s="6">
        <f t="shared" si="49"/>
        <v>1.9426636298609953E-2</v>
      </c>
      <c r="W83" s="2"/>
      <c r="X83" s="7">
        <f t="shared" si="50"/>
        <v>1649.429999999993</v>
      </c>
      <c r="Y83" s="2"/>
      <c r="Z83" s="6">
        <f t="shared" si="51"/>
        <v>5.4854505510293021E-2</v>
      </c>
    </row>
    <row r="84" spans="1:26" s="27" customFormat="1" outlineLevel="1" collapsed="1" x14ac:dyDescent="0.25">
      <c r="A84" s="28"/>
      <c r="B84" s="14" t="str">
        <f>CONCATENATE("     ","Royalty &amp; Commissions                             ")</f>
        <v xml:space="preserve">     Royalty &amp; Commissions                             </v>
      </c>
      <c r="C84" s="14"/>
      <c r="D84" s="1">
        <f>SUM(OSRRefD22_16x_0)</f>
        <v>16843.939999999999</v>
      </c>
      <c r="E84" s="1"/>
      <c r="F84" s="5">
        <f t="shared" ref="F84:F86" si="52">IF(D$12=0,0,D84/D$12)</f>
        <v>1.9721703341156943E-2</v>
      </c>
      <c r="G84" s="1"/>
      <c r="H84" s="1">
        <f>SUM(OSRRefH22_16x_0)</f>
        <v>20656.689999999999</v>
      </c>
      <c r="I84" s="1"/>
      <c r="J84" s="5">
        <f t="shared" ref="J84:J86" si="53">IF(H$12=0,0,H84/H$12)</f>
        <v>2.5311383271006418E-2</v>
      </c>
      <c r="K84" s="1"/>
      <c r="L84" s="1">
        <f t="shared" ref="L84:L86" si="54">+D84-H84</f>
        <v>-3812.75</v>
      </c>
      <c r="M84" s="1"/>
      <c r="N84" s="5">
        <f t="shared" ref="N84:N86" si="55">IF(H84=0,0,L84/H84)</f>
        <v>-0.1845770062870673</v>
      </c>
      <c r="O84" s="14"/>
      <c r="P84" s="1">
        <f>SUM(OSRRefP22_16x_0)</f>
        <v>33702.04</v>
      </c>
      <c r="Q84" s="1"/>
      <c r="R84" s="5">
        <f t="shared" ref="R84:R86" si="56">IF(P$12=0,0,P84/P$12)</f>
        <v>2.1842160100614065E-2</v>
      </c>
      <c r="S84" s="1"/>
      <c r="T84" s="1">
        <f>SUM(OSRRefT22_16x_0)</f>
        <v>35643.449999999997</v>
      </c>
      <c r="U84" s="1"/>
      <c r="V84" s="5">
        <f t="shared" ref="V84:V86" si="57">IF(T$12=0,0,T84/T$12)</f>
        <v>2.302797547447881E-2</v>
      </c>
      <c r="W84" s="1"/>
      <c r="X84" s="1">
        <f t="shared" ref="X84:X86" si="58">+P84-T84</f>
        <v>-1941.4099999999962</v>
      </c>
      <c r="Y84" s="1"/>
      <c r="Z84" s="5">
        <f t="shared" ref="Z84:Z86" si="59">IF(T84=0,0,X84/T84)</f>
        <v>-5.4467510861041686E-2</v>
      </c>
    </row>
    <row r="85" spans="1:26" s="24" customFormat="1" hidden="1" outlineLevel="2" x14ac:dyDescent="0.25">
      <c r="A85" s="29"/>
      <c r="B85" s="11" t="str">
        <f>CONCATENATE("          ", "6254", " - ", "ROYALTY &amp; COMMISSIONS")</f>
        <v xml:space="preserve">          6254 - ROYALTY &amp; COMMISSIONS</v>
      </c>
      <c r="C85" s="11"/>
      <c r="D85" s="7">
        <v>10870.98</v>
      </c>
      <c r="E85" s="2"/>
      <c r="F85" s="6">
        <f t="shared" si="52"/>
        <v>1.2728271567557846E-2</v>
      </c>
      <c r="G85" s="2"/>
      <c r="H85" s="7">
        <v>15174.369999999999</v>
      </c>
      <c r="I85" s="2"/>
      <c r="J85" s="6">
        <f t="shared" si="53"/>
        <v>1.8593699908652433E-2</v>
      </c>
      <c r="K85" s="2"/>
      <c r="L85" s="7">
        <f t="shared" si="54"/>
        <v>-4303.3899999999994</v>
      </c>
      <c r="M85" s="2"/>
      <c r="N85" s="6">
        <f t="shared" si="55"/>
        <v>-0.28359595818475491</v>
      </c>
      <c r="O85" s="11"/>
      <c r="P85" s="7">
        <v>24843.64</v>
      </c>
      <c r="Q85" s="2"/>
      <c r="R85" s="6">
        <f t="shared" si="56"/>
        <v>1.6101065762251173E-2</v>
      </c>
      <c r="S85" s="2"/>
      <c r="T85" s="7">
        <v>27153.37</v>
      </c>
      <c r="U85" s="2"/>
      <c r="V85" s="6">
        <f t="shared" si="57"/>
        <v>1.7542834333080796E-2</v>
      </c>
      <c r="W85" s="2"/>
      <c r="X85" s="7">
        <f t="shared" si="58"/>
        <v>-2309.7299999999996</v>
      </c>
      <c r="Y85" s="2"/>
      <c r="Z85" s="6">
        <f t="shared" si="59"/>
        <v>-8.5062369790563738E-2</v>
      </c>
    </row>
    <row r="86" spans="1:26" s="24" customFormat="1" hidden="1" outlineLevel="2" x14ac:dyDescent="0.25">
      <c r="A86" s="29"/>
      <c r="B86" s="11" t="str">
        <f>CONCATENATE("          ", "6259", " - ", "ROYALTY &amp; COMMISSIONS")</f>
        <v xml:space="preserve">          6259 - ROYALTY &amp; COMMISSIONS</v>
      </c>
      <c r="C86" s="11"/>
      <c r="D86" s="7">
        <v>5972.96</v>
      </c>
      <c r="E86" s="2"/>
      <c r="F86" s="6">
        <f t="shared" si="52"/>
        <v>6.9934317735990967E-3</v>
      </c>
      <c r="G86" s="2"/>
      <c r="H86" s="7">
        <v>5482.32</v>
      </c>
      <c r="I86" s="2"/>
      <c r="J86" s="6">
        <f t="shared" si="53"/>
        <v>6.7176833623539831E-3</v>
      </c>
      <c r="K86" s="2"/>
      <c r="L86" s="7">
        <f t="shared" si="54"/>
        <v>490.64000000000033</v>
      </c>
      <c r="M86" s="2"/>
      <c r="N86" s="6">
        <f t="shared" si="55"/>
        <v>8.9494958338805539E-2</v>
      </c>
      <c r="O86" s="11"/>
      <c r="P86" s="7">
        <v>8858.4</v>
      </c>
      <c r="Q86" s="2"/>
      <c r="R86" s="6">
        <f t="shared" si="56"/>
        <v>5.7410943383628893E-3</v>
      </c>
      <c r="S86" s="2"/>
      <c r="T86" s="7">
        <v>8490.08</v>
      </c>
      <c r="U86" s="2"/>
      <c r="V86" s="6">
        <f t="shared" si="57"/>
        <v>5.4851411413980146E-3</v>
      </c>
      <c r="W86" s="2"/>
      <c r="X86" s="7">
        <f t="shared" si="58"/>
        <v>368.31999999999971</v>
      </c>
      <c r="Y86" s="2"/>
      <c r="Z86" s="6">
        <f t="shared" si="59"/>
        <v>4.3382394512183599E-2</v>
      </c>
    </row>
    <row r="87" spans="1:26" s="27" customFormat="1" outlineLevel="1" collapsed="1" x14ac:dyDescent="0.25">
      <c r="A87" s="28"/>
      <c r="B87" s="14" t="str">
        <f>CONCATENATE("     ","Services                                          ")</f>
        <v xml:space="preserve">     Services                                          </v>
      </c>
      <c r="C87" s="14"/>
      <c r="D87" s="1">
        <f>SUM(OSRRefD22_17x_0)</f>
        <v>35512.020000000004</v>
      </c>
      <c r="E87" s="1"/>
      <c r="F87" s="5">
        <f t="shared" ref="F87:F92" si="60">IF(D$12=0,0,D87/D$12)</f>
        <v>4.157919842300746E-2</v>
      </c>
      <c r="G87" s="1"/>
      <c r="H87" s="1">
        <f>SUM(OSRRefH22_17x_0)</f>
        <v>29347.599999999999</v>
      </c>
      <c r="I87" s="1"/>
      <c r="J87" s="5">
        <f t="shared" ref="J87:J92" si="61">IF(H$12=0,0,H87/H$12)</f>
        <v>3.5960667061576079E-2</v>
      </c>
      <c r="K87" s="1"/>
      <c r="L87" s="1">
        <f t="shared" ref="L87:L92" si="62">+D87-H87</f>
        <v>6164.4200000000055</v>
      </c>
      <c r="M87" s="1"/>
      <c r="N87" s="5">
        <f t="shared" ref="N87:N92" si="63">IF(H87=0,0,L87/H87)</f>
        <v>0.21004852185527967</v>
      </c>
      <c r="O87" s="14"/>
      <c r="P87" s="1">
        <f>SUM(OSRRefP22_17x_0)</f>
        <v>76748.959999999992</v>
      </c>
      <c r="Q87" s="1"/>
      <c r="R87" s="5">
        <f t="shared" ref="R87:R92" si="64">IF(P$12=0,0,P87/P$12)</f>
        <v>4.9740700321868489E-2</v>
      </c>
      <c r="S87" s="1"/>
      <c r="T87" s="1">
        <f>SUM(OSRRefT22_17x_0)</f>
        <v>61960.649999999994</v>
      </c>
      <c r="U87" s="1"/>
      <c r="V87" s="5">
        <f t="shared" ref="V87:V92" si="65">IF(T$12=0,0,T87/T$12)</f>
        <v>4.0030589872270095E-2</v>
      </c>
      <c r="W87" s="1"/>
      <c r="X87" s="1">
        <f t="shared" ref="X87:X92" si="66">+P87-T87</f>
        <v>14788.309999999998</v>
      </c>
      <c r="Y87" s="1"/>
      <c r="Z87" s="5">
        <f t="shared" ref="Z87:Z92" si="67">IF(T87=0,0,X87/T87)</f>
        <v>0.23867260914790273</v>
      </c>
    </row>
    <row r="88" spans="1:26" s="24" customFormat="1" hidden="1" outlineLevel="2" x14ac:dyDescent="0.25">
      <c r="A88" s="29"/>
      <c r="B88" s="11" t="str">
        <f>CONCATENATE("          ", "6282", " - ", "JANITORIAL/EXTERMINATOR EXPENS")</f>
        <v xml:space="preserve">          6282 - JANITORIAL/EXTERMINATOR EXPENS</v>
      </c>
      <c r="C88" s="11"/>
      <c r="D88" s="7">
        <v>2935.87</v>
      </c>
      <c r="E88" s="2"/>
      <c r="F88" s="6">
        <f t="shared" si="60"/>
        <v>3.43745923983358E-3</v>
      </c>
      <c r="G88" s="2"/>
      <c r="H88" s="7">
        <v>2688.91</v>
      </c>
      <c r="I88" s="2"/>
      <c r="J88" s="6">
        <f t="shared" si="61"/>
        <v>3.2948178818214277E-3</v>
      </c>
      <c r="K88" s="2"/>
      <c r="L88" s="7">
        <f t="shared" si="62"/>
        <v>246.96000000000004</v>
      </c>
      <c r="M88" s="2"/>
      <c r="N88" s="6">
        <f t="shared" si="63"/>
        <v>9.1843907010647458E-2</v>
      </c>
      <c r="O88" s="11"/>
      <c r="P88" s="7">
        <v>5721.74</v>
      </c>
      <c r="Q88" s="2"/>
      <c r="R88" s="6">
        <f t="shared" si="64"/>
        <v>3.7082372798230468E-3</v>
      </c>
      <c r="S88" s="2"/>
      <c r="T88" s="7">
        <v>5377.82</v>
      </c>
      <c r="U88" s="2"/>
      <c r="V88" s="6">
        <f t="shared" si="65"/>
        <v>3.4744197620084935E-3</v>
      </c>
      <c r="W88" s="2"/>
      <c r="X88" s="7">
        <f t="shared" si="66"/>
        <v>343.92000000000007</v>
      </c>
      <c r="Y88" s="2"/>
      <c r="Z88" s="6">
        <f t="shared" si="67"/>
        <v>6.3951564016646173E-2</v>
      </c>
    </row>
    <row r="89" spans="1:26" s="24" customFormat="1" hidden="1" outlineLevel="2" x14ac:dyDescent="0.25">
      <c r="A89" s="29"/>
      <c r="B89" s="11" t="str">
        <f>CONCATENATE("          ", "6283", " - ", "PLANT SERVICE")</f>
        <v xml:space="preserve">          6283 - PLANT SERVICE</v>
      </c>
      <c r="C89" s="11"/>
      <c r="D89" s="7">
        <v>199.78</v>
      </c>
      <c r="E89" s="2"/>
      <c r="F89" s="6">
        <f t="shared" si="60"/>
        <v>2.3391213062361503E-4</v>
      </c>
      <c r="G89" s="2"/>
      <c r="H89" s="7">
        <v>176</v>
      </c>
      <c r="I89" s="2"/>
      <c r="J89" s="6">
        <f t="shared" si="61"/>
        <v>2.156591136187419E-4</v>
      </c>
      <c r="K89" s="2"/>
      <c r="L89" s="7">
        <f t="shared" si="62"/>
        <v>23.78</v>
      </c>
      <c r="M89" s="2"/>
      <c r="N89" s="6">
        <f t="shared" si="63"/>
        <v>0.13511363636363638</v>
      </c>
      <c r="O89" s="11"/>
      <c r="P89" s="7">
        <v>399.56</v>
      </c>
      <c r="Q89" s="2"/>
      <c r="R89" s="6">
        <f t="shared" si="64"/>
        <v>2.5895327077534049E-4</v>
      </c>
      <c r="S89" s="2"/>
      <c r="T89" s="7">
        <v>352</v>
      </c>
      <c r="U89" s="2"/>
      <c r="V89" s="6">
        <f t="shared" si="65"/>
        <v>2.2741478075260788E-4</v>
      </c>
      <c r="W89" s="2"/>
      <c r="X89" s="7">
        <f t="shared" si="66"/>
        <v>47.56</v>
      </c>
      <c r="Y89" s="2"/>
      <c r="Z89" s="6">
        <f t="shared" si="67"/>
        <v>0.13511363636363638</v>
      </c>
    </row>
    <row r="90" spans="1:26" s="24" customFormat="1" hidden="1" outlineLevel="2" x14ac:dyDescent="0.25">
      <c r="A90" s="29"/>
      <c r="B90" s="11" t="str">
        <f>CONCATENATE("          ", "6284", " - ", "TRASH REMOVAL EXPENSE")</f>
        <v xml:space="preserve">          6284 - TRASH REMOVAL EXPENSE</v>
      </c>
      <c r="C90" s="11"/>
      <c r="D90" s="7"/>
      <c r="E90" s="2"/>
      <c r="F90" s="6">
        <f t="shared" si="60"/>
        <v>0</v>
      </c>
      <c r="G90" s="2"/>
      <c r="H90" s="7">
        <v>3193</v>
      </c>
      <c r="I90" s="2"/>
      <c r="J90" s="6">
        <f t="shared" si="61"/>
        <v>3.9124974419581984E-3</v>
      </c>
      <c r="K90" s="2"/>
      <c r="L90" s="7">
        <f t="shared" si="62"/>
        <v>-3193</v>
      </c>
      <c r="M90" s="2"/>
      <c r="N90" s="6">
        <f t="shared" si="63"/>
        <v>-1</v>
      </c>
      <c r="O90" s="11"/>
      <c r="P90" s="7">
        <v>4199</v>
      </c>
      <c r="Q90" s="2"/>
      <c r="R90" s="6">
        <f t="shared" si="64"/>
        <v>2.7213554509601928E-3</v>
      </c>
      <c r="S90" s="2"/>
      <c r="T90" s="7">
        <v>6386</v>
      </c>
      <c r="U90" s="2"/>
      <c r="V90" s="6">
        <f t="shared" si="65"/>
        <v>4.125769289449301E-3</v>
      </c>
      <c r="W90" s="2"/>
      <c r="X90" s="7">
        <f t="shared" si="66"/>
        <v>-2187</v>
      </c>
      <c r="Y90" s="2"/>
      <c r="Z90" s="6">
        <f t="shared" si="67"/>
        <v>-0.34246789852803006</v>
      </c>
    </row>
    <row r="91" spans="1:26" s="24" customFormat="1" hidden="1" outlineLevel="2" x14ac:dyDescent="0.25">
      <c r="A91" s="29"/>
      <c r="B91" s="11" t="str">
        <f>CONCATENATE("          ", "6285", " - ", "JANITORIAL SERVICES")</f>
        <v xml:space="preserve">          6285 - JANITORIAL SERVICES</v>
      </c>
      <c r="C91" s="11"/>
      <c r="D91" s="7">
        <v>24905.43</v>
      </c>
      <c r="E91" s="2"/>
      <c r="F91" s="6">
        <f t="shared" si="60"/>
        <v>2.9160487513251079E-2</v>
      </c>
      <c r="G91" s="2"/>
      <c r="H91" s="7">
        <v>17316.75</v>
      </c>
      <c r="I91" s="2"/>
      <c r="J91" s="6">
        <f t="shared" si="61"/>
        <v>2.1218834975894028E-2</v>
      </c>
      <c r="K91" s="2"/>
      <c r="L91" s="7">
        <f t="shared" si="62"/>
        <v>7588.68</v>
      </c>
      <c r="M91" s="2"/>
      <c r="N91" s="6">
        <f t="shared" si="63"/>
        <v>0.43822772748928063</v>
      </c>
      <c r="O91" s="11"/>
      <c r="P91" s="7">
        <v>50810.899999999994</v>
      </c>
      <c r="Q91" s="2"/>
      <c r="R91" s="6">
        <f t="shared" si="64"/>
        <v>3.2930345244866217E-2</v>
      </c>
      <c r="S91" s="2"/>
      <c r="T91" s="7">
        <v>37220.35</v>
      </c>
      <c r="U91" s="2"/>
      <c r="V91" s="6">
        <f t="shared" si="65"/>
        <v>2.4046754928367411E-2</v>
      </c>
      <c r="W91" s="2"/>
      <c r="X91" s="7">
        <f t="shared" si="66"/>
        <v>13590.549999999996</v>
      </c>
      <c r="Y91" s="2"/>
      <c r="Z91" s="6">
        <f t="shared" si="67"/>
        <v>0.36513761960862795</v>
      </c>
    </row>
    <row r="92" spans="1:26" s="24" customFormat="1" hidden="1" outlineLevel="2" x14ac:dyDescent="0.25">
      <c r="A92" s="29"/>
      <c r="B92" s="11" t="str">
        <f>CONCATENATE("          ", "6286", " - ", "LAUNDRY EXPENSE")</f>
        <v xml:space="preserve">          6286 - LAUNDRY EXPENSE</v>
      </c>
      <c r="C92" s="11"/>
      <c r="D92" s="7">
        <v>7470.94</v>
      </c>
      <c r="E92" s="2"/>
      <c r="F92" s="6">
        <f t="shared" si="60"/>
        <v>8.7473395392991815E-3</v>
      </c>
      <c r="G92" s="2"/>
      <c r="H92" s="7">
        <v>5972.94</v>
      </c>
      <c r="I92" s="2"/>
      <c r="J92" s="6">
        <f t="shared" si="61"/>
        <v>7.3188576482836826E-3</v>
      </c>
      <c r="K92" s="2"/>
      <c r="L92" s="7">
        <f t="shared" si="62"/>
        <v>1498</v>
      </c>
      <c r="M92" s="2"/>
      <c r="N92" s="6">
        <f t="shared" si="63"/>
        <v>0.25079776458494479</v>
      </c>
      <c r="O92" s="11"/>
      <c r="P92" s="7">
        <v>15617.76</v>
      </c>
      <c r="Q92" s="2"/>
      <c r="R92" s="6">
        <f t="shared" si="64"/>
        <v>1.0121809075443692E-2</v>
      </c>
      <c r="S92" s="2"/>
      <c r="T92" s="7">
        <v>12624.48</v>
      </c>
      <c r="U92" s="2"/>
      <c r="V92" s="6">
        <f t="shared" si="65"/>
        <v>8.1562311116922821E-3</v>
      </c>
      <c r="W92" s="2"/>
      <c r="X92" s="7">
        <f t="shared" si="66"/>
        <v>2993.2800000000007</v>
      </c>
      <c r="Y92" s="2"/>
      <c r="Z92" s="6">
        <f t="shared" si="67"/>
        <v>0.23710125090300754</v>
      </c>
    </row>
    <row r="93" spans="1:26" s="27" customFormat="1" outlineLevel="1" collapsed="1" x14ac:dyDescent="0.25">
      <c r="A93" s="28"/>
      <c r="B93" s="14" t="str">
        <f>CONCATENATE("     ","Subscriptions &amp; Dues                              ")</f>
        <v xml:space="preserve">     Subscriptions &amp; Dues                              </v>
      </c>
      <c r="C93" s="14"/>
      <c r="D93" s="1">
        <f>SUM(OSRRefD22_18x_0)</f>
        <v>454.78</v>
      </c>
      <c r="E93" s="1"/>
      <c r="F93" s="5">
        <f t="shared" ref="F93:F103" si="68">IF(D$12=0,0,D93/D$12)</f>
        <v>5.3247852019725514E-4</v>
      </c>
      <c r="G93" s="1"/>
      <c r="H93" s="1">
        <f>SUM(OSRRefH22_18x_0)</f>
        <v>223.03</v>
      </c>
      <c r="I93" s="1"/>
      <c r="J93" s="5">
        <f t="shared" ref="J93:J103" si="69">IF(H$12=0,0,H93/H$12)</f>
        <v>2.7328665971811366E-4</v>
      </c>
      <c r="K93" s="1"/>
      <c r="L93" s="1">
        <f t="shared" ref="L93:L103" si="70">+D93-H93</f>
        <v>231.74999999999997</v>
      </c>
      <c r="M93" s="1"/>
      <c r="N93" s="5">
        <f t="shared" ref="N93:N103" si="71">IF(H93=0,0,L93/H93)</f>
        <v>1.0390978792090748</v>
      </c>
      <c r="O93" s="14"/>
      <c r="P93" s="1">
        <f>SUM(OSRRefP22_18x_0)</f>
        <v>848.2</v>
      </c>
      <c r="Q93" s="1"/>
      <c r="R93" s="5">
        <f t="shared" ref="R93:R103" si="72">IF(P$12=0,0,P93/P$12)</f>
        <v>5.4971509728612424E-4</v>
      </c>
      <c r="S93" s="1"/>
      <c r="T93" s="1">
        <f>SUM(OSRRefT22_18x_0)</f>
        <v>284.39</v>
      </c>
      <c r="U93" s="1"/>
      <c r="V93" s="5">
        <f t="shared" ref="V93:V103" si="73">IF(T$12=0,0,T93/T$12)</f>
        <v>1.8373434516543794E-4</v>
      </c>
      <c r="W93" s="1"/>
      <c r="X93" s="1">
        <f t="shared" ref="X93:X103" si="74">+P93-T93</f>
        <v>563.81000000000006</v>
      </c>
      <c r="Y93" s="1"/>
      <c r="Z93" s="5">
        <f t="shared" ref="Z93:Z103" si="75">IF(T93=0,0,X93/T93)</f>
        <v>1.982523998734133</v>
      </c>
    </row>
    <row r="94" spans="1:26" s="24" customFormat="1" hidden="1" outlineLevel="2" x14ac:dyDescent="0.25">
      <c r="A94" s="29"/>
      <c r="B94" s="11" t="str">
        <f>CONCATENATE("          ", "6275", " - ", "SUBSCRIPTIONS")</f>
        <v xml:space="preserve">          6275 - SUBSCRIPTIONS</v>
      </c>
      <c r="C94" s="11"/>
      <c r="D94" s="7">
        <v>454.78</v>
      </c>
      <c r="E94" s="2"/>
      <c r="F94" s="6">
        <f t="shared" si="68"/>
        <v>5.3247852019725514E-4</v>
      </c>
      <c r="G94" s="2"/>
      <c r="H94" s="7">
        <v>223.03</v>
      </c>
      <c r="I94" s="2"/>
      <c r="J94" s="6">
        <f t="shared" si="69"/>
        <v>2.7328665971811366E-4</v>
      </c>
      <c r="K94" s="2"/>
      <c r="L94" s="7">
        <f t="shared" si="70"/>
        <v>231.74999999999997</v>
      </c>
      <c r="M94" s="2"/>
      <c r="N94" s="6">
        <f t="shared" si="71"/>
        <v>1.0390978792090748</v>
      </c>
      <c r="O94" s="11"/>
      <c r="P94" s="7">
        <v>848.2</v>
      </c>
      <c r="Q94" s="2"/>
      <c r="R94" s="6">
        <f t="shared" si="72"/>
        <v>5.4971509728612424E-4</v>
      </c>
      <c r="S94" s="2"/>
      <c r="T94" s="7">
        <v>284.39</v>
      </c>
      <c r="U94" s="2"/>
      <c r="V94" s="6">
        <f t="shared" si="73"/>
        <v>1.8373434516543794E-4</v>
      </c>
      <c r="W94" s="2"/>
      <c r="X94" s="7">
        <f t="shared" si="74"/>
        <v>563.81000000000006</v>
      </c>
      <c r="Y94" s="2"/>
      <c r="Z94" s="6">
        <f t="shared" si="75"/>
        <v>1.982523998734133</v>
      </c>
    </row>
    <row r="95" spans="1:26" s="27" customFormat="1" outlineLevel="1" collapsed="1" x14ac:dyDescent="0.25">
      <c r="A95" s="28"/>
      <c r="B95" s="14" t="str">
        <f>CONCATENATE("     ","Supplies                                          ")</f>
        <v xml:space="preserve">     Supplies                                          </v>
      </c>
      <c r="C95" s="14"/>
      <c r="D95" s="1">
        <f>SUM(OSRRefD22_19x_0)</f>
        <v>41052.530000000006</v>
      </c>
      <c r="E95" s="1"/>
      <c r="F95" s="5">
        <f t="shared" si="68"/>
        <v>4.8066296725347263E-2</v>
      </c>
      <c r="G95" s="1"/>
      <c r="H95" s="1">
        <f>SUM(OSRRefH22_19x_0)</f>
        <v>45624.55</v>
      </c>
      <c r="I95" s="1"/>
      <c r="J95" s="5">
        <f t="shared" si="69"/>
        <v>5.5905397796897564E-2</v>
      </c>
      <c r="K95" s="1"/>
      <c r="L95" s="1">
        <f t="shared" si="70"/>
        <v>-4572.0199999999968</v>
      </c>
      <c r="M95" s="1"/>
      <c r="N95" s="5">
        <f t="shared" si="71"/>
        <v>-0.10020964590335678</v>
      </c>
      <c r="O95" s="14"/>
      <c r="P95" s="1">
        <f>SUM(OSRRefP22_19x_0)</f>
        <v>85975.61</v>
      </c>
      <c r="Q95" s="1"/>
      <c r="R95" s="5">
        <f t="shared" si="72"/>
        <v>5.57204560426596E-2</v>
      </c>
      <c r="S95" s="1"/>
      <c r="T95" s="1">
        <f>SUM(OSRRefT22_19x_0)</f>
        <v>88564.789999999979</v>
      </c>
      <c r="U95" s="1"/>
      <c r="V95" s="5">
        <f t="shared" si="73"/>
        <v>5.721858608025783E-2</v>
      </c>
      <c r="W95" s="1"/>
      <c r="X95" s="1">
        <f t="shared" si="74"/>
        <v>-2589.1799999999785</v>
      </c>
      <c r="Y95" s="1"/>
      <c r="Z95" s="5">
        <f t="shared" si="75"/>
        <v>-2.9234868619910679E-2</v>
      </c>
    </row>
    <row r="96" spans="1:26" s="24" customFormat="1" hidden="1" outlineLevel="2" x14ac:dyDescent="0.25">
      <c r="A96" s="29"/>
      <c r="B96" s="11" t="str">
        <f>CONCATENATE("          ", "6234", " - ", "EXPENDABLE SUPPLIES &amp; EQUIPMEN")</f>
        <v xml:space="preserve">          6234 - EXPENDABLE SUPPLIES &amp; EQUIPMEN</v>
      </c>
      <c r="C96" s="11"/>
      <c r="D96" s="7"/>
      <c r="E96" s="2"/>
      <c r="F96" s="6">
        <f t="shared" si="68"/>
        <v>0</v>
      </c>
      <c r="G96" s="2"/>
      <c r="H96" s="7">
        <v>1950.48</v>
      </c>
      <c r="I96" s="2"/>
      <c r="J96" s="6">
        <f t="shared" si="69"/>
        <v>2.3899931132447937E-3</v>
      </c>
      <c r="K96" s="2"/>
      <c r="L96" s="7">
        <f t="shared" si="70"/>
        <v>-1950.48</v>
      </c>
      <c r="M96" s="2"/>
      <c r="N96" s="6">
        <f t="shared" si="71"/>
        <v>-1</v>
      </c>
      <c r="O96" s="11"/>
      <c r="P96" s="7"/>
      <c r="Q96" s="2"/>
      <c r="R96" s="6">
        <f t="shared" si="72"/>
        <v>0</v>
      </c>
      <c r="S96" s="2"/>
      <c r="T96" s="7">
        <v>4383.46</v>
      </c>
      <c r="U96" s="2"/>
      <c r="V96" s="6">
        <f t="shared" si="73"/>
        <v>2.8319988489710984E-3</v>
      </c>
      <c r="W96" s="2"/>
      <c r="X96" s="7">
        <f t="shared" si="74"/>
        <v>-4383.46</v>
      </c>
      <c r="Y96" s="2"/>
      <c r="Z96" s="6">
        <f t="shared" si="75"/>
        <v>-1</v>
      </c>
    </row>
    <row r="97" spans="1:26" s="24" customFormat="1" hidden="1" outlineLevel="2" x14ac:dyDescent="0.25">
      <c r="A97" s="29"/>
      <c r="B97" s="11" t="str">
        <f>CONCATENATE("          ", "6237", " - ", "JANITORIAL SUPPLIES")</f>
        <v xml:space="preserve">          6237 - JANITORIAL SUPPLIES</v>
      </c>
      <c r="C97" s="11"/>
      <c r="D97" s="7">
        <v>12148.14</v>
      </c>
      <c r="E97" s="2"/>
      <c r="F97" s="6">
        <f t="shared" si="68"/>
        <v>1.4223632548373022E-2</v>
      </c>
      <c r="G97" s="2"/>
      <c r="H97" s="7">
        <v>14013.83</v>
      </c>
      <c r="I97" s="2"/>
      <c r="J97" s="6">
        <f t="shared" si="69"/>
        <v>1.7171648614793943E-2</v>
      </c>
      <c r="K97" s="2"/>
      <c r="L97" s="7">
        <f t="shared" si="70"/>
        <v>-1865.6900000000005</v>
      </c>
      <c r="M97" s="2"/>
      <c r="N97" s="6">
        <f t="shared" si="71"/>
        <v>-0.13313205597613217</v>
      </c>
      <c r="O97" s="11"/>
      <c r="P97" s="7">
        <v>23273.91</v>
      </c>
      <c r="Q97" s="2"/>
      <c r="R97" s="6">
        <f t="shared" si="72"/>
        <v>1.5083729898465573E-2</v>
      </c>
      <c r="S97" s="2"/>
      <c r="T97" s="7">
        <v>24942.969999999998</v>
      </c>
      <c r="U97" s="2"/>
      <c r="V97" s="6">
        <f t="shared" si="73"/>
        <v>1.6114772880309304E-2</v>
      </c>
      <c r="W97" s="2"/>
      <c r="X97" s="7">
        <f t="shared" si="74"/>
        <v>-1669.0599999999977</v>
      </c>
      <c r="Y97" s="2"/>
      <c r="Z97" s="6">
        <f t="shared" si="75"/>
        <v>-6.6915046604313674E-2</v>
      </c>
    </row>
    <row r="98" spans="1:26" s="24" customFormat="1" hidden="1" outlineLevel="2" x14ac:dyDescent="0.25">
      <c r="A98" s="29"/>
      <c r="B98" s="11" t="str">
        <f>CONCATENATE("          ", "6239", " - ", "KITCHEN SUPPLIES")</f>
        <v xml:space="preserve">          6239 - KITCHEN SUPPLIES</v>
      </c>
      <c r="C98" s="11"/>
      <c r="D98" s="7">
        <v>8964.77</v>
      </c>
      <c r="E98" s="2"/>
      <c r="F98" s="6">
        <f t="shared" si="68"/>
        <v>1.0496388283365028E-2</v>
      </c>
      <c r="G98" s="2"/>
      <c r="H98" s="7">
        <v>7493.97</v>
      </c>
      <c r="I98" s="2"/>
      <c r="J98" s="6">
        <f t="shared" si="69"/>
        <v>9.1826302709400193E-3</v>
      </c>
      <c r="K98" s="2"/>
      <c r="L98" s="7">
        <f t="shared" si="70"/>
        <v>1470.8000000000002</v>
      </c>
      <c r="M98" s="2"/>
      <c r="N98" s="6">
        <f t="shared" si="71"/>
        <v>0.19626446329515598</v>
      </c>
      <c r="O98" s="11"/>
      <c r="P98" s="7">
        <v>16217.270000000002</v>
      </c>
      <c r="Q98" s="2"/>
      <c r="R98" s="6">
        <f t="shared" si="72"/>
        <v>1.0510349157940751E-2</v>
      </c>
      <c r="S98" s="2"/>
      <c r="T98" s="7">
        <v>9829.92</v>
      </c>
      <c r="U98" s="2"/>
      <c r="V98" s="6">
        <f t="shared" si="73"/>
        <v>6.3507644932263504E-3</v>
      </c>
      <c r="W98" s="2"/>
      <c r="X98" s="7">
        <f t="shared" si="74"/>
        <v>6387.3500000000022</v>
      </c>
      <c r="Y98" s="2"/>
      <c r="Z98" s="6">
        <f t="shared" si="75"/>
        <v>0.64978656998225848</v>
      </c>
    </row>
    <row r="99" spans="1:26" s="24" customFormat="1" hidden="1" outlineLevel="2" x14ac:dyDescent="0.25">
      <c r="A99" s="29"/>
      <c r="B99" s="11" t="str">
        <f>CONCATENATE("          ", "6241", " - ", "OFFICE EXPENSE")</f>
        <v xml:space="preserve">          6241 - OFFICE EXPENSE</v>
      </c>
      <c r="C99" s="11"/>
      <c r="D99" s="7">
        <v>5216.0200000000004</v>
      </c>
      <c r="E99" s="2"/>
      <c r="F99" s="6">
        <f t="shared" si="68"/>
        <v>6.107169644485877E-3</v>
      </c>
      <c r="G99" s="2"/>
      <c r="H99" s="7">
        <v>4946.93</v>
      </c>
      <c r="I99" s="2"/>
      <c r="J99" s="6">
        <f t="shared" si="69"/>
        <v>6.061650789397517E-3</v>
      </c>
      <c r="K99" s="2"/>
      <c r="L99" s="7">
        <f t="shared" si="70"/>
        <v>269.09000000000015</v>
      </c>
      <c r="M99" s="2"/>
      <c r="N99" s="6">
        <f t="shared" si="71"/>
        <v>5.439535226898301E-2</v>
      </c>
      <c r="O99" s="11"/>
      <c r="P99" s="7">
        <v>28810.9</v>
      </c>
      <c r="Q99" s="2"/>
      <c r="R99" s="6">
        <f t="shared" si="72"/>
        <v>1.8672231427022869E-2</v>
      </c>
      <c r="S99" s="2"/>
      <c r="T99" s="7">
        <v>12423.83</v>
      </c>
      <c r="U99" s="2"/>
      <c r="V99" s="6">
        <f t="shared" si="73"/>
        <v>8.0265982260161149E-3</v>
      </c>
      <c r="W99" s="2"/>
      <c r="X99" s="7">
        <f t="shared" si="74"/>
        <v>16387.07</v>
      </c>
      <c r="Y99" s="2"/>
      <c r="Z99" s="6">
        <f t="shared" si="75"/>
        <v>1.3190030771509269</v>
      </c>
    </row>
    <row r="100" spans="1:26" s="24" customFormat="1" hidden="1" outlineLevel="2" x14ac:dyDescent="0.25">
      <c r="A100" s="29"/>
      <c r="B100" s="11" t="str">
        <f>CONCATENATE("          ", "6243", " - ", "PAPER SUPPLIES")</f>
        <v xml:space="preserve">          6243 - PAPER SUPPLIES</v>
      </c>
      <c r="C100" s="11"/>
      <c r="D100" s="7">
        <v>9038.2199999999993</v>
      </c>
      <c r="E100" s="2"/>
      <c r="F100" s="6">
        <f t="shared" si="68"/>
        <v>1.05823871120481E-2</v>
      </c>
      <c r="G100" s="2"/>
      <c r="H100" s="7">
        <v>10469.969999999999</v>
      </c>
      <c r="I100" s="2"/>
      <c r="J100" s="6">
        <f t="shared" si="69"/>
        <v>1.2829229828493291E-2</v>
      </c>
      <c r="K100" s="2"/>
      <c r="L100" s="7">
        <f t="shared" si="70"/>
        <v>-1431.75</v>
      </c>
      <c r="M100" s="2"/>
      <c r="N100" s="6">
        <f t="shared" si="71"/>
        <v>-0.13674824283164136</v>
      </c>
      <c r="O100" s="11"/>
      <c r="P100" s="7">
        <v>16473.66</v>
      </c>
      <c r="Q100" s="2"/>
      <c r="R100" s="6">
        <f t="shared" si="72"/>
        <v>1.0676514512566061E-2</v>
      </c>
      <c r="S100" s="2"/>
      <c r="T100" s="7">
        <v>17183.190000000002</v>
      </c>
      <c r="U100" s="2"/>
      <c r="V100" s="6">
        <f t="shared" si="73"/>
        <v>1.110145280250115E-2</v>
      </c>
      <c r="W100" s="2"/>
      <c r="X100" s="7">
        <f t="shared" si="74"/>
        <v>-709.53000000000247</v>
      </c>
      <c r="Y100" s="2"/>
      <c r="Z100" s="6">
        <f t="shared" si="75"/>
        <v>-4.129210001169762E-2</v>
      </c>
    </row>
    <row r="101" spans="1:26" s="24" customFormat="1" hidden="1" outlineLevel="2" x14ac:dyDescent="0.25">
      <c r="A101" s="29"/>
      <c r="B101" s="11" t="str">
        <f>CONCATENATE("          ", "6245", " - ", "PRINTING")</f>
        <v xml:space="preserve">          6245 - PRINTING</v>
      </c>
      <c r="C101" s="11"/>
      <c r="D101" s="7">
        <v>1356.16</v>
      </c>
      <c r="E101" s="2"/>
      <c r="F101" s="6">
        <f t="shared" si="68"/>
        <v>1.5878580191536779E-3</v>
      </c>
      <c r="G101" s="2"/>
      <c r="H101" s="7"/>
      <c r="I101" s="2"/>
      <c r="J101" s="6">
        <f t="shared" si="69"/>
        <v>0</v>
      </c>
      <c r="K101" s="2"/>
      <c r="L101" s="7">
        <f t="shared" si="70"/>
        <v>1356.16</v>
      </c>
      <c r="M101" s="2"/>
      <c r="N101" s="6">
        <f t="shared" si="71"/>
        <v>0</v>
      </c>
      <c r="O101" s="11"/>
      <c r="P101" s="7">
        <v>1493.92</v>
      </c>
      <c r="Q101" s="2"/>
      <c r="R101" s="6">
        <f t="shared" si="72"/>
        <v>9.6820369976147928E-4</v>
      </c>
      <c r="S101" s="2"/>
      <c r="T101" s="7">
        <v>306.79000000000002</v>
      </c>
      <c r="U101" s="2"/>
      <c r="V101" s="6">
        <f t="shared" si="73"/>
        <v>1.9820619484969482E-4</v>
      </c>
      <c r="W101" s="2"/>
      <c r="X101" s="7">
        <f t="shared" si="74"/>
        <v>1187.1300000000001</v>
      </c>
      <c r="Y101" s="2"/>
      <c r="Z101" s="6">
        <f t="shared" si="75"/>
        <v>3.8695198670100068</v>
      </c>
    </row>
    <row r="102" spans="1:26" s="24" customFormat="1" hidden="1" outlineLevel="2" x14ac:dyDescent="0.25">
      <c r="A102" s="29"/>
      <c r="B102" s="11" t="str">
        <f>CONCATENATE("          ", "6247", " - ", "STORE SUPPLIES")</f>
        <v xml:space="preserve">          6247 - STORE SUPPLIES</v>
      </c>
      <c r="C102" s="11"/>
      <c r="D102" s="7">
        <v>1120.58</v>
      </c>
      <c r="E102" s="2"/>
      <c r="F102" s="6">
        <f t="shared" si="68"/>
        <v>1.3120295091310968E-3</v>
      </c>
      <c r="G102" s="2"/>
      <c r="H102" s="7">
        <v>3846.78</v>
      </c>
      <c r="I102" s="2"/>
      <c r="J102" s="6">
        <f t="shared" si="69"/>
        <v>4.7135975288994545E-3</v>
      </c>
      <c r="K102" s="2"/>
      <c r="L102" s="7">
        <f t="shared" si="70"/>
        <v>-2726.2000000000003</v>
      </c>
      <c r="M102" s="2"/>
      <c r="N102" s="6">
        <f t="shared" si="71"/>
        <v>-0.70869662418958201</v>
      </c>
      <c r="O102" s="11"/>
      <c r="P102" s="7">
        <v>1487.22</v>
      </c>
      <c r="Q102" s="2"/>
      <c r="R102" s="6">
        <f t="shared" si="72"/>
        <v>9.638614560078633E-4</v>
      </c>
      <c r="S102" s="2"/>
      <c r="T102" s="7">
        <v>4143.95</v>
      </c>
      <c r="U102" s="2"/>
      <c r="V102" s="6">
        <f t="shared" si="73"/>
        <v>2.6772598883516175E-3</v>
      </c>
      <c r="W102" s="2"/>
      <c r="X102" s="7">
        <f t="shared" si="74"/>
        <v>-2656.7299999999996</v>
      </c>
      <c r="Y102" s="2"/>
      <c r="Z102" s="6">
        <f t="shared" si="75"/>
        <v>-0.64111053463482903</v>
      </c>
    </row>
    <row r="103" spans="1:26" s="24" customFormat="1" hidden="1" outlineLevel="2" x14ac:dyDescent="0.25">
      <c r="A103" s="29"/>
      <c r="B103" s="11" t="str">
        <f>CONCATENATE("          ", "6248", " - ", "UNIFORMS")</f>
        <v xml:space="preserve">          6248 - UNIFORMS</v>
      </c>
      <c r="C103" s="11"/>
      <c r="D103" s="7">
        <v>3208.64</v>
      </c>
      <c r="E103" s="2"/>
      <c r="F103" s="6">
        <f t="shared" si="68"/>
        <v>3.7568316087904499E-3</v>
      </c>
      <c r="G103" s="2"/>
      <c r="H103" s="7">
        <v>2902.59</v>
      </c>
      <c r="I103" s="2"/>
      <c r="J103" s="6">
        <f t="shared" si="69"/>
        <v>3.5566476511285461E-3</v>
      </c>
      <c r="K103" s="2"/>
      <c r="L103" s="7">
        <f t="shared" si="70"/>
        <v>306.04999999999973</v>
      </c>
      <c r="M103" s="2"/>
      <c r="N103" s="6">
        <f t="shared" si="71"/>
        <v>0.10544031365091168</v>
      </c>
      <c r="O103" s="11"/>
      <c r="P103" s="7">
        <v>-1781.27</v>
      </c>
      <c r="Q103" s="2"/>
      <c r="R103" s="6">
        <f t="shared" si="72"/>
        <v>-1.1544341091049922E-3</v>
      </c>
      <c r="S103" s="2"/>
      <c r="T103" s="7">
        <v>15350.68</v>
      </c>
      <c r="U103" s="2"/>
      <c r="V103" s="6">
        <f t="shared" si="73"/>
        <v>9.9175327460325081E-3</v>
      </c>
      <c r="W103" s="2"/>
      <c r="X103" s="7">
        <f t="shared" si="74"/>
        <v>-17131.95</v>
      </c>
      <c r="Y103" s="2"/>
      <c r="Z103" s="6">
        <f t="shared" si="75"/>
        <v>-1.1160385077403738</v>
      </c>
    </row>
    <row r="104" spans="1:26" s="27" customFormat="1" outlineLevel="1" collapsed="1" x14ac:dyDescent="0.25">
      <c r="A104" s="28"/>
      <c r="B104" s="14" t="str">
        <f>CONCATENATE("     ","Telephone/Data Lines                              ")</f>
        <v xml:space="preserve">     Telephone/Data Lines                              </v>
      </c>
      <c r="C104" s="14"/>
      <c r="D104" s="1">
        <f>SUM(OSRRefD22_20x_0)</f>
        <v>2107.84</v>
      </c>
      <c r="E104" s="1"/>
      <c r="F104" s="5">
        <f t="shared" ref="F104:F111" si="76">IF(D$12=0,0,D104/D$12)</f>
        <v>2.4679614847015752E-3</v>
      </c>
      <c r="G104" s="1"/>
      <c r="H104" s="1">
        <f>SUM(OSRRefH22_20x_0)</f>
        <v>2682.21</v>
      </c>
      <c r="I104" s="1"/>
      <c r="J104" s="5">
        <f t="shared" ref="J104:J111" si="77">IF(H$12=0,0,H104/H$12)</f>
        <v>3.2866081314734418E-3</v>
      </c>
      <c r="K104" s="1"/>
      <c r="L104" s="1">
        <f t="shared" ref="L104:L111" si="78">+D104-H104</f>
        <v>-574.36999999999989</v>
      </c>
      <c r="M104" s="1"/>
      <c r="N104" s="5">
        <f t="shared" ref="N104:N111" si="79">IF(H104=0,0,L104/H104)</f>
        <v>-0.2141405781053683</v>
      </c>
      <c r="O104" s="14"/>
      <c r="P104" s="1">
        <f>SUM(OSRRefP22_20x_0)</f>
        <v>2621.83</v>
      </c>
      <c r="Q104" s="1"/>
      <c r="R104" s="5">
        <f t="shared" ref="R104:R111" si="80">IF(P$12=0,0,P104/P$12)</f>
        <v>1.699197752319829E-3</v>
      </c>
      <c r="S104" s="1"/>
      <c r="T104" s="1">
        <f>SUM(OSRRefT22_20x_0)</f>
        <v>4333.6400000000003</v>
      </c>
      <c r="U104" s="1"/>
      <c r="V104" s="5">
        <f t="shared" ref="V104:V111" si="81">IF(T$12=0,0,T104/T$12)</f>
        <v>2.7998119047179877E-3</v>
      </c>
      <c r="W104" s="1"/>
      <c r="X104" s="1">
        <f t="shared" ref="X104:X111" si="82">+P104-T104</f>
        <v>-1711.8100000000004</v>
      </c>
      <c r="Y104" s="1"/>
      <c r="Z104" s="5">
        <f t="shared" ref="Z104:Z111" si="83">IF(T104=0,0,X104/T104)</f>
        <v>-0.39500512271439259</v>
      </c>
    </row>
    <row r="105" spans="1:26" s="24" customFormat="1" hidden="1" outlineLevel="2" x14ac:dyDescent="0.25">
      <c r="A105" s="29"/>
      <c r="B105" s="11" t="str">
        <f>CONCATENATE("          ", "6309", " - ", "TELEPHONE")</f>
        <v xml:space="preserve">          6309 - TELEPHONE</v>
      </c>
      <c r="C105" s="11"/>
      <c r="D105" s="7">
        <v>2107.84</v>
      </c>
      <c r="E105" s="2"/>
      <c r="F105" s="6">
        <f t="shared" si="76"/>
        <v>2.4679614847015752E-3</v>
      </c>
      <c r="G105" s="2"/>
      <c r="H105" s="7">
        <v>2682.21</v>
      </c>
      <c r="I105" s="2"/>
      <c r="J105" s="6">
        <f t="shared" si="77"/>
        <v>3.2866081314734418E-3</v>
      </c>
      <c r="K105" s="2"/>
      <c r="L105" s="7">
        <f t="shared" si="78"/>
        <v>-574.36999999999989</v>
      </c>
      <c r="M105" s="2"/>
      <c r="N105" s="6">
        <f t="shared" si="79"/>
        <v>-0.2141405781053683</v>
      </c>
      <c r="O105" s="11"/>
      <c r="P105" s="7">
        <v>2621.83</v>
      </c>
      <c r="Q105" s="2"/>
      <c r="R105" s="6">
        <f t="shared" si="80"/>
        <v>1.699197752319829E-3</v>
      </c>
      <c r="S105" s="2"/>
      <c r="T105" s="7">
        <v>4333.6400000000003</v>
      </c>
      <c r="U105" s="2"/>
      <c r="V105" s="6">
        <f t="shared" si="81"/>
        <v>2.7998119047179877E-3</v>
      </c>
      <c r="W105" s="2"/>
      <c r="X105" s="7">
        <f t="shared" si="82"/>
        <v>-1711.8100000000004</v>
      </c>
      <c r="Y105" s="2"/>
      <c r="Z105" s="6">
        <f t="shared" si="83"/>
        <v>-0.39500512271439259</v>
      </c>
    </row>
    <row r="106" spans="1:26" s="27" customFormat="1" outlineLevel="1" collapsed="1" x14ac:dyDescent="0.25">
      <c r="A106" s="28"/>
      <c r="B106" s="14" t="str">
        <f>CONCATENATE("     ","Training                                          ")</f>
        <v xml:space="preserve">     Training                                          </v>
      </c>
      <c r="C106" s="14"/>
      <c r="D106" s="1">
        <f>SUM(OSRRefD22_21x_0)</f>
        <v>364.9</v>
      </c>
      <c r="E106" s="1"/>
      <c r="F106" s="5">
        <f t="shared" si="76"/>
        <v>4.2724264923694625E-4</v>
      </c>
      <c r="G106" s="1"/>
      <c r="H106" s="1">
        <f>SUM(OSRRefH22_21x_0)</f>
        <v>419.62</v>
      </c>
      <c r="I106" s="1"/>
      <c r="J106" s="5">
        <f t="shared" si="77"/>
        <v>5.1417543895850275E-4</v>
      </c>
      <c r="K106" s="1"/>
      <c r="L106" s="1">
        <f t="shared" si="78"/>
        <v>-54.720000000000027</v>
      </c>
      <c r="M106" s="1"/>
      <c r="N106" s="5">
        <f t="shared" si="79"/>
        <v>-0.1304036985844336</v>
      </c>
      <c r="O106" s="14"/>
      <c r="P106" s="1">
        <f>SUM(OSRRefP22_21x_0)</f>
        <v>4440.12</v>
      </c>
      <c r="Q106" s="1"/>
      <c r="R106" s="5">
        <f t="shared" si="80"/>
        <v>2.8776243784037559E-3</v>
      </c>
      <c r="S106" s="1"/>
      <c r="T106" s="1">
        <f>SUM(OSRRefT22_21x_0)</f>
        <v>5322.85</v>
      </c>
      <c r="U106" s="1"/>
      <c r="V106" s="5">
        <f t="shared" si="81"/>
        <v>3.4389055844574403E-3</v>
      </c>
      <c r="W106" s="1"/>
      <c r="X106" s="1">
        <f t="shared" si="82"/>
        <v>-882.73000000000047</v>
      </c>
      <c r="Y106" s="1"/>
      <c r="Z106" s="5">
        <f t="shared" si="83"/>
        <v>-0.1658378500239534</v>
      </c>
    </row>
    <row r="107" spans="1:26" s="24" customFormat="1" hidden="1" outlineLevel="2" x14ac:dyDescent="0.25">
      <c r="A107" s="29"/>
      <c r="B107" s="11" t="str">
        <f>CONCATENATE("          ", "6376", " - ", "TRAINING")</f>
        <v xml:space="preserve">          6376 - TRAINING</v>
      </c>
      <c r="C107" s="11"/>
      <c r="D107" s="7">
        <v>364.9</v>
      </c>
      <c r="E107" s="2"/>
      <c r="F107" s="6">
        <f t="shared" si="76"/>
        <v>4.2724264923694625E-4</v>
      </c>
      <c r="G107" s="2"/>
      <c r="H107" s="7">
        <v>419.62</v>
      </c>
      <c r="I107" s="2"/>
      <c r="J107" s="6">
        <f t="shared" si="77"/>
        <v>5.1417543895850275E-4</v>
      </c>
      <c r="K107" s="2"/>
      <c r="L107" s="7">
        <f t="shared" si="78"/>
        <v>-54.720000000000027</v>
      </c>
      <c r="M107" s="2"/>
      <c r="N107" s="6">
        <f t="shared" si="79"/>
        <v>-0.1304036985844336</v>
      </c>
      <c r="O107" s="11"/>
      <c r="P107" s="7">
        <v>4440.12</v>
      </c>
      <c r="Q107" s="2"/>
      <c r="R107" s="6">
        <f t="shared" si="80"/>
        <v>2.8776243784037559E-3</v>
      </c>
      <c r="S107" s="2"/>
      <c r="T107" s="7">
        <v>5322.85</v>
      </c>
      <c r="U107" s="2"/>
      <c r="V107" s="6">
        <f t="shared" si="81"/>
        <v>3.4389055844574403E-3</v>
      </c>
      <c r="W107" s="2"/>
      <c r="X107" s="7">
        <f t="shared" si="82"/>
        <v>-882.73000000000047</v>
      </c>
      <c r="Y107" s="2"/>
      <c r="Z107" s="6">
        <f t="shared" si="83"/>
        <v>-0.1658378500239534</v>
      </c>
    </row>
    <row r="108" spans="1:26" s="27" customFormat="1" outlineLevel="1" collapsed="1" x14ac:dyDescent="0.25">
      <c r="A108" s="28"/>
      <c r="B108" s="14" t="str">
        <f>CONCATENATE("     ","Travel                                            ")</f>
        <v xml:space="preserve">     Travel                                            </v>
      </c>
      <c r="C108" s="14"/>
      <c r="D108" s="1">
        <f>SUM(OSRRefD22_22x_0)</f>
        <v>206.94</v>
      </c>
      <c r="E108" s="1"/>
      <c r="F108" s="5">
        <f t="shared" si="76"/>
        <v>2.422954065034082E-4</v>
      </c>
      <c r="G108" s="1"/>
      <c r="H108" s="1">
        <f>SUM(OSRRefH22_22x_0)</f>
        <v>453.47</v>
      </c>
      <c r="I108" s="1"/>
      <c r="J108" s="5">
        <f t="shared" si="77"/>
        <v>5.5565305825392558E-4</v>
      </c>
      <c r="K108" s="1"/>
      <c r="L108" s="1">
        <f t="shared" si="78"/>
        <v>-246.53000000000003</v>
      </c>
      <c r="M108" s="1"/>
      <c r="N108" s="5">
        <f t="shared" si="79"/>
        <v>-0.54365228129755006</v>
      </c>
      <c r="O108" s="14"/>
      <c r="P108" s="1">
        <f>SUM(OSRRefP22_22x_0)</f>
        <v>2539.7699999999995</v>
      </c>
      <c r="Q108" s="1"/>
      <c r="R108" s="5">
        <f t="shared" si="80"/>
        <v>1.646014987779273E-3</v>
      </c>
      <c r="S108" s="1"/>
      <c r="T108" s="1">
        <f>SUM(OSRRefT22_22x_0)</f>
        <v>2803.63</v>
      </c>
      <c r="U108" s="1"/>
      <c r="V108" s="5">
        <f t="shared" si="81"/>
        <v>1.8113264254586195E-3</v>
      </c>
      <c r="W108" s="1"/>
      <c r="X108" s="1">
        <f t="shared" si="82"/>
        <v>-263.86000000000058</v>
      </c>
      <c r="Y108" s="1"/>
      <c r="Z108" s="5">
        <f t="shared" si="83"/>
        <v>-9.4113702592710374E-2</v>
      </c>
    </row>
    <row r="109" spans="1:26" s="24" customFormat="1" hidden="1" outlineLevel="2" x14ac:dyDescent="0.25">
      <c r="A109" s="29"/>
      <c r="B109" s="11" t="str">
        <f>CONCATENATE("          ", "6292", " - ", "TRAVEL/CONFERENCE")</f>
        <v xml:space="preserve">          6292 - TRAVEL/CONFERENCE</v>
      </c>
      <c r="C109" s="11"/>
      <c r="D109" s="7">
        <v>160.36000000000001</v>
      </c>
      <c r="E109" s="2"/>
      <c r="F109" s="6">
        <f t="shared" si="76"/>
        <v>1.8775727934128997E-4</v>
      </c>
      <c r="G109" s="2"/>
      <c r="H109" s="7">
        <v>202.33</v>
      </c>
      <c r="I109" s="2"/>
      <c r="J109" s="6">
        <f t="shared" si="77"/>
        <v>2.4792220715045486E-4</v>
      </c>
      <c r="K109" s="2"/>
      <c r="L109" s="7">
        <f t="shared" si="78"/>
        <v>-41.97</v>
      </c>
      <c r="M109" s="2"/>
      <c r="N109" s="6">
        <f t="shared" si="79"/>
        <v>-0.20743340087975087</v>
      </c>
      <c r="O109" s="11"/>
      <c r="P109" s="7">
        <v>2234.1</v>
      </c>
      <c r="Q109" s="2"/>
      <c r="R109" s="6">
        <f t="shared" si="80"/>
        <v>1.4479114582019925E-3</v>
      </c>
      <c r="S109" s="2"/>
      <c r="T109" s="7">
        <v>1165.53</v>
      </c>
      <c r="U109" s="2"/>
      <c r="V109" s="6">
        <f t="shared" si="81"/>
        <v>7.5300781082553148E-4</v>
      </c>
      <c r="W109" s="2"/>
      <c r="X109" s="7">
        <f t="shared" si="82"/>
        <v>1068.57</v>
      </c>
      <c r="Y109" s="2"/>
      <c r="Z109" s="6">
        <f t="shared" si="83"/>
        <v>0.91681037811124555</v>
      </c>
    </row>
    <row r="110" spans="1:26" s="24" customFormat="1" hidden="1" outlineLevel="2" x14ac:dyDescent="0.25">
      <c r="A110" s="29"/>
      <c r="B110" s="11" t="str">
        <f>CONCATENATE("          ", "6294", " - ", "TRAVEL OPERATIONAL")</f>
        <v xml:space="preserve">          6294 - TRAVEL OPERATIONAL</v>
      </c>
      <c r="C110" s="11"/>
      <c r="D110" s="7"/>
      <c r="E110" s="2"/>
      <c r="F110" s="6">
        <f t="shared" si="76"/>
        <v>0</v>
      </c>
      <c r="G110" s="2"/>
      <c r="H110" s="7">
        <v>168.83</v>
      </c>
      <c r="I110" s="2"/>
      <c r="J110" s="6">
        <f t="shared" si="77"/>
        <v>2.0687345541052385E-4</v>
      </c>
      <c r="K110" s="2"/>
      <c r="L110" s="7">
        <f t="shared" si="78"/>
        <v>-168.83</v>
      </c>
      <c r="M110" s="2"/>
      <c r="N110" s="6">
        <f t="shared" si="79"/>
        <v>-1</v>
      </c>
      <c r="O110" s="11"/>
      <c r="P110" s="7">
        <v>45.49</v>
      </c>
      <c r="Q110" s="2"/>
      <c r="R110" s="6">
        <f t="shared" si="80"/>
        <v>2.9481890798804279E-5</v>
      </c>
      <c r="S110" s="2"/>
      <c r="T110" s="7">
        <v>1485.73</v>
      </c>
      <c r="U110" s="2"/>
      <c r="V110" s="6">
        <f t="shared" si="81"/>
        <v>9.5987773354423895E-4</v>
      </c>
      <c r="W110" s="2"/>
      <c r="X110" s="7">
        <f t="shared" si="82"/>
        <v>-1440.24</v>
      </c>
      <c r="Y110" s="2"/>
      <c r="Z110" s="6">
        <f t="shared" si="83"/>
        <v>-0.96938205461288385</v>
      </c>
    </row>
    <row r="111" spans="1:26" s="24" customFormat="1" hidden="1" outlineLevel="2" x14ac:dyDescent="0.25">
      <c r="A111" s="29"/>
      <c r="B111" s="11" t="str">
        <f>CONCATENATE("          ", "6298", " - ", "VEHICLE MILEAGE")</f>
        <v xml:space="preserve">          6298 - VEHICLE MILEAGE</v>
      </c>
      <c r="C111" s="11"/>
      <c r="D111" s="7">
        <v>46.58</v>
      </c>
      <c r="E111" s="2"/>
      <c r="F111" s="6">
        <f t="shared" si="76"/>
        <v>5.453812716211827E-5</v>
      </c>
      <c r="G111" s="2"/>
      <c r="H111" s="7">
        <v>82.31</v>
      </c>
      <c r="I111" s="2"/>
      <c r="J111" s="6">
        <f t="shared" si="77"/>
        <v>1.0085739569294686E-4</v>
      </c>
      <c r="K111" s="2"/>
      <c r="L111" s="7">
        <f t="shared" si="78"/>
        <v>-35.730000000000004</v>
      </c>
      <c r="M111" s="2"/>
      <c r="N111" s="6">
        <f t="shared" si="79"/>
        <v>-0.43409063297290734</v>
      </c>
      <c r="O111" s="11"/>
      <c r="P111" s="7">
        <v>260.18</v>
      </c>
      <c r="Q111" s="2"/>
      <c r="R111" s="6">
        <f t="shared" si="80"/>
        <v>1.6862163877847652E-4</v>
      </c>
      <c r="S111" s="2"/>
      <c r="T111" s="7">
        <v>152.37</v>
      </c>
      <c r="U111" s="2"/>
      <c r="V111" s="6">
        <f t="shared" si="81"/>
        <v>9.8440881088849043E-5</v>
      </c>
      <c r="W111" s="2"/>
      <c r="X111" s="7">
        <f t="shared" si="82"/>
        <v>107.81</v>
      </c>
      <c r="Y111" s="2"/>
      <c r="Z111" s="6">
        <f t="shared" si="83"/>
        <v>0.7075539804423443</v>
      </c>
    </row>
    <row r="112" spans="1:26" s="27" customFormat="1" outlineLevel="1" collapsed="1" x14ac:dyDescent="0.25">
      <c r="A112" s="28"/>
      <c r="B112" s="14" t="str">
        <f>CONCATENATE("     ","Utilities                                         ")</f>
        <v xml:space="preserve">     Utilities                                         </v>
      </c>
      <c r="C112" s="14"/>
      <c r="D112" s="1">
        <f>SUM(OSRRefD22_23x_0)</f>
        <v>0</v>
      </c>
      <c r="E112" s="1"/>
      <c r="F112" s="5">
        <f t="shared" ref="F112:F113" si="84">IF(D$12=0,0,D112/D$12)</f>
        <v>0</v>
      </c>
      <c r="G112" s="1"/>
      <c r="H112" s="1">
        <f>SUM(OSRRefH22_23x_0)</f>
        <v>15416</v>
      </c>
      <c r="I112" s="1"/>
      <c r="J112" s="5">
        <f t="shared" ref="J112:J113" si="85">IF(H$12=0,0,H112/H$12)</f>
        <v>1.8889777815605257E-2</v>
      </c>
      <c r="K112" s="1"/>
      <c r="L112" s="1">
        <f t="shared" ref="L112:L113" si="86">+D112-H112</f>
        <v>-15416</v>
      </c>
      <c r="M112" s="1"/>
      <c r="N112" s="5">
        <f t="shared" ref="N112:N113" si="87">IF(H112=0,0,L112/H112)</f>
        <v>-1</v>
      </c>
      <c r="O112" s="14"/>
      <c r="P112" s="1">
        <f>SUM(OSRRefP22_23x_0)</f>
        <v>13691</v>
      </c>
      <c r="Q112" s="1"/>
      <c r="R112" s="5">
        <f t="shared" ref="R112:R113" si="88">IF(P$12=0,0,P112/P$12)</f>
        <v>8.8730834672769709E-3</v>
      </c>
      <c r="S112" s="1"/>
      <c r="T112" s="1">
        <f>SUM(OSRRefT22_23x_0)</f>
        <v>30832</v>
      </c>
      <c r="U112" s="1"/>
      <c r="V112" s="5">
        <f t="shared" ref="V112:V113" si="89">IF(T$12=0,0,T112/T$12)</f>
        <v>1.9919467386830699E-2</v>
      </c>
      <c r="W112" s="1"/>
      <c r="X112" s="1">
        <f t="shared" ref="X112:X113" si="90">+P112-T112</f>
        <v>-17141</v>
      </c>
      <c r="Y112" s="1"/>
      <c r="Z112" s="5">
        <f t="shared" ref="Z112:Z113" si="91">IF(T112=0,0,X112/T112)</f>
        <v>-0.55594836533471714</v>
      </c>
    </row>
    <row r="113" spans="1:26" s="24" customFormat="1" hidden="1" outlineLevel="2" x14ac:dyDescent="0.25">
      <c r="A113" s="29"/>
      <c r="B113" s="11" t="str">
        <f>CONCATENATE("          ", "6274", " - ", "UTILITIES")</f>
        <v xml:space="preserve">          6274 - UTILITIES</v>
      </c>
      <c r="C113" s="11"/>
      <c r="D113" s="7"/>
      <c r="E113" s="2"/>
      <c r="F113" s="6">
        <f t="shared" si="84"/>
        <v>0</v>
      </c>
      <c r="G113" s="2"/>
      <c r="H113" s="7">
        <v>15416</v>
      </c>
      <c r="I113" s="2"/>
      <c r="J113" s="6">
        <f t="shared" si="85"/>
        <v>1.8889777815605257E-2</v>
      </c>
      <c r="K113" s="2"/>
      <c r="L113" s="7">
        <f t="shared" si="86"/>
        <v>-15416</v>
      </c>
      <c r="M113" s="2"/>
      <c r="N113" s="6">
        <f t="shared" si="87"/>
        <v>-1</v>
      </c>
      <c r="O113" s="11"/>
      <c r="P113" s="7">
        <v>13691</v>
      </c>
      <c r="Q113" s="2"/>
      <c r="R113" s="6">
        <f t="shared" si="88"/>
        <v>8.8730834672769709E-3</v>
      </c>
      <c r="S113" s="2"/>
      <c r="T113" s="7">
        <v>30832</v>
      </c>
      <c r="U113" s="2"/>
      <c r="V113" s="6">
        <f t="shared" si="89"/>
        <v>1.9919467386830699E-2</v>
      </c>
      <c r="W113" s="2"/>
      <c r="X113" s="7">
        <f t="shared" si="90"/>
        <v>-17141</v>
      </c>
      <c r="Y113" s="2"/>
      <c r="Z113" s="6">
        <f t="shared" si="91"/>
        <v>-0.55594836533471714</v>
      </c>
    </row>
    <row r="114" spans="1:26" s="62" customFormat="1" x14ac:dyDescent="0.25">
      <c r="A114" s="37"/>
      <c r="B114" s="37"/>
      <c r="C114" s="37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7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5" t="s">
        <v>0</v>
      </c>
      <c r="C115" s="10"/>
      <c r="D115" s="4">
        <f>SUM(OSRRefD25x_0)</f>
        <v>14461.25</v>
      </c>
      <c r="E115" s="4"/>
      <c r="F115" s="12">
        <f t="shared" ref="F115:F118" si="92">IF(D$12=0,0,D115/D$12)</f>
        <v>1.6931934122438447E-2</v>
      </c>
      <c r="G115" s="4"/>
      <c r="H115" s="4">
        <f>SUM(OSRRefH25x_0)</f>
        <v>16298.14</v>
      </c>
      <c r="I115" s="4"/>
      <c r="J115" s="12">
        <f t="shared" ref="J115:J118" si="93">IF(H$12=0,0,H115/H$12)</f>
        <v>1.997069560246683E-2</v>
      </c>
      <c r="K115" s="4"/>
      <c r="L115" s="4">
        <f t="shared" ref="L115:L118" si="94">+D115-H115</f>
        <v>-1836.8899999999994</v>
      </c>
      <c r="M115" s="4"/>
      <c r="N115" s="12">
        <f t="shared" ref="N115:N118" si="95">IF(H115=0,0,L115/H115)</f>
        <v>-0.1127054989096915</v>
      </c>
      <c r="O115" s="10"/>
      <c r="P115" s="4">
        <f>SUM(OSRRefP25x_0)</f>
        <v>65394.66</v>
      </c>
      <c r="Q115" s="4"/>
      <c r="R115" s="12">
        <f t="shared" ref="R115:R118" si="96">IF(P$12=0,0,P115/P$12)</f>
        <v>4.2382022970871278E-2</v>
      </c>
      <c r="S115" s="4"/>
      <c r="T115" s="4">
        <f>SUM(OSRRefT25x_0)</f>
        <v>33859.119999999995</v>
      </c>
      <c r="U115" s="4"/>
      <c r="V115" s="12">
        <f t="shared" ref="V115:V118" si="97">IF(T$12=0,0,T115/T$12)</f>
        <v>2.1875182816125681E-2</v>
      </c>
      <c r="W115" s="4"/>
      <c r="X115" s="4">
        <f t="shared" ref="X115:X118" si="98">+P115-T115</f>
        <v>31535.540000000008</v>
      </c>
      <c r="Y115" s="4"/>
      <c r="Z115" s="12">
        <f t="shared" ref="Z115:Z118" si="99">IF(T115=0,0,X115/T115)</f>
        <v>0.93137506231703637</v>
      </c>
    </row>
    <row r="116" spans="1:26" s="24" customFormat="1" hidden="1" outlineLevel="1" x14ac:dyDescent="0.25">
      <c r="A116" s="50"/>
      <c r="B116" s="11" t="str">
        <f>CONCATENATE("          ", "9150", " - ", "MISC. INCOME")</f>
        <v xml:space="preserve">          9150 - MISC. INCOME</v>
      </c>
      <c r="C116" s="11"/>
      <c r="D116" s="2">
        <f>--6527.69</f>
        <v>6527.69</v>
      </c>
      <c r="E116" s="2"/>
      <c r="F116" s="21">
        <f t="shared" si="92"/>
        <v>7.6429366100233534E-3</v>
      </c>
      <c r="G116" s="2"/>
      <c r="H116" s="2">
        <f>--9535.1</f>
        <v>9535.1</v>
      </c>
      <c r="I116" s="2"/>
      <c r="J116" s="21">
        <f t="shared" si="93"/>
        <v>1.1683700081057194E-2</v>
      </c>
      <c r="K116" s="2"/>
      <c r="L116" s="2">
        <f t="shared" si="94"/>
        <v>-3007.4100000000008</v>
      </c>
      <c r="M116" s="2"/>
      <c r="N116" s="21">
        <f t="shared" si="95"/>
        <v>-0.31540413839393405</v>
      </c>
      <c r="O116" s="11"/>
      <c r="P116" s="2">
        <f>--47787.95</f>
        <v>47787.95</v>
      </c>
      <c r="Q116" s="2"/>
      <c r="R116" s="21">
        <f t="shared" si="96"/>
        <v>3.0971183191882148E-2</v>
      </c>
      <c r="S116" s="2"/>
      <c r="T116" s="2">
        <f>--14516.26</f>
        <v>14516.26</v>
      </c>
      <c r="U116" s="2"/>
      <c r="V116" s="21">
        <f t="shared" si="97"/>
        <v>9.3784434239995787E-3</v>
      </c>
      <c r="W116" s="2"/>
      <c r="X116" s="2">
        <f t="shared" si="98"/>
        <v>33271.689999999995</v>
      </c>
      <c r="Y116" s="2"/>
      <c r="Z116" s="21">
        <f t="shared" si="99"/>
        <v>2.2920290763598885</v>
      </c>
    </row>
    <row r="117" spans="1:26" s="24" customFormat="1" hidden="1" outlineLevel="1" x14ac:dyDescent="0.25">
      <c r="A117" s="50"/>
      <c r="B117" s="11" t="str">
        <f>CONCATENATE("          ", "9160", " - ", "MISC. INCOME")</f>
        <v xml:space="preserve">          9160 - MISC. INCOME</v>
      </c>
      <c r="C117" s="11"/>
      <c r="D117" s="2">
        <f>--4981.17</f>
        <v>4981.17</v>
      </c>
      <c r="E117" s="2"/>
      <c r="F117" s="21">
        <f t="shared" si="92"/>
        <v>5.8321958539314872E-3</v>
      </c>
      <c r="G117" s="2"/>
      <c r="H117" s="2">
        <f>--4981.17</f>
        <v>4981.17</v>
      </c>
      <c r="I117" s="2"/>
      <c r="J117" s="21">
        <f t="shared" si="93"/>
        <v>6.1036062896833443E-3</v>
      </c>
      <c r="K117" s="2"/>
      <c r="L117" s="2">
        <f t="shared" si="94"/>
        <v>0</v>
      </c>
      <c r="M117" s="2"/>
      <c r="N117" s="21">
        <f t="shared" si="95"/>
        <v>0</v>
      </c>
      <c r="O117" s="11"/>
      <c r="P117" s="2">
        <f>--10973.27</f>
        <v>10973.27</v>
      </c>
      <c r="Q117" s="2"/>
      <c r="R117" s="21">
        <f t="shared" si="96"/>
        <v>7.1117333006329971E-3</v>
      </c>
      <c r="S117" s="2"/>
      <c r="T117" s="2">
        <f>--15442.16</f>
        <v>15442.16</v>
      </c>
      <c r="U117" s="2"/>
      <c r="V117" s="21">
        <f t="shared" si="97"/>
        <v>9.9766347464394639E-3</v>
      </c>
      <c r="W117" s="2"/>
      <c r="X117" s="2">
        <f t="shared" si="98"/>
        <v>-4468.8899999999994</v>
      </c>
      <c r="Y117" s="2"/>
      <c r="Z117" s="21">
        <f t="shared" si="99"/>
        <v>-0.28939539546281084</v>
      </c>
    </row>
    <row r="118" spans="1:26" s="24" customFormat="1" hidden="1" outlineLevel="1" x14ac:dyDescent="0.25">
      <c r="A118" s="50"/>
      <c r="B118" s="11" t="str">
        <f>CONCATENATE("          ", "9165", " - ", "OTHER INCOME")</f>
        <v xml:space="preserve">          9165 - OTHER INCOME</v>
      </c>
      <c r="C118" s="11"/>
      <c r="D118" s="2">
        <f>--2952.39</f>
        <v>2952.39</v>
      </c>
      <c r="E118" s="2"/>
      <c r="F118" s="21">
        <f t="shared" si="92"/>
        <v>3.4568016584836055E-3</v>
      </c>
      <c r="G118" s="2"/>
      <c r="H118" s="2">
        <f>--1781.87</f>
        <v>1781.87</v>
      </c>
      <c r="I118" s="2"/>
      <c r="J118" s="21">
        <f t="shared" si="93"/>
        <v>2.1833892317262931E-3</v>
      </c>
      <c r="K118" s="2"/>
      <c r="L118" s="2">
        <f t="shared" si="94"/>
        <v>1170.52</v>
      </c>
      <c r="M118" s="2"/>
      <c r="N118" s="21">
        <f t="shared" si="95"/>
        <v>0.65690538591479741</v>
      </c>
      <c r="O118" s="11"/>
      <c r="P118" s="2">
        <f>--6633.44</f>
        <v>6633.44</v>
      </c>
      <c r="Q118" s="2"/>
      <c r="R118" s="21">
        <f t="shared" si="96"/>
        <v>4.2991064783561277E-3</v>
      </c>
      <c r="S118" s="2"/>
      <c r="T118" s="2">
        <f>--3900.7</f>
        <v>3900.7</v>
      </c>
      <c r="U118" s="2"/>
      <c r="V118" s="21">
        <f t="shared" si="97"/>
        <v>2.5201046456866409E-3</v>
      </c>
      <c r="W118" s="2"/>
      <c r="X118" s="2">
        <f t="shared" si="98"/>
        <v>2732.74</v>
      </c>
      <c r="Y118" s="2"/>
      <c r="Z118" s="21">
        <f t="shared" si="99"/>
        <v>0.70057681954520978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6" t="s">
        <v>3</v>
      </c>
      <c r="C120" s="26"/>
      <c r="D120" s="20">
        <f>+D30-D32+D115</f>
        <v>-143787.79999999993</v>
      </c>
      <c r="E120" s="13"/>
      <c r="F120" s="19">
        <f>IF(D$12=0,0,D120/D$12)</f>
        <v>-0.16835374239504564</v>
      </c>
      <c r="G120" s="13"/>
      <c r="H120" s="20">
        <f>+H30-H32+H115</f>
        <v>-217607.91999999969</v>
      </c>
      <c r="I120" s="13"/>
      <c r="J120" s="19">
        <f>IF(H$12=0,0,H120/H$12)</f>
        <v>-0.26664279058873885</v>
      </c>
      <c r="K120" s="15"/>
      <c r="L120" s="20">
        <f>+D120-H120</f>
        <v>73820.119999999763</v>
      </c>
      <c r="M120" s="15"/>
      <c r="N120" s="19">
        <f>IF(H120=0,0,L120/H120)</f>
        <v>-0.33923452786093389</v>
      </c>
      <c r="O120" s="25"/>
      <c r="P120" s="20">
        <f>+P30-P32+P115</f>
        <v>-441363.05999999947</v>
      </c>
      <c r="Q120" s="13"/>
      <c r="R120" s="19">
        <f>IF(P$12=0,0,P120/P$12)</f>
        <v>-0.28604567020325533</v>
      </c>
      <c r="S120" s="13"/>
      <c r="T120" s="20">
        <f>+T30-T32+T115</f>
        <v>-397228.11000000022</v>
      </c>
      <c r="U120" s="13"/>
      <c r="V120" s="19">
        <f>IF(T$12=0,0,T120/T$12)</f>
        <v>-0.25663506688756493</v>
      </c>
      <c r="W120" s="15"/>
      <c r="X120" s="20">
        <f>+P120-T120</f>
        <v>-44134.949999999255</v>
      </c>
      <c r="Y120" s="15"/>
      <c r="Z120" s="19">
        <f>IF(T120=0,0,X120/T120)</f>
        <v>0.11110731816033671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1"/>
      <c r="B122" s="10" t="s">
        <v>13</v>
      </c>
      <c r="C122" s="10"/>
      <c r="D122" s="4">
        <v>49139.03</v>
      </c>
      <c r="E122" s="4"/>
      <c r="F122" s="12">
        <f>IF(D$12=0,0,D122/D$12)</f>
        <v>5.7534363820591336E-2</v>
      </c>
      <c r="G122" s="4"/>
      <c r="H122" s="4">
        <v>7801.82</v>
      </c>
      <c r="I122" s="4"/>
      <c r="J122" s="12">
        <f>IF(H$12=0,0,H122/H$12)</f>
        <v>9.5598499193918912E-3</v>
      </c>
      <c r="K122" s="4"/>
      <c r="L122" s="4">
        <f>+D122-H122</f>
        <v>41337.21</v>
      </c>
      <c r="M122" s="4"/>
      <c r="N122" s="12">
        <f>IF(H122=0,0,L122/H122)</f>
        <v>5.2984060129559518</v>
      </c>
      <c r="O122" s="10"/>
      <c r="P122" s="4">
        <v>192381.56999999998</v>
      </c>
      <c r="Q122" s="4"/>
      <c r="R122" s="12">
        <f>IF(P$12=0,0,P122/P$12)</f>
        <v>0.12468174188706355</v>
      </c>
      <c r="S122" s="4"/>
      <c r="T122" s="4">
        <v>158026.41</v>
      </c>
      <c r="U122" s="4"/>
      <c r="V122" s="12">
        <f>IF(T$12=0,0,T122/T$12)</f>
        <v>0.1020952880206583</v>
      </c>
      <c r="W122" s="4"/>
      <c r="X122" s="4">
        <f>+P122-T122</f>
        <v>34355.159999999974</v>
      </c>
      <c r="Y122" s="4"/>
      <c r="Z122" s="12">
        <f>IF(T122=0,0,X122/T122)</f>
        <v>0.2174013824651207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6" t="s">
        <v>4</v>
      </c>
      <c r="C124" s="26"/>
      <c r="D124" s="31">
        <f>+D120-D122</f>
        <v>-192926.82999999993</v>
      </c>
      <c r="E124" s="13"/>
      <c r="F124" s="36">
        <f>IF(D$12=0,0,D124/D$12)</f>
        <v>-0.22588810621563696</v>
      </c>
      <c r="G124" s="13"/>
      <c r="H124" s="31">
        <f>+H120-H122</f>
        <v>-225409.7399999997</v>
      </c>
      <c r="I124" s="13"/>
      <c r="J124" s="36">
        <f>IF(H$12=0,0,H124/H$12)</f>
        <v>-0.2762026405081307</v>
      </c>
      <c r="K124" s="15"/>
      <c r="L124" s="31">
        <f>D124-H124</f>
        <v>32482.909999999771</v>
      </c>
      <c r="M124" s="15"/>
      <c r="N124" s="36">
        <f>IF(H124=0,0,L124/H124)</f>
        <v>-0.14410606214265548</v>
      </c>
      <c r="O124" s="25"/>
      <c r="P124" s="31">
        <f>+P120-P122</f>
        <v>-633744.62999999942</v>
      </c>
      <c r="Q124" s="13"/>
      <c r="R124" s="36">
        <f>IF(P$12=0,0,P124/P$12)</f>
        <v>-0.41072741209031888</v>
      </c>
      <c r="S124" s="13"/>
      <c r="T124" s="31">
        <f>+T120-T122</f>
        <v>-555254.52000000025</v>
      </c>
      <c r="U124" s="13"/>
      <c r="V124" s="36">
        <f>IF(T$12=0,0,T124/T$12)</f>
        <v>-0.35873035490822325</v>
      </c>
      <c r="W124" s="15"/>
      <c r="X124" s="31">
        <f>P124-T124</f>
        <v>-78490.109999999171</v>
      </c>
      <c r="Y124" s="15"/>
      <c r="Z124" s="36">
        <f>IF(T124=0,0,X124/T124)</f>
        <v>0.14135879524222358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6" t="s">
        <v>5</v>
      </c>
      <c r="C127" s="26"/>
      <c r="D127" s="32">
        <f>SUM(D124:D126)</f>
        <v>-192926.82999999993</v>
      </c>
      <c r="E127" s="13"/>
      <c r="F127" s="30">
        <f>IF(D$12=0,0,D127/D$12)</f>
        <v>-0.22588810621563696</v>
      </c>
      <c r="G127" s="13"/>
      <c r="H127" s="32">
        <f>SUM(H124:H126)</f>
        <v>-225409.7399999997</v>
      </c>
      <c r="I127" s="13"/>
      <c r="J127" s="30">
        <f>IF(H$12=0,0,H127/H$12)</f>
        <v>-0.2762026405081307</v>
      </c>
      <c r="K127" s="15"/>
      <c r="L127" s="32">
        <f>+D127-H127</f>
        <v>32482.909999999771</v>
      </c>
      <c r="M127" s="15"/>
      <c r="N127" s="30">
        <f>IF(H127=0,0,L127/H127)</f>
        <v>-0.14410606214265548</v>
      </c>
      <c r="O127" s="25"/>
      <c r="P127" s="32">
        <f>SUM(P124:P126)</f>
        <v>-633744.62999999942</v>
      </c>
      <c r="Q127" s="13"/>
      <c r="R127" s="30">
        <f>IF(P$12=0,0,P127/P$12)</f>
        <v>-0.41072741209031888</v>
      </c>
      <c r="S127" s="13"/>
      <c r="T127" s="32">
        <f>SUM(T124:T126)</f>
        <v>-555254.52000000025</v>
      </c>
      <c r="U127" s="13"/>
      <c r="V127" s="30">
        <f>IF(T$12=0,0,T127/T$12)</f>
        <v>-0.35873035490822325</v>
      </c>
      <c r="W127" s="15"/>
      <c r="X127" s="32">
        <f>+P127-T127</f>
        <v>-78490.109999999171</v>
      </c>
      <c r="Y127" s="15"/>
      <c r="Z127" s="30">
        <f>IF(T127=0,0,X127/T127)</f>
        <v>0.14135879524222358</v>
      </c>
    </row>
    <row r="128" spans="1:26" ht="15.75" thickTop="1" x14ac:dyDescent="0.25">
      <c r="A128" s="9"/>
      <c r="C128" s="9"/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1:24" x14ac:dyDescent="0.25">
      <c r="A129" s="9"/>
      <c r="B129" s="57">
        <v>43732.70927353009</v>
      </c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A130" s="9"/>
      <c r="B130" s="60" t="s">
        <v>313</v>
      </c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4" x14ac:dyDescent="0.25">
      <c r="A131" s="9"/>
      <c r="B131" s="56"/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4" x14ac:dyDescent="0.25"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476198.46000000008</v>
      </c>
      <c r="E12" s="4"/>
      <c r="F12" s="12"/>
      <c r="G12" s="4"/>
      <c r="H12" s="4">
        <f>SUM(OSRRefH13x_0)</f>
        <v>485144.62</v>
      </c>
      <c r="I12" s="4"/>
      <c r="J12" s="12"/>
      <c r="K12" s="4"/>
      <c r="L12" s="4">
        <f t="shared" ref="L12:L29" si="0">+D12-H12</f>
        <v>-8946.1599999999162</v>
      </c>
      <c r="M12" s="4"/>
      <c r="N12" s="12">
        <f t="shared" ref="N12:N29" si="1">IF(H12=0,0,L12/H12)</f>
        <v>-1.8440192122505483E-2</v>
      </c>
      <c r="O12" s="10"/>
      <c r="P12" s="4">
        <f>SUM(OSRRefP13x_0)</f>
        <v>714489.2300000001</v>
      </c>
      <c r="Q12" s="4"/>
      <c r="R12" s="12"/>
      <c r="S12" s="4"/>
      <c r="T12" s="4">
        <f>SUM(OSRRefT13x_0)</f>
        <v>769982.58000000019</v>
      </c>
      <c r="U12" s="4"/>
      <c r="V12" s="12"/>
      <c r="W12" s="4"/>
      <c r="X12" s="4">
        <f t="shared" ref="X12:X29" si="2">+P12-T12</f>
        <v>-55493.350000000093</v>
      </c>
      <c r="Y12" s="4"/>
      <c r="Z12" s="12">
        <f t="shared" ref="Z12:Z29" si="3">IF(T12=0,0,X12/T12)</f>
        <v>-7.2070916201766644E-2</v>
      </c>
    </row>
    <row r="13" spans="1:26" s="24" customFormat="1" hidden="1" outlineLevel="1" x14ac:dyDescent="0.25">
      <c r="A13" s="50"/>
      <c r="B13" s="11" t="str">
        <f>CONCATENATE("          ", "4032", " - ", "TAXABLE SALES-JUICE")</f>
        <v xml:space="preserve">          4032 - TAXABLE SALES-JUICE</v>
      </c>
      <c r="C13" s="11"/>
      <c r="D13" s="2">
        <f>--17869.12</f>
        <v>17869.12</v>
      </c>
      <c r="E13" s="2"/>
      <c r="F13" s="21"/>
      <c r="G13" s="2"/>
      <c r="H13" s="2">
        <f>--18991.07</f>
        <v>18991.07</v>
      </c>
      <c r="I13" s="2"/>
      <c r="J13" s="21"/>
      <c r="K13" s="2"/>
      <c r="L13" s="2">
        <f t="shared" si="0"/>
        <v>-1121.9500000000007</v>
      </c>
      <c r="M13" s="2"/>
      <c r="N13" s="21">
        <f t="shared" si="1"/>
        <v>-5.9077766550278674E-2</v>
      </c>
      <c r="O13" s="11"/>
      <c r="P13" s="2">
        <f>--24749.38</f>
        <v>24749.38</v>
      </c>
      <c r="Q13" s="2"/>
      <c r="R13" s="21"/>
      <c r="S13" s="2"/>
      <c r="T13" s="2">
        <f>--26212.81</f>
        <v>26212.81</v>
      </c>
      <c r="U13" s="2"/>
      <c r="V13" s="21"/>
      <c r="W13" s="2"/>
      <c r="X13" s="2">
        <f t="shared" si="2"/>
        <v>-1463.4300000000003</v>
      </c>
      <c r="Y13" s="2"/>
      <c r="Z13" s="21">
        <f t="shared" si="3"/>
        <v>-5.5828810417501984E-2</v>
      </c>
    </row>
    <row r="14" spans="1:26" s="24" customFormat="1" hidden="1" outlineLevel="1" x14ac:dyDescent="0.25">
      <c r="A14" s="50"/>
      <c r="B14" s="11" t="str">
        <f>CONCATENATE("          ", "4034", " - ", "TAXABLE SALES-SODA")</f>
        <v xml:space="preserve">          4034 - TAXABLE SALES-SODA</v>
      </c>
      <c r="C14" s="11"/>
      <c r="D14" s="2">
        <f>--357.65</f>
        <v>357.65</v>
      </c>
      <c r="E14" s="2"/>
      <c r="F14" s="21"/>
      <c r="G14" s="2"/>
      <c r="H14" s="2">
        <f>--296.31</f>
        <v>296.31</v>
      </c>
      <c r="I14" s="2"/>
      <c r="J14" s="21"/>
      <c r="K14" s="2"/>
      <c r="L14" s="2">
        <f t="shared" si="0"/>
        <v>61.339999999999975</v>
      </c>
      <c r="M14" s="2"/>
      <c r="N14" s="21">
        <f t="shared" si="1"/>
        <v>0.20701292565218851</v>
      </c>
      <c r="O14" s="11"/>
      <c r="P14" s="2">
        <f>--646.4</f>
        <v>646.4</v>
      </c>
      <c r="Q14" s="2"/>
      <c r="R14" s="21"/>
      <c r="S14" s="2"/>
      <c r="T14" s="2">
        <f>--496.86</f>
        <v>496.86</v>
      </c>
      <c r="U14" s="2"/>
      <c r="V14" s="21"/>
      <c r="W14" s="2"/>
      <c r="X14" s="2">
        <f t="shared" si="2"/>
        <v>149.53999999999996</v>
      </c>
      <c r="Y14" s="2"/>
      <c r="Z14" s="21">
        <f t="shared" si="3"/>
        <v>0.30097009217888332</v>
      </c>
    </row>
    <row r="15" spans="1:26" s="24" customFormat="1" hidden="1" outlineLevel="1" x14ac:dyDescent="0.25">
      <c r="A15" s="50"/>
      <c r="B15" s="11" t="str">
        <f>CONCATENATE("          ", "4051", " - ", "TAXABLE SALES-FOOD")</f>
        <v xml:space="preserve">          4051 - TAXABLE SALES-FOOD</v>
      </c>
      <c r="C15" s="11"/>
      <c r="D15" s="2">
        <f>--41756.26</f>
        <v>41756.26</v>
      </c>
      <c r="E15" s="2"/>
      <c r="F15" s="21"/>
      <c r="G15" s="2"/>
      <c r="H15" s="2">
        <f>--44865.46</f>
        <v>44865.46</v>
      </c>
      <c r="I15" s="2"/>
      <c r="J15" s="21"/>
      <c r="K15" s="2"/>
      <c r="L15" s="2">
        <f t="shared" si="0"/>
        <v>-3109.1999999999971</v>
      </c>
      <c r="M15" s="2"/>
      <c r="N15" s="21">
        <f t="shared" si="1"/>
        <v>-6.930052650747362E-2</v>
      </c>
      <c r="O15" s="11"/>
      <c r="P15" s="2">
        <f>--64362.63</f>
        <v>64362.63</v>
      </c>
      <c r="Q15" s="2"/>
      <c r="R15" s="21"/>
      <c r="S15" s="2"/>
      <c r="T15" s="2">
        <f>--69385.85</f>
        <v>69385.850000000006</v>
      </c>
      <c r="U15" s="2"/>
      <c r="V15" s="21"/>
      <c r="W15" s="2"/>
      <c r="X15" s="2">
        <f t="shared" si="2"/>
        <v>-5023.2200000000084</v>
      </c>
      <c r="Y15" s="2"/>
      <c r="Z15" s="21">
        <f t="shared" si="3"/>
        <v>-7.239545238690609E-2</v>
      </c>
    </row>
    <row r="16" spans="1:26" s="24" customFormat="1" hidden="1" outlineLevel="1" x14ac:dyDescent="0.25">
      <c r="A16" s="50"/>
      <c r="B16" s="11" t="str">
        <f>CONCATENATE("          ", "4052", " - ", "TAXABLE SALES-FOOD")</f>
        <v xml:space="preserve">          4052 - TAXABLE SALES-FOOD</v>
      </c>
      <c r="C16" s="11"/>
      <c r="D16" s="2">
        <f>--95751.36</f>
        <v>95751.360000000001</v>
      </c>
      <c r="E16" s="2"/>
      <c r="F16" s="21"/>
      <c r="G16" s="2"/>
      <c r="H16" s="2">
        <f>--90194.84</f>
        <v>90194.84</v>
      </c>
      <c r="I16" s="2"/>
      <c r="J16" s="21"/>
      <c r="K16" s="2"/>
      <c r="L16" s="2">
        <f t="shared" si="0"/>
        <v>5556.5200000000041</v>
      </c>
      <c r="M16" s="2"/>
      <c r="N16" s="21">
        <f t="shared" si="1"/>
        <v>6.1605741525790216E-2</v>
      </c>
      <c r="O16" s="11"/>
      <c r="P16" s="2">
        <f>--139530.2</f>
        <v>139530.20000000001</v>
      </c>
      <c r="Q16" s="2"/>
      <c r="R16" s="21"/>
      <c r="S16" s="2"/>
      <c r="T16" s="2">
        <f>--189834.62</f>
        <v>189834.62</v>
      </c>
      <c r="U16" s="2"/>
      <c r="V16" s="21"/>
      <c r="W16" s="2"/>
      <c r="X16" s="2">
        <f t="shared" si="2"/>
        <v>-50304.419999999984</v>
      </c>
      <c r="Y16" s="2"/>
      <c r="Z16" s="21">
        <f t="shared" si="3"/>
        <v>-0.26499075879836875</v>
      </c>
    </row>
    <row r="17" spans="1:26" s="24" customFormat="1" hidden="1" outlineLevel="1" x14ac:dyDescent="0.25">
      <c r="A17" s="50"/>
      <c r="B17" s="11" t="str">
        <f>CONCATENATE("          ", "4053", " - ", "TAXABLE SALES-FOOD")</f>
        <v xml:space="preserve">          4053 - TAXABLE SALES-FOOD</v>
      </c>
      <c r="C17" s="11"/>
      <c r="D17" s="2">
        <f>--19917.63</f>
        <v>19917.63</v>
      </c>
      <c r="E17" s="2"/>
      <c r="F17" s="21"/>
      <c r="G17" s="2"/>
      <c r="H17" s="2">
        <f>--21067.54</f>
        <v>21067.54</v>
      </c>
      <c r="I17" s="2"/>
      <c r="J17" s="21"/>
      <c r="K17" s="2"/>
      <c r="L17" s="2">
        <f t="shared" si="0"/>
        <v>-1149.9099999999999</v>
      </c>
      <c r="M17" s="2"/>
      <c r="N17" s="21">
        <f t="shared" si="1"/>
        <v>-5.4582072705213792E-2</v>
      </c>
      <c r="O17" s="11"/>
      <c r="P17" s="2">
        <f>--44848.74</f>
        <v>44848.74</v>
      </c>
      <c r="Q17" s="2"/>
      <c r="R17" s="21"/>
      <c r="S17" s="2"/>
      <c r="T17" s="2">
        <f>--32571.4</f>
        <v>32571.4</v>
      </c>
      <c r="U17" s="2"/>
      <c r="V17" s="21"/>
      <c r="W17" s="2"/>
      <c r="X17" s="2">
        <f t="shared" si="2"/>
        <v>12277.339999999997</v>
      </c>
      <c r="Y17" s="2"/>
      <c r="Z17" s="21">
        <f t="shared" si="3"/>
        <v>0.37693620783877868</v>
      </c>
    </row>
    <row r="18" spans="1:26" s="24" customFormat="1" hidden="1" outlineLevel="1" x14ac:dyDescent="0.25">
      <c r="A18" s="50"/>
      <c r="B18" s="11" t="str">
        <f>CONCATENATE("          ", "4055", " - ", "TAXABLE SALES-FOOD")</f>
        <v xml:space="preserve">          4055 - TAXABLE SALES-FOOD</v>
      </c>
      <c r="C18" s="11"/>
      <c r="D18" s="2">
        <f>--29693.44</f>
        <v>29693.439999999999</v>
      </c>
      <c r="E18" s="2"/>
      <c r="F18" s="21"/>
      <c r="G18" s="2"/>
      <c r="H18" s="2">
        <f>--32069.87</f>
        <v>32069.87</v>
      </c>
      <c r="I18" s="2"/>
      <c r="J18" s="21"/>
      <c r="K18" s="2"/>
      <c r="L18" s="2">
        <f t="shared" si="0"/>
        <v>-2376.4300000000003</v>
      </c>
      <c r="M18" s="2"/>
      <c r="N18" s="21">
        <f t="shared" si="1"/>
        <v>-7.4101641197797191E-2</v>
      </c>
      <c r="O18" s="11"/>
      <c r="P18" s="2">
        <f>--43937.07</f>
        <v>43937.07</v>
      </c>
      <c r="Q18" s="2"/>
      <c r="R18" s="21"/>
      <c r="S18" s="2"/>
      <c r="T18" s="2">
        <f>--50165.69</f>
        <v>50165.69</v>
      </c>
      <c r="U18" s="2"/>
      <c r="V18" s="21"/>
      <c r="W18" s="2"/>
      <c r="X18" s="2">
        <f t="shared" si="2"/>
        <v>-6228.6200000000026</v>
      </c>
      <c r="Y18" s="2"/>
      <c r="Z18" s="21">
        <f t="shared" si="3"/>
        <v>-0.12416095542590967</v>
      </c>
    </row>
    <row r="19" spans="1:26" s="24" customFormat="1" hidden="1" outlineLevel="1" x14ac:dyDescent="0.25">
      <c r="A19" s="50"/>
      <c r="B19" s="11" t="str">
        <f>CONCATENATE("          ", "4057", " - ", "TAXABLE SALES-FOOD")</f>
        <v xml:space="preserve">          4057 - TAXABLE SALES-FOOD</v>
      </c>
      <c r="C19" s="11"/>
      <c r="D19" s="2">
        <f>0</f>
        <v>0</v>
      </c>
      <c r="E19" s="2"/>
      <c r="F19" s="21"/>
      <c r="G19" s="2"/>
      <c r="H19" s="2">
        <f>--11506.08</f>
        <v>11506.08</v>
      </c>
      <c r="I19" s="2"/>
      <c r="J19" s="21"/>
      <c r="K19" s="2"/>
      <c r="L19" s="2">
        <f t="shared" si="0"/>
        <v>-11506.08</v>
      </c>
      <c r="M19" s="2"/>
      <c r="N19" s="21">
        <f t="shared" si="1"/>
        <v>-1</v>
      </c>
      <c r="O19" s="11"/>
      <c r="P19" s="2">
        <f>0</f>
        <v>0</v>
      </c>
      <c r="Q19" s="2"/>
      <c r="R19" s="21"/>
      <c r="S19" s="2"/>
      <c r="T19" s="2">
        <f>--11506.08</f>
        <v>11506.08</v>
      </c>
      <c r="U19" s="2"/>
      <c r="V19" s="21"/>
      <c r="W19" s="2"/>
      <c r="X19" s="2">
        <f t="shared" si="2"/>
        <v>-11506.08</v>
      </c>
      <c r="Y19" s="2"/>
      <c r="Z19" s="21">
        <f t="shared" si="3"/>
        <v>-1</v>
      </c>
    </row>
    <row r="20" spans="1:26" s="24" customFormat="1" hidden="1" outlineLevel="1" x14ac:dyDescent="0.25">
      <c r="A20" s="50"/>
      <c r="B20" s="11" t="str">
        <f>CONCATENATE("          ", "4058", " - ", "TAXABLE SALES-FOOD")</f>
        <v xml:space="preserve">          4058 - TAXABLE SALES-FOOD</v>
      </c>
      <c r="C20" s="11"/>
      <c r="D20" s="2">
        <f>--9436.48</f>
        <v>9436.48</v>
      </c>
      <c r="E20" s="2"/>
      <c r="F20" s="21"/>
      <c r="G20" s="2"/>
      <c r="H20" s="2">
        <f>--13188.27</f>
        <v>13188.27</v>
      </c>
      <c r="I20" s="2"/>
      <c r="J20" s="21"/>
      <c r="K20" s="2"/>
      <c r="L20" s="2">
        <f t="shared" si="0"/>
        <v>-3751.7900000000009</v>
      </c>
      <c r="M20" s="2"/>
      <c r="N20" s="21">
        <f t="shared" si="1"/>
        <v>-0.28447931381447306</v>
      </c>
      <c r="O20" s="11"/>
      <c r="P20" s="2">
        <f>--17838.14</f>
        <v>17838.14</v>
      </c>
      <c r="Q20" s="2"/>
      <c r="R20" s="21"/>
      <c r="S20" s="2"/>
      <c r="T20" s="2">
        <f>--28372.29</f>
        <v>28372.29</v>
      </c>
      <c r="U20" s="2"/>
      <c r="V20" s="21"/>
      <c r="W20" s="2"/>
      <c r="X20" s="2">
        <f t="shared" si="2"/>
        <v>-10534.150000000001</v>
      </c>
      <c r="Y20" s="2"/>
      <c r="Z20" s="21">
        <f t="shared" si="3"/>
        <v>-0.37128303707596394</v>
      </c>
    </row>
    <row r="21" spans="1:26" s="24" customFormat="1" hidden="1" outlineLevel="1" x14ac:dyDescent="0.25">
      <c r="A21" s="50"/>
      <c r="B21" s="11" t="str">
        <f>CONCATENATE("          ", "4132", " - ", "NON-TAXABLE SALES-JUICE")</f>
        <v xml:space="preserve">          4132 - NON-TAXABLE SALES-JUICE</v>
      </c>
      <c r="C21" s="11"/>
      <c r="D21" s="2">
        <f>--61911.21</f>
        <v>61911.21</v>
      </c>
      <c r="E21" s="2"/>
      <c r="F21" s="21"/>
      <c r="G21" s="2"/>
      <c r="H21" s="2">
        <f>--63826.19</f>
        <v>63826.19</v>
      </c>
      <c r="I21" s="2"/>
      <c r="J21" s="21"/>
      <c r="K21" s="2"/>
      <c r="L21" s="2">
        <f t="shared" si="0"/>
        <v>-1914.9800000000032</v>
      </c>
      <c r="M21" s="2"/>
      <c r="N21" s="21">
        <f t="shared" si="1"/>
        <v>-3.0003044204894622E-2</v>
      </c>
      <c r="O21" s="11"/>
      <c r="P21" s="2">
        <f>--93998.84</f>
        <v>93998.84</v>
      </c>
      <c r="Q21" s="2"/>
      <c r="R21" s="21"/>
      <c r="S21" s="2"/>
      <c r="T21" s="2">
        <f>--92860.87</f>
        <v>92860.87</v>
      </c>
      <c r="U21" s="2"/>
      <c r="V21" s="21"/>
      <c r="W21" s="2"/>
      <c r="X21" s="2">
        <f t="shared" si="2"/>
        <v>1137.9700000000012</v>
      </c>
      <c r="Y21" s="2"/>
      <c r="Z21" s="21">
        <f t="shared" si="3"/>
        <v>1.2254569658888628E-2</v>
      </c>
    </row>
    <row r="22" spans="1:26" s="24" customFormat="1" hidden="1" outlineLevel="1" x14ac:dyDescent="0.25">
      <c r="A22" s="50"/>
      <c r="B22" s="11" t="str">
        <f>CONCATENATE("          ", "4134", " - ", "NON-TAXABLE SALES-SODA")</f>
        <v xml:space="preserve">          4134 - NON-TAXABLE SALES-SODA</v>
      </c>
      <c r="C22" s="11"/>
      <c r="D22" s="2">
        <f>0</f>
        <v>0</v>
      </c>
      <c r="E22" s="2"/>
      <c r="F22" s="21"/>
      <c r="G22" s="2"/>
      <c r="H22" s="2">
        <f>--31.24</f>
        <v>31.24</v>
      </c>
      <c r="I22" s="2"/>
      <c r="J22" s="21"/>
      <c r="K22" s="2"/>
      <c r="L22" s="2">
        <f t="shared" si="0"/>
        <v>-31.24</v>
      </c>
      <c r="M22" s="2"/>
      <c r="N22" s="21">
        <f t="shared" si="1"/>
        <v>-1</v>
      </c>
      <c r="O22" s="11"/>
      <c r="P22" s="2">
        <f>-3.39</f>
        <v>-3.39</v>
      </c>
      <c r="Q22" s="2"/>
      <c r="R22" s="21"/>
      <c r="S22" s="2"/>
      <c r="T22" s="2">
        <f>--48.74</f>
        <v>48.74</v>
      </c>
      <c r="U22" s="2"/>
      <c r="V22" s="21"/>
      <c r="W22" s="2"/>
      <c r="X22" s="2">
        <f t="shared" si="2"/>
        <v>-52.13</v>
      </c>
      <c r="Y22" s="2"/>
      <c r="Z22" s="21">
        <f t="shared" si="3"/>
        <v>-1.0695527287648749</v>
      </c>
    </row>
    <row r="23" spans="1:26" s="24" customFormat="1" hidden="1" outlineLevel="1" x14ac:dyDescent="0.25">
      <c r="A23" s="50"/>
      <c r="B23" s="11" t="str">
        <f>CONCATENATE("          ", "4137", " - ", "NON-TAXABLE SALES-WATER")</f>
        <v xml:space="preserve">          4137 - NON-TAXABLE SALES-WATER</v>
      </c>
      <c r="C23" s="11"/>
      <c r="D23" s="2">
        <f>--173.02</f>
        <v>173.02</v>
      </c>
      <c r="E23" s="2"/>
      <c r="F23" s="21"/>
      <c r="G23" s="2"/>
      <c r="H23" s="2">
        <f>--349.04</f>
        <v>349.04</v>
      </c>
      <c r="I23" s="2"/>
      <c r="J23" s="21"/>
      <c r="K23" s="2"/>
      <c r="L23" s="2">
        <f t="shared" si="0"/>
        <v>-176.02</v>
      </c>
      <c r="M23" s="2"/>
      <c r="N23" s="21">
        <f t="shared" si="1"/>
        <v>-0.50429750171900067</v>
      </c>
      <c r="O23" s="11"/>
      <c r="P23" s="2">
        <f>--383.52</f>
        <v>383.52</v>
      </c>
      <c r="Q23" s="2"/>
      <c r="R23" s="21"/>
      <c r="S23" s="2"/>
      <c r="T23" s="2">
        <f>--535.72</f>
        <v>535.72</v>
      </c>
      <c r="U23" s="2"/>
      <c r="V23" s="21"/>
      <c r="W23" s="2"/>
      <c r="X23" s="2">
        <f t="shared" si="2"/>
        <v>-152.20000000000005</v>
      </c>
      <c r="Y23" s="2"/>
      <c r="Z23" s="21">
        <f t="shared" si="3"/>
        <v>-0.28410363622788032</v>
      </c>
    </row>
    <row r="24" spans="1:26" s="24" customFormat="1" hidden="1" outlineLevel="1" x14ac:dyDescent="0.25">
      <c r="A24" s="50"/>
      <c r="B24" s="11" t="str">
        <f>CONCATENATE("          ", "4151", " - ", "NON-TAXABLE SALES-FOOD")</f>
        <v xml:space="preserve">          4151 - NON-TAXABLE SALES-FOOD</v>
      </c>
      <c r="C24" s="11"/>
      <c r="D24" s="2">
        <f>--119215.75</f>
        <v>119215.75</v>
      </c>
      <c r="E24" s="2"/>
      <c r="F24" s="21"/>
      <c r="G24" s="2"/>
      <c r="H24" s="2">
        <f>--107388.97</f>
        <v>107388.97</v>
      </c>
      <c r="I24" s="2"/>
      <c r="J24" s="21"/>
      <c r="K24" s="2"/>
      <c r="L24" s="2">
        <f t="shared" si="0"/>
        <v>11826.779999999999</v>
      </c>
      <c r="M24" s="2"/>
      <c r="N24" s="21">
        <f t="shared" si="1"/>
        <v>0.11013030481622087</v>
      </c>
      <c r="O24" s="11"/>
      <c r="P24" s="2">
        <f>--164980.72</f>
        <v>164980.72</v>
      </c>
      <c r="Q24" s="2"/>
      <c r="R24" s="21"/>
      <c r="S24" s="2"/>
      <c r="T24" s="2">
        <f>--137947.62</f>
        <v>137947.62</v>
      </c>
      <c r="U24" s="2"/>
      <c r="V24" s="21"/>
      <c r="W24" s="2"/>
      <c r="X24" s="2">
        <f t="shared" si="2"/>
        <v>27033.100000000006</v>
      </c>
      <c r="Y24" s="2"/>
      <c r="Z24" s="21">
        <f t="shared" si="3"/>
        <v>0.19596641101890708</v>
      </c>
    </row>
    <row r="25" spans="1:26" s="24" customFormat="1" hidden="1" outlineLevel="1" x14ac:dyDescent="0.25">
      <c r="A25" s="50"/>
      <c r="B25" s="11" t="str">
        <f>CONCATENATE("          ", "4152", " - ", "NON-TAXABLE SALES-FOOD")</f>
        <v xml:space="preserve">          4152 - NON-TAXABLE SALES-FOOD</v>
      </c>
      <c r="C25" s="11"/>
      <c r="D25" s="2">
        <f>--3990.43</f>
        <v>3990.43</v>
      </c>
      <c r="E25" s="2"/>
      <c r="F25" s="21"/>
      <c r="G25" s="2"/>
      <c r="H25" s="2">
        <f>--3838.79</f>
        <v>3838.79</v>
      </c>
      <c r="I25" s="2"/>
      <c r="J25" s="21"/>
      <c r="K25" s="2"/>
      <c r="L25" s="2">
        <f t="shared" si="0"/>
        <v>151.63999999999987</v>
      </c>
      <c r="M25" s="2"/>
      <c r="N25" s="21">
        <f t="shared" si="1"/>
        <v>3.9502030587763297E-2</v>
      </c>
      <c r="O25" s="11"/>
      <c r="P25" s="2">
        <f>--7657.52</f>
        <v>7657.52</v>
      </c>
      <c r="Q25" s="2"/>
      <c r="R25" s="21"/>
      <c r="S25" s="2"/>
      <c r="T25" s="2">
        <f>--7672.53</f>
        <v>7672.53</v>
      </c>
      <c r="U25" s="2"/>
      <c r="V25" s="21"/>
      <c r="W25" s="2"/>
      <c r="X25" s="2">
        <f t="shared" si="2"/>
        <v>-15.009999999999309</v>
      </c>
      <c r="Y25" s="2"/>
      <c r="Z25" s="21">
        <f t="shared" si="3"/>
        <v>-1.956329919856854E-3</v>
      </c>
    </row>
    <row r="26" spans="1:26" s="24" customFormat="1" hidden="1" outlineLevel="1" x14ac:dyDescent="0.25">
      <c r="A26" s="50"/>
      <c r="B26" s="11" t="str">
        <f>CONCATENATE("          ", "4153", " - ", "NON-TAXABLE SALES-FOOD")</f>
        <v xml:space="preserve">          4153 - NON-TAXABLE SALES-FOOD</v>
      </c>
      <c r="C26" s="11"/>
      <c r="D26" s="2">
        <f>--227.5</f>
        <v>227.5</v>
      </c>
      <c r="E26" s="2"/>
      <c r="F26" s="21"/>
      <c r="G26" s="2"/>
      <c r="H26" s="2">
        <f>--340.25</f>
        <v>340.25</v>
      </c>
      <c r="I26" s="2"/>
      <c r="J26" s="21"/>
      <c r="K26" s="2"/>
      <c r="L26" s="2">
        <f t="shared" si="0"/>
        <v>-112.75</v>
      </c>
      <c r="M26" s="2"/>
      <c r="N26" s="21">
        <f t="shared" si="1"/>
        <v>-0.331373989713446</v>
      </c>
      <c r="O26" s="11"/>
      <c r="P26" s="2">
        <f>--464.5</f>
        <v>464.5</v>
      </c>
      <c r="Q26" s="2"/>
      <c r="R26" s="21"/>
      <c r="S26" s="2"/>
      <c r="T26" s="2">
        <f>--500.5</f>
        <v>500.5</v>
      </c>
      <c r="U26" s="2"/>
      <c r="V26" s="21"/>
      <c r="W26" s="2"/>
      <c r="X26" s="2">
        <f t="shared" si="2"/>
        <v>-36</v>
      </c>
      <c r="Y26" s="2"/>
      <c r="Z26" s="21">
        <f t="shared" si="3"/>
        <v>-7.1928071928071935E-2</v>
      </c>
    </row>
    <row r="27" spans="1:26" s="24" customFormat="1" hidden="1" outlineLevel="1" x14ac:dyDescent="0.25">
      <c r="A27" s="50"/>
      <c r="B27" s="11" t="str">
        <f>CONCATENATE("          ", "4155", " - ", "NON-TAXABLE SALES-FOOD")</f>
        <v xml:space="preserve">          4155 - NON-TAXABLE SALES-FOOD</v>
      </c>
      <c r="C27" s="11"/>
      <c r="D27" s="2">
        <f>--45088.39</f>
        <v>45088.39</v>
      </c>
      <c r="E27" s="2"/>
      <c r="F27" s="21"/>
      <c r="G27" s="2"/>
      <c r="H27" s="2">
        <f>--45129.81</f>
        <v>45129.81</v>
      </c>
      <c r="I27" s="2"/>
      <c r="J27" s="21"/>
      <c r="K27" s="2"/>
      <c r="L27" s="2">
        <f t="shared" si="0"/>
        <v>-41.419999999998254</v>
      </c>
      <c r="M27" s="2"/>
      <c r="N27" s="21">
        <f t="shared" si="1"/>
        <v>-9.1779690630202639E-4</v>
      </c>
      <c r="O27" s="11"/>
      <c r="P27" s="2">
        <f>--70725.05</f>
        <v>70725.05</v>
      </c>
      <c r="Q27" s="2"/>
      <c r="R27" s="21"/>
      <c r="S27" s="2"/>
      <c r="T27" s="2">
        <f>--67397.32</f>
        <v>67397.320000000007</v>
      </c>
      <c r="U27" s="2"/>
      <c r="V27" s="21"/>
      <c r="W27" s="2"/>
      <c r="X27" s="2">
        <f t="shared" si="2"/>
        <v>3327.7299999999959</v>
      </c>
      <c r="Y27" s="2"/>
      <c r="Z27" s="21">
        <f t="shared" si="3"/>
        <v>4.9374811936142203E-2</v>
      </c>
    </row>
    <row r="28" spans="1:26" s="24" customFormat="1" hidden="1" outlineLevel="1" x14ac:dyDescent="0.25">
      <c r="A28" s="50"/>
      <c r="B28" s="11" t="str">
        <f>CONCATENATE("          ", "4158", " - ", "NON-TAXABLE SALES-FOOD")</f>
        <v xml:space="preserve">          4158 - NON-TAXABLE SALES-FOOD</v>
      </c>
      <c r="C28" s="11"/>
      <c r="D28" s="2">
        <f>--30810.22</f>
        <v>30810.22</v>
      </c>
      <c r="E28" s="2"/>
      <c r="F28" s="21"/>
      <c r="G28" s="2"/>
      <c r="H28" s="2">
        <f>--32062.58</f>
        <v>32062.58</v>
      </c>
      <c r="I28" s="2"/>
      <c r="J28" s="21"/>
      <c r="K28" s="2"/>
      <c r="L28" s="2">
        <f t="shared" si="0"/>
        <v>-1252.3600000000006</v>
      </c>
      <c r="M28" s="2"/>
      <c r="N28" s="21">
        <f t="shared" si="1"/>
        <v>-3.905986355433657E-2</v>
      </c>
      <c r="O28" s="11"/>
      <c r="P28" s="2">
        <f>--40369.91</f>
        <v>40369.910000000003</v>
      </c>
      <c r="Q28" s="2"/>
      <c r="R28" s="21"/>
      <c r="S28" s="2"/>
      <c r="T28" s="2">
        <f>--54475.37</f>
        <v>54475.37</v>
      </c>
      <c r="U28" s="2"/>
      <c r="V28" s="21"/>
      <c r="W28" s="2"/>
      <c r="X28" s="2">
        <f t="shared" si="2"/>
        <v>-14105.46</v>
      </c>
      <c r="Y28" s="2"/>
      <c r="Z28" s="21">
        <f t="shared" si="3"/>
        <v>-0.25893279843716527</v>
      </c>
    </row>
    <row r="29" spans="1:26" s="24" customFormat="1" hidden="1" outlineLevel="1" x14ac:dyDescent="0.25">
      <c r="A29" s="50"/>
      <c r="B29" s="11" t="str">
        <f>CONCATENATE("          ", "4233", " - ", "SALES RETURN TAXABLE-CANDY")</f>
        <v xml:space="preserve">          4233 - SALES RETURN TAXABLE-CANDY</v>
      </c>
      <c r="C29" s="11"/>
      <c r="D29" s="2">
        <f>0</f>
        <v>0</v>
      </c>
      <c r="E29" s="2"/>
      <c r="F29" s="21"/>
      <c r="G29" s="2"/>
      <c r="H29" s="2">
        <f>-1.69</f>
        <v>-1.69</v>
      </c>
      <c r="I29" s="2"/>
      <c r="J29" s="21"/>
      <c r="K29" s="2"/>
      <c r="L29" s="2">
        <f t="shared" si="0"/>
        <v>1.69</v>
      </c>
      <c r="M29" s="2"/>
      <c r="N29" s="21">
        <f t="shared" si="1"/>
        <v>-1</v>
      </c>
      <c r="O29" s="11"/>
      <c r="P29" s="2">
        <f>0</f>
        <v>0</v>
      </c>
      <c r="Q29" s="2"/>
      <c r="R29" s="21"/>
      <c r="S29" s="2"/>
      <c r="T29" s="2">
        <f>-1.69</f>
        <v>-1.69</v>
      </c>
      <c r="U29" s="2"/>
      <c r="V29" s="21"/>
      <c r="W29" s="2"/>
      <c r="X29" s="2">
        <f t="shared" si="2"/>
        <v>1.69</v>
      </c>
      <c r="Y29" s="2"/>
      <c r="Z29" s="21">
        <f t="shared" si="3"/>
        <v>-1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5" t="s">
        <v>8</v>
      </c>
      <c r="C31" s="10"/>
      <c r="D31" s="4">
        <f>SUM(OSRRefD16x_0)</f>
        <v>175036.09</v>
      </c>
      <c r="E31" s="4"/>
      <c r="F31" s="12">
        <f t="shared" ref="F31:F33" si="4">IF(D$12=0,0,D31/D$12)</f>
        <v>0.36756962632764495</v>
      </c>
      <c r="G31" s="4"/>
      <c r="H31" s="4">
        <f>SUM(OSRRefH16x_0)</f>
        <v>179885.64</v>
      </c>
      <c r="I31" s="4"/>
      <c r="J31" s="12">
        <f t="shared" ref="J31:J33" si="5">IF(H$12=0,0,H31/H$12)</f>
        <v>0.37078766327450979</v>
      </c>
      <c r="K31" s="4"/>
      <c r="L31" s="4">
        <f t="shared" ref="L31:L33" si="6">+D31-H31</f>
        <v>-4849.5500000000175</v>
      </c>
      <c r="M31" s="4"/>
      <c r="N31" s="12">
        <f t="shared" ref="N31:N33" si="7">IF(H31=0,0,L31/H31)</f>
        <v>-2.6959072441802564E-2</v>
      </c>
      <c r="O31" s="10"/>
      <c r="P31" s="4">
        <f>SUM(OSRRefP16x_0)</f>
        <v>269923.64</v>
      </c>
      <c r="Q31" s="4"/>
      <c r="R31" s="12">
        <f t="shared" ref="R31:R33" si="8">IF(P$12=0,0,P31/P$12)</f>
        <v>0.37778545661213114</v>
      </c>
      <c r="S31" s="4"/>
      <c r="T31" s="4">
        <f>SUM(OSRRefT16x_0)</f>
        <v>264481.34999999998</v>
      </c>
      <c r="U31" s="4"/>
      <c r="V31" s="12">
        <f t="shared" ref="V31:V33" si="9">IF(T$12=0,0,T31/T$12)</f>
        <v>0.34349004363189606</v>
      </c>
      <c r="W31" s="4"/>
      <c r="X31" s="4">
        <f t="shared" ref="X31:X33" si="10">+P31-T31</f>
        <v>5442.2900000000373</v>
      </c>
      <c r="Y31" s="4"/>
      <c r="Z31" s="12">
        <f t="shared" ref="Z31:Z33" si="11">IF(T31=0,0,X31/T31)</f>
        <v>2.0577216503167569E-2</v>
      </c>
    </row>
    <row r="32" spans="1:26" s="24" customFormat="1" hidden="1" outlineLevel="1" x14ac:dyDescent="0.25">
      <c r="A32" s="50"/>
      <c r="B32" s="11" t="str">
        <f>CONCATENATE("          ", "5053", " - ", "PURCHASES @ COST-FOOD")</f>
        <v xml:space="preserve">          5053 - PURCHASES @ COST-FOOD</v>
      </c>
      <c r="C32" s="11"/>
      <c r="D32" s="2">
        <v>221568.52</v>
      </c>
      <c r="E32" s="2"/>
      <c r="F32" s="21">
        <f t="shared" si="4"/>
        <v>0.46528609101339796</v>
      </c>
      <c r="G32" s="2"/>
      <c r="H32" s="2">
        <v>233582.64</v>
      </c>
      <c r="I32" s="2"/>
      <c r="J32" s="21">
        <f t="shared" si="5"/>
        <v>0.48147012327994076</v>
      </c>
      <c r="K32" s="2"/>
      <c r="L32" s="2">
        <f t="shared" si="6"/>
        <v>-12014.120000000024</v>
      </c>
      <c r="M32" s="2"/>
      <c r="N32" s="21">
        <f t="shared" si="7"/>
        <v>-5.1434130550112901E-2</v>
      </c>
      <c r="O32" s="11"/>
      <c r="P32" s="2">
        <v>340988.82</v>
      </c>
      <c r="Q32" s="2"/>
      <c r="R32" s="21">
        <f t="shared" si="8"/>
        <v>0.47724836944008237</v>
      </c>
      <c r="S32" s="2"/>
      <c r="T32" s="2">
        <v>347284.43</v>
      </c>
      <c r="U32" s="2"/>
      <c r="V32" s="21">
        <f t="shared" si="9"/>
        <v>0.45102894405740962</v>
      </c>
      <c r="W32" s="2"/>
      <c r="X32" s="2">
        <f t="shared" si="10"/>
        <v>-6295.609999999986</v>
      </c>
      <c r="Y32" s="2"/>
      <c r="Z32" s="21">
        <f t="shared" si="11"/>
        <v>-1.8128108996997034E-2</v>
      </c>
    </row>
    <row r="33" spans="1:26" s="24" customFormat="1" hidden="1" outlineLevel="1" x14ac:dyDescent="0.25">
      <c r="A33" s="50"/>
      <c r="B33" s="11" t="str">
        <f>CONCATENATE("          ", "5059", " - ", "PURCHASES @ COST-FOOD")</f>
        <v xml:space="preserve">          5059 - PURCHASES @ COST-FOOD</v>
      </c>
      <c r="C33" s="11"/>
      <c r="D33" s="2">
        <v>-46532.43</v>
      </c>
      <c r="E33" s="2"/>
      <c r="F33" s="21">
        <f t="shared" si="4"/>
        <v>-9.7716464685753068E-2</v>
      </c>
      <c r="G33" s="2"/>
      <c r="H33" s="2">
        <v>-53697</v>
      </c>
      <c r="I33" s="2"/>
      <c r="J33" s="21">
        <f t="shared" si="5"/>
        <v>-0.11068246000543096</v>
      </c>
      <c r="K33" s="2"/>
      <c r="L33" s="2">
        <f t="shared" si="6"/>
        <v>7164.57</v>
      </c>
      <c r="M33" s="2"/>
      <c r="N33" s="21">
        <f t="shared" si="7"/>
        <v>-0.13342588971450919</v>
      </c>
      <c r="O33" s="11"/>
      <c r="P33" s="2">
        <v>-71065.180000000008</v>
      </c>
      <c r="Q33" s="2"/>
      <c r="R33" s="21">
        <f t="shared" si="8"/>
        <v>-9.9462912827951236E-2</v>
      </c>
      <c r="S33" s="2"/>
      <c r="T33" s="2">
        <v>-82803.079999999987</v>
      </c>
      <c r="U33" s="2"/>
      <c r="V33" s="21">
        <f t="shared" si="9"/>
        <v>-0.10753890042551348</v>
      </c>
      <c r="W33" s="2"/>
      <c r="X33" s="2">
        <f t="shared" si="10"/>
        <v>11737.89999999998</v>
      </c>
      <c r="Y33" s="2"/>
      <c r="Z33" s="21">
        <f t="shared" si="11"/>
        <v>-0.14175680421549514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6" t="s">
        <v>6</v>
      </c>
      <c r="C35" s="26"/>
      <c r="D35" s="20">
        <f>D12-D31</f>
        <v>301162.37000000011</v>
      </c>
      <c r="E35" s="13"/>
      <c r="F35" s="19">
        <f>IF(D$12=0,0,D35/D$12)</f>
        <v>0.63243037367235511</v>
      </c>
      <c r="G35" s="13"/>
      <c r="H35" s="20">
        <f>H12-H31</f>
        <v>305258.98</v>
      </c>
      <c r="I35" s="13"/>
      <c r="J35" s="19">
        <f>IF(H$12=0,0,H35/H$12)</f>
        <v>0.62921233672549015</v>
      </c>
      <c r="K35" s="15"/>
      <c r="L35" s="20">
        <f>+D35-H35</f>
        <v>-4096.6099999998696</v>
      </c>
      <c r="M35" s="15"/>
      <c r="N35" s="19">
        <f>IF(H35=0,0,L35/H35)</f>
        <v>-1.3420112980787231E-2</v>
      </c>
      <c r="O35" s="25"/>
      <c r="P35" s="20">
        <f>P12-P31</f>
        <v>444565.59000000008</v>
      </c>
      <c r="Q35" s="13"/>
      <c r="R35" s="19">
        <f>IF(P$12=0,0,P35/P$12)</f>
        <v>0.62221454338786886</v>
      </c>
      <c r="S35" s="13"/>
      <c r="T35" s="20">
        <f>T12-T31</f>
        <v>505501.23000000021</v>
      </c>
      <c r="U35" s="13"/>
      <c r="V35" s="19">
        <f>IF(T$12=0,0,T35/T$12)</f>
        <v>0.65650995636810394</v>
      </c>
      <c r="W35" s="15"/>
      <c r="X35" s="20">
        <f>+P35-T35</f>
        <v>-60935.64000000013</v>
      </c>
      <c r="Y35" s="15"/>
      <c r="Z35" s="19">
        <f>IF(T35=0,0,X35/T35)</f>
        <v>-0.12054498858489446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7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5" t="s">
        <v>9</v>
      </c>
      <c r="C37" s="10"/>
      <c r="D37" s="22">
        <f>SUM(OSRRefD22x_0)</f>
        <v>478654.29000000004</v>
      </c>
      <c r="E37" s="22"/>
      <c r="F37" s="33">
        <f t="shared" ref="F37:F47" si="12">IF(D$12=0,0,D37/D$12)</f>
        <v>1.0051571565351134</v>
      </c>
      <c r="G37" s="22"/>
      <c r="H37" s="22">
        <f>SUM(OSRRefH22x_0)</f>
        <v>494250.34000000008</v>
      </c>
      <c r="I37" s="22"/>
      <c r="J37" s="33">
        <f t="shared" ref="J37:J47" si="13">IF(H$12=0,0,H37/H$12)</f>
        <v>1.0187690837424932</v>
      </c>
      <c r="K37" s="4"/>
      <c r="L37" s="22">
        <f t="shared" ref="L37:L47" si="14">+D37-H37</f>
        <v>-15596.050000000047</v>
      </c>
      <c r="M37" s="4"/>
      <c r="N37" s="33">
        <f t="shared" ref="N37:N47" si="15">IF(H37=0,0,L37/H37)</f>
        <v>-3.1554960589405046E-2</v>
      </c>
      <c r="O37" s="10"/>
      <c r="P37" s="22">
        <f>SUM(OSRRefP22x_0)</f>
        <v>967137.92999999982</v>
      </c>
      <c r="Q37" s="22"/>
      <c r="R37" s="33">
        <f t="shared" ref="R37:R47" si="16">IF(P$12=0,0,P37/P$12)</f>
        <v>1.3536074294639817</v>
      </c>
      <c r="S37" s="22"/>
      <c r="T37" s="22">
        <f>SUM(OSRRefT22x_0)</f>
        <v>944773.02000000014</v>
      </c>
      <c r="U37" s="22"/>
      <c r="V37" s="33">
        <f t="shared" ref="V37:V47" si="17">IF(T$12=0,0,T37/T$12)</f>
        <v>1.2270057070641778</v>
      </c>
      <c r="W37" s="4"/>
      <c r="X37" s="22">
        <f t="shared" ref="X37:X47" si="18">+P37-T37</f>
        <v>22364.909999999683</v>
      </c>
      <c r="Y37" s="4"/>
      <c r="Z37" s="33">
        <f t="shared" ref="Z37:Z47" si="19">IF(T37=0,0,X37/T37)</f>
        <v>2.3672257279319514E-2</v>
      </c>
    </row>
    <row r="38" spans="1:26" s="27" customFormat="1" outlineLevel="1" collapsed="1" x14ac:dyDescent="0.25">
      <c r="A38" s="28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71962.909999999989</v>
      </c>
      <c r="E38" s="1"/>
      <c r="F38" s="5">
        <f t="shared" si="12"/>
        <v>0.15111957732916645</v>
      </c>
      <c r="G38" s="1"/>
      <c r="H38" s="1">
        <f>SUM(OSRRefH22_0x_0)</f>
        <v>72159.100000000006</v>
      </c>
      <c r="I38" s="1"/>
      <c r="J38" s="5">
        <f t="shared" si="13"/>
        <v>0.14873729816894601</v>
      </c>
      <c r="K38" s="1"/>
      <c r="L38" s="1">
        <f t="shared" si="14"/>
        <v>-196.19000000001688</v>
      </c>
      <c r="M38" s="1"/>
      <c r="N38" s="5">
        <f t="shared" si="15"/>
        <v>-2.7188532007746337E-3</v>
      </c>
      <c r="O38" s="14"/>
      <c r="P38" s="1">
        <f>SUM(OSRRefP22_0x_0)</f>
        <v>152595.14000000001</v>
      </c>
      <c r="Q38" s="1"/>
      <c r="R38" s="5">
        <f t="shared" si="16"/>
        <v>0.21357234454044885</v>
      </c>
      <c r="S38" s="1"/>
      <c r="T38" s="1">
        <f>SUM(OSRRefT22_0x_0)</f>
        <v>139469.06</v>
      </c>
      <c r="U38" s="1"/>
      <c r="V38" s="5">
        <f t="shared" si="17"/>
        <v>0.18113274718500769</v>
      </c>
      <c r="W38" s="1"/>
      <c r="X38" s="1">
        <f t="shared" si="18"/>
        <v>13126.080000000016</v>
      </c>
      <c r="Y38" s="1"/>
      <c r="Z38" s="5">
        <f t="shared" si="19"/>
        <v>9.4114637325296499E-2</v>
      </c>
    </row>
    <row r="39" spans="1:26" s="24" customFormat="1" hidden="1" outlineLevel="2" x14ac:dyDescent="0.25">
      <c r="A39" s="29"/>
      <c r="B39" s="11" t="str">
        <f>CONCATENATE("          ", "6111", " - ", "F.I.C.A.")</f>
        <v xml:space="preserve">          6111 - F.I.C.A.</v>
      </c>
      <c r="C39" s="11"/>
      <c r="D39" s="7">
        <v>15316.22</v>
      </c>
      <c r="E39" s="2"/>
      <c r="F39" s="6">
        <f t="shared" si="12"/>
        <v>3.2163522746377626E-2</v>
      </c>
      <c r="G39" s="2"/>
      <c r="H39" s="7">
        <v>14430.53</v>
      </c>
      <c r="I39" s="2"/>
      <c r="J39" s="6">
        <f t="shared" si="13"/>
        <v>2.9744800632850472E-2</v>
      </c>
      <c r="K39" s="2"/>
      <c r="L39" s="7">
        <f t="shared" si="14"/>
        <v>885.68999999999869</v>
      </c>
      <c r="M39" s="2"/>
      <c r="N39" s="6">
        <f t="shared" si="15"/>
        <v>6.1376124092462209E-2</v>
      </c>
      <c r="O39" s="11"/>
      <c r="P39" s="7">
        <v>27979.82</v>
      </c>
      <c r="Q39" s="2"/>
      <c r="R39" s="6">
        <f t="shared" si="16"/>
        <v>3.9160590286294442E-2</v>
      </c>
      <c r="S39" s="2"/>
      <c r="T39" s="7">
        <v>26034.46</v>
      </c>
      <c r="U39" s="2"/>
      <c r="V39" s="6">
        <f t="shared" si="17"/>
        <v>3.3811751948985641E-2</v>
      </c>
      <c r="W39" s="2"/>
      <c r="X39" s="7">
        <f t="shared" si="18"/>
        <v>1945.3600000000006</v>
      </c>
      <c r="Y39" s="2"/>
      <c r="Z39" s="6">
        <f t="shared" si="19"/>
        <v>7.4722502406425972E-2</v>
      </c>
    </row>
    <row r="40" spans="1:26" s="24" customFormat="1" hidden="1" outlineLevel="2" x14ac:dyDescent="0.25">
      <c r="A40" s="29"/>
      <c r="B40" s="11" t="str">
        <f>CONCATENATE("          ", "6112", " - ", "COMPENSATION INSURANCE")</f>
        <v xml:space="preserve">          6112 - COMPENSATION INSURANCE</v>
      </c>
      <c r="C40" s="11"/>
      <c r="D40" s="7">
        <v>7030.48</v>
      </c>
      <c r="E40" s="2"/>
      <c r="F40" s="6">
        <f t="shared" si="12"/>
        <v>1.4763760470791943E-2</v>
      </c>
      <c r="G40" s="2"/>
      <c r="H40" s="7">
        <v>5691.42</v>
      </c>
      <c r="I40" s="2"/>
      <c r="J40" s="6">
        <f t="shared" si="13"/>
        <v>1.173138846721623E-2</v>
      </c>
      <c r="K40" s="2"/>
      <c r="L40" s="7">
        <f t="shared" si="14"/>
        <v>1339.0599999999995</v>
      </c>
      <c r="M40" s="2"/>
      <c r="N40" s="6">
        <f t="shared" si="15"/>
        <v>0.23527696075847496</v>
      </c>
      <c r="O40" s="11"/>
      <c r="P40" s="7">
        <v>12676.87</v>
      </c>
      <c r="Q40" s="2"/>
      <c r="R40" s="6">
        <f t="shared" si="16"/>
        <v>1.7742562753535137E-2</v>
      </c>
      <c r="S40" s="2"/>
      <c r="T40" s="7">
        <v>12419.22</v>
      </c>
      <c r="U40" s="2"/>
      <c r="V40" s="6">
        <f t="shared" si="17"/>
        <v>1.6129222040321998E-2</v>
      </c>
      <c r="W40" s="2"/>
      <c r="X40" s="7">
        <f t="shared" si="18"/>
        <v>257.65000000000146</v>
      </c>
      <c r="Y40" s="2"/>
      <c r="Z40" s="6">
        <f t="shared" si="19"/>
        <v>2.0746069398883463E-2</v>
      </c>
    </row>
    <row r="41" spans="1:26" s="24" customFormat="1" hidden="1" outlineLevel="2" x14ac:dyDescent="0.25">
      <c r="A41" s="29"/>
      <c r="B41" s="11" t="str">
        <f>CONCATENATE("          ", "6113", " - ", "GROUP INSURANCE")</f>
        <v xml:space="preserve">          6113 - GROUP INSURANCE</v>
      </c>
      <c r="C41" s="11"/>
      <c r="D41" s="7">
        <v>26980.649999999998</v>
      </c>
      <c r="E41" s="2"/>
      <c r="F41" s="6">
        <f t="shared" si="12"/>
        <v>5.6658415065013006E-2</v>
      </c>
      <c r="G41" s="2"/>
      <c r="H41" s="7">
        <v>30221.73</v>
      </c>
      <c r="I41" s="2"/>
      <c r="J41" s="6">
        <f t="shared" si="13"/>
        <v>6.2294270108570922E-2</v>
      </c>
      <c r="K41" s="2"/>
      <c r="L41" s="7">
        <f t="shared" si="14"/>
        <v>-3241.0800000000017</v>
      </c>
      <c r="M41" s="2"/>
      <c r="N41" s="6">
        <f t="shared" si="15"/>
        <v>-0.10724336429449942</v>
      </c>
      <c r="O41" s="11"/>
      <c r="P41" s="7">
        <v>54429.03</v>
      </c>
      <c r="Q41" s="2"/>
      <c r="R41" s="6">
        <f t="shared" si="16"/>
        <v>7.6178936944927764E-2</v>
      </c>
      <c r="S41" s="2"/>
      <c r="T41" s="7">
        <v>41546.080000000002</v>
      </c>
      <c r="U41" s="2"/>
      <c r="V41" s="6">
        <f t="shared" si="17"/>
        <v>5.3957168745298094E-2</v>
      </c>
      <c r="W41" s="2"/>
      <c r="X41" s="7">
        <f t="shared" si="18"/>
        <v>12882.949999999997</v>
      </c>
      <c r="Y41" s="2"/>
      <c r="Z41" s="6">
        <f t="shared" si="19"/>
        <v>0.31008822011607345</v>
      </c>
    </row>
    <row r="42" spans="1:26" s="24" customFormat="1" hidden="1" outlineLevel="2" x14ac:dyDescent="0.25">
      <c r="A42" s="29"/>
      <c r="B42" s="11" t="str">
        <f>CONCATENATE("          ", "6114", " - ", "STATE UNEMPLOYMENT INSURANCE")</f>
        <v xml:space="preserve">          6114 - STATE UNEMPLOYMENT INSURANCE</v>
      </c>
      <c r="C42" s="11"/>
      <c r="D42" s="7">
        <v>523.86</v>
      </c>
      <c r="E42" s="2"/>
      <c r="F42" s="6">
        <f t="shared" si="12"/>
        <v>1.1000875559320372E-3</v>
      </c>
      <c r="G42" s="2"/>
      <c r="H42" s="7">
        <v>491.32</v>
      </c>
      <c r="I42" s="2"/>
      <c r="J42" s="6">
        <f t="shared" si="13"/>
        <v>1.0127289466798581E-3</v>
      </c>
      <c r="K42" s="2"/>
      <c r="L42" s="7">
        <f t="shared" si="14"/>
        <v>32.54000000000002</v>
      </c>
      <c r="M42" s="2"/>
      <c r="N42" s="6">
        <f t="shared" si="15"/>
        <v>6.6229748432793334E-2</v>
      </c>
      <c r="O42" s="11"/>
      <c r="P42" s="7">
        <v>951.74</v>
      </c>
      <c r="Q42" s="2"/>
      <c r="R42" s="6">
        <f t="shared" si="16"/>
        <v>1.3320564678070794E-3</v>
      </c>
      <c r="S42" s="2"/>
      <c r="T42" s="7">
        <v>1081.02</v>
      </c>
      <c r="U42" s="2"/>
      <c r="V42" s="6">
        <f t="shared" si="17"/>
        <v>1.403953840098564E-3</v>
      </c>
      <c r="W42" s="2"/>
      <c r="X42" s="7">
        <f t="shared" si="18"/>
        <v>-129.27999999999997</v>
      </c>
      <c r="Y42" s="2"/>
      <c r="Z42" s="6">
        <f t="shared" si="19"/>
        <v>-0.11959075687776358</v>
      </c>
    </row>
    <row r="43" spans="1:26" s="24" customFormat="1" hidden="1" outlineLevel="2" x14ac:dyDescent="0.25">
      <c r="A43" s="29"/>
      <c r="B43" s="11" t="str">
        <f>CONCATENATE("          ", "6115", " - ", "P.E.R.S.")</f>
        <v xml:space="preserve">          6115 - P.E.R.S.</v>
      </c>
      <c r="C43" s="11"/>
      <c r="D43" s="7">
        <v>7277.48</v>
      </c>
      <c r="E43" s="2"/>
      <c r="F43" s="6">
        <f t="shared" si="12"/>
        <v>1.5282451774413546E-2</v>
      </c>
      <c r="G43" s="2"/>
      <c r="H43" s="7">
        <v>7174.41</v>
      </c>
      <c r="I43" s="2"/>
      <c r="J43" s="6">
        <f t="shared" si="13"/>
        <v>1.4788188313826917E-2</v>
      </c>
      <c r="K43" s="2"/>
      <c r="L43" s="7">
        <f t="shared" si="14"/>
        <v>103.06999999999971</v>
      </c>
      <c r="M43" s="2"/>
      <c r="N43" s="6">
        <f t="shared" si="15"/>
        <v>1.4366338137909558E-2</v>
      </c>
      <c r="O43" s="11"/>
      <c r="P43" s="7">
        <v>14554.96</v>
      </c>
      <c r="Q43" s="2"/>
      <c r="R43" s="6">
        <f t="shared" si="16"/>
        <v>2.0371139814101883E-2</v>
      </c>
      <c r="S43" s="2"/>
      <c r="T43" s="7">
        <v>17812.57</v>
      </c>
      <c r="U43" s="2"/>
      <c r="V43" s="6">
        <f t="shared" si="17"/>
        <v>2.3133731155320417E-2</v>
      </c>
      <c r="W43" s="2"/>
      <c r="X43" s="7">
        <f t="shared" si="18"/>
        <v>-3257.6100000000006</v>
      </c>
      <c r="Y43" s="2"/>
      <c r="Z43" s="6">
        <f t="shared" si="19"/>
        <v>-0.18288264972432391</v>
      </c>
    </row>
    <row r="44" spans="1:26" s="24" customFormat="1" hidden="1" outlineLevel="2" x14ac:dyDescent="0.25">
      <c r="A44" s="29"/>
      <c r="B44" s="11" t="str">
        <f>CONCATENATE("          ", "6117", " - ", "RETIREMENT STAFF HOURLY")</f>
        <v xml:space="preserve">          6117 - RETIREMENT STAFF HOURLY</v>
      </c>
      <c r="C44" s="11"/>
      <c r="D44" s="7">
        <v>56</v>
      </c>
      <c r="E44" s="2"/>
      <c r="F44" s="6">
        <f t="shared" si="12"/>
        <v>1.1759802835145663E-4</v>
      </c>
      <c r="G44" s="2"/>
      <c r="H44" s="7">
        <v>56</v>
      </c>
      <c r="I44" s="2"/>
      <c r="J44" s="6">
        <f t="shared" si="13"/>
        <v>1.1542949811542793E-4</v>
      </c>
      <c r="K44" s="2"/>
      <c r="L44" s="7">
        <f t="shared" si="14"/>
        <v>0</v>
      </c>
      <c r="M44" s="2"/>
      <c r="N44" s="6">
        <f t="shared" si="15"/>
        <v>0</v>
      </c>
      <c r="O44" s="11"/>
      <c r="P44" s="7">
        <v>112</v>
      </c>
      <c r="Q44" s="2"/>
      <c r="R44" s="6">
        <f t="shared" si="16"/>
        <v>1.5675533695588384E-4</v>
      </c>
      <c r="S44" s="2"/>
      <c r="T44" s="7">
        <v>112</v>
      </c>
      <c r="U44" s="2"/>
      <c r="V44" s="6">
        <f t="shared" si="17"/>
        <v>1.4545783620195665E-4</v>
      </c>
      <c r="W44" s="2"/>
      <c r="X44" s="7">
        <f t="shared" si="18"/>
        <v>0</v>
      </c>
      <c r="Y44" s="2"/>
      <c r="Z44" s="6">
        <f t="shared" si="19"/>
        <v>0</v>
      </c>
    </row>
    <row r="45" spans="1:26" s="24" customFormat="1" hidden="1" outlineLevel="2" x14ac:dyDescent="0.25">
      <c r="A45" s="29"/>
      <c r="B45" s="11" t="str">
        <f>CONCATENATE("          ", "6118", " - ", "VACATION")</f>
        <v xml:space="preserve">          6118 - VACATION</v>
      </c>
      <c r="C45" s="11"/>
      <c r="D45" s="7">
        <v>6648.86</v>
      </c>
      <c r="E45" s="2"/>
      <c r="F45" s="6">
        <f t="shared" si="12"/>
        <v>1.3962371906872606E-2</v>
      </c>
      <c r="G45" s="2"/>
      <c r="H45" s="7">
        <v>6252.67</v>
      </c>
      <c r="I45" s="2"/>
      <c r="J45" s="6">
        <f t="shared" si="13"/>
        <v>1.2888259999667728E-2</v>
      </c>
      <c r="K45" s="2"/>
      <c r="L45" s="7">
        <f t="shared" si="14"/>
        <v>396.1899999999996</v>
      </c>
      <c r="M45" s="2"/>
      <c r="N45" s="6">
        <f t="shared" si="15"/>
        <v>6.3363331184917743E-2</v>
      </c>
      <c r="O45" s="11"/>
      <c r="P45" s="7">
        <v>16532.43</v>
      </c>
      <c r="Q45" s="2"/>
      <c r="R45" s="6">
        <f t="shared" si="16"/>
        <v>2.3138809244192524E-2</v>
      </c>
      <c r="S45" s="2"/>
      <c r="T45" s="7">
        <v>16009.489999999998</v>
      </c>
      <c r="U45" s="2"/>
      <c r="V45" s="6">
        <f t="shared" si="17"/>
        <v>2.0792015840150557E-2</v>
      </c>
      <c r="W45" s="2"/>
      <c r="X45" s="7">
        <f t="shared" si="18"/>
        <v>522.94000000000233</v>
      </c>
      <c r="Y45" s="2"/>
      <c r="Z45" s="6">
        <f t="shared" si="19"/>
        <v>3.2664375942019541E-2</v>
      </c>
    </row>
    <row r="46" spans="1:26" s="24" customFormat="1" hidden="1" outlineLevel="2" x14ac:dyDescent="0.25">
      <c r="A46" s="29"/>
      <c r="B46" s="11" t="str">
        <f>CONCATENATE("          ", "6119", " - ", "SICK LEAVE")</f>
        <v xml:space="preserve">          6119 - SICK LEAVE</v>
      </c>
      <c r="C46" s="11"/>
      <c r="D46" s="7">
        <v>4832.92</v>
      </c>
      <c r="E46" s="2"/>
      <c r="F46" s="6">
        <f t="shared" si="12"/>
        <v>1.0148961842505747E-2</v>
      </c>
      <c r="G46" s="2"/>
      <c r="H46" s="7">
        <v>4630.08</v>
      </c>
      <c r="I46" s="2"/>
      <c r="J46" s="6">
        <f t="shared" si="13"/>
        <v>9.5437109041835808E-3</v>
      </c>
      <c r="K46" s="2"/>
      <c r="L46" s="7">
        <f t="shared" si="14"/>
        <v>202.84000000000015</v>
      </c>
      <c r="M46" s="2"/>
      <c r="N46" s="6">
        <f t="shared" si="15"/>
        <v>4.380917824314054E-2</v>
      </c>
      <c r="O46" s="11"/>
      <c r="P46" s="7">
        <v>19416.34</v>
      </c>
      <c r="Q46" s="2"/>
      <c r="R46" s="6">
        <f t="shared" si="16"/>
        <v>2.7175133206696477E-2</v>
      </c>
      <c r="S46" s="2"/>
      <c r="T46" s="7">
        <v>18459.27</v>
      </c>
      <c r="U46" s="2"/>
      <c r="V46" s="6">
        <f t="shared" si="17"/>
        <v>2.3973620286318682E-2</v>
      </c>
      <c r="W46" s="2"/>
      <c r="X46" s="7">
        <f t="shared" si="18"/>
        <v>957.06999999999971</v>
      </c>
      <c r="Y46" s="2"/>
      <c r="Z46" s="6">
        <f t="shared" si="19"/>
        <v>5.1847662448189974E-2</v>
      </c>
    </row>
    <row r="47" spans="1:26" s="24" customFormat="1" hidden="1" outlineLevel="2" x14ac:dyDescent="0.25">
      <c r="A47" s="29"/>
      <c r="B47" s="11" t="str">
        <f>CONCATENATE("          ", "6156", " - ", "EMPLOYEE MEALS")</f>
        <v xml:space="preserve">          6156 - EMPLOYEE MEALS</v>
      </c>
      <c r="C47" s="11"/>
      <c r="D47" s="7">
        <v>3296.44</v>
      </c>
      <c r="E47" s="2"/>
      <c r="F47" s="6">
        <f t="shared" si="12"/>
        <v>6.9224079389084954E-3</v>
      </c>
      <c r="G47" s="2"/>
      <c r="H47" s="7">
        <v>3210.94</v>
      </c>
      <c r="I47" s="2"/>
      <c r="J47" s="6">
        <f t="shared" si="13"/>
        <v>6.6185212978348605E-3</v>
      </c>
      <c r="K47" s="2"/>
      <c r="L47" s="7">
        <f t="shared" si="14"/>
        <v>85.5</v>
      </c>
      <c r="M47" s="2"/>
      <c r="N47" s="6">
        <f t="shared" si="15"/>
        <v>2.6627716494235332E-2</v>
      </c>
      <c r="O47" s="11"/>
      <c r="P47" s="7">
        <v>5941.95</v>
      </c>
      <c r="Q47" s="2"/>
      <c r="R47" s="6">
        <f t="shared" si="16"/>
        <v>8.3163604859376235E-3</v>
      </c>
      <c r="S47" s="2"/>
      <c r="T47" s="7">
        <v>5994.95</v>
      </c>
      <c r="U47" s="2"/>
      <c r="V47" s="6">
        <f t="shared" si="17"/>
        <v>7.7858254923117848E-3</v>
      </c>
      <c r="W47" s="2"/>
      <c r="X47" s="7">
        <f t="shared" si="18"/>
        <v>-53</v>
      </c>
      <c r="Y47" s="2"/>
      <c r="Z47" s="6">
        <f t="shared" si="19"/>
        <v>-8.8407743183846407E-3</v>
      </c>
    </row>
    <row r="48" spans="1:26" s="27" customFormat="1" outlineLevel="1" collapsed="1" x14ac:dyDescent="0.25">
      <c r="A48" s="28"/>
      <c r="B48" s="14" t="str">
        <f>CONCATENATE("     ","*Payroll                                          ")</f>
        <v xml:space="preserve">     *Payroll                                          </v>
      </c>
      <c r="C48" s="14"/>
      <c r="D48" s="1">
        <f>SUM(OSRRefD22_1x_0)</f>
        <v>226050.38999999998</v>
      </c>
      <c r="E48" s="1"/>
      <c r="F48" s="5">
        <f t="shared" ref="F48:F55" si="20">IF(D$12=0,0,D48/D$12)</f>
        <v>0.4746978602156755</v>
      </c>
      <c r="G48" s="1"/>
      <c r="H48" s="1">
        <f>SUM(OSRRefH22_1x_0)</f>
        <v>213197.17</v>
      </c>
      <c r="I48" s="1"/>
      <c r="J48" s="5">
        <f t="shared" ref="J48:J55" si="21">IF(H$12=0,0,H48/H$12)</f>
        <v>0.43945075594159949</v>
      </c>
      <c r="K48" s="1"/>
      <c r="L48" s="1">
        <f t="shared" ref="L48:L55" si="22">+D48-H48</f>
        <v>12853.219999999972</v>
      </c>
      <c r="M48" s="1"/>
      <c r="N48" s="5">
        <f t="shared" ref="N48:N55" si="23">IF(H48=0,0,L48/H48)</f>
        <v>6.0287948475113304E-2</v>
      </c>
      <c r="O48" s="14"/>
      <c r="P48" s="1">
        <f>SUM(OSRRefP22_1x_0)</f>
        <v>424174.23000000004</v>
      </c>
      <c r="Q48" s="1"/>
      <c r="R48" s="5">
        <f t="shared" ref="R48:R55" si="24">IF(P$12=0,0,P48/P$12)</f>
        <v>0.59367477099689803</v>
      </c>
      <c r="S48" s="1"/>
      <c r="T48" s="1">
        <f>SUM(OSRRefT22_1x_0)</f>
        <v>389585.05000000005</v>
      </c>
      <c r="U48" s="1"/>
      <c r="V48" s="5">
        <f t="shared" ref="V48:V55" si="25">IF(T$12=0,0,T48/T$12)</f>
        <v>0.50596605705027764</v>
      </c>
      <c r="W48" s="1"/>
      <c r="X48" s="1">
        <f t="shared" ref="X48:X55" si="26">+P48-T48</f>
        <v>34589.179999999993</v>
      </c>
      <c r="Y48" s="1"/>
      <c r="Z48" s="5">
        <f t="shared" ref="Z48:Z55" si="27">IF(T48=0,0,X48/T48)</f>
        <v>8.8784669740278765E-2</v>
      </c>
    </row>
    <row r="49" spans="1:26" s="24" customFormat="1" hidden="1" outlineLevel="2" x14ac:dyDescent="0.25">
      <c r="A49" s="29"/>
      <c r="B49" s="11" t="str">
        <f>CONCATENATE("          ", "6001", " - ", "ADMINISTRATIVE SALARIES")</f>
        <v xml:space="preserve">          6001 - ADMINISTRATIVE SALARIES</v>
      </c>
      <c r="C49" s="11"/>
      <c r="D49" s="7">
        <v>15056.230000000001</v>
      </c>
      <c r="E49" s="2"/>
      <c r="F49" s="6">
        <f t="shared" si="20"/>
        <v>3.1617552900108072E-2</v>
      </c>
      <c r="G49" s="2"/>
      <c r="H49" s="7">
        <v>15662.54</v>
      </c>
      <c r="I49" s="2"/>
      <c r="J49" s="6">
        <f t="shared" si="21"/>
        <v>3.2284270203800265E-2</v>
      </c>
      <c r="K49" s="2"/>
      <c r="L49" s="7">
        <f t="shared" si="22"/>
        <v>-606.30999999999949</v>
      </c>
      <c r="M49" s="2"/>
      <c r="N49" s="6">
        <f t="shared" si="23"/>
        <v>-3.8710834896511004E-2</v>
      </c>
      <c r="O49" s="11"/>
      <c r="P49" s="7">
        <v>35482.899999999994</v>
      </c>
      <c r="Q49" s="2"/>
      <c r="R49" s="6">
        <f t="shared" si="24"/>
        <v>4.9661910229213659E-2</v>
      </c>
      <c r="S49" s="2"/>
      <c r="T49" s="7">
        <v>33100.700000000004</v>
      </c>
      <c r="U49" s="2"/>
      <c r="V49" s="6">
        <f t="shared" si="25"/>
        <v>4.2988894631875954E-2</v>
      </c>
      <c r="W49" s="2"/>
      <c r="X49" s="7">
        <f t="shared" si="26"/>
        <v>2382.1999999999898</v>
      </c>
      <c r="Y49" s="2"/>
      <c r="Z49" s="6">
        <f t="shared" si="27"/>
        <v>7.1968266532127401E-2</v>
      </c>
    </row>
    <row r="50" spans="1:26" s="24" customFormat="1" hidden="1" outlineLevel="2" x14ac:dyDescent="0.25">
      <c r="A50" s="29"/>
      <c r="B50" s="11" t="str">
        <f>CONCATENATE("          ", "6002", " - ", "STAFF SALARIES")</f>
        <v xml:space="preserve">          6002 - STAFF SALARIES</v>
      </c>
      <c r="C50" s="11"/>
      <c r="D50" s="7">
        <v>65738.720000000001</v>
      </c>
      <c r="E50" s="2"/>
      <c r="F50" s="6">
        <f t="shared" si="20"/>
        <v>0.13804899747050839</v>
      </c>
      <c r="G50" s="2"/>
      <c r="H50" s="7">
        <v>67332.88</v>
      </c>
      <c r="I50" s="2"/>
      <c r="J50" s="6">
        <f t="shared" si="21"/>
        <v>0.13878929544761315</v>
      </c>
      <c r="K50" s="2"/>
      <c r="L50" s="7">
        <f t="shared" si="22"/>
        <v>-1594.1600000000035</v>
      </c>
      <c r="M50" s="2"/>
      <c r="N50" s="6">
        <f t="shared" si="23"/>
        <v>-2.3675802965802198E-2</v>
      </c>
      <c r="O50" s="11"/>
      <c r="P50" s="7">
        <v>143049.07</v>
      </c>
      <c r="Q50" s="2"/>
      <c r="R50" s="6">
        <f t="shared" si="24"/>
        <v>0.20021165329531979</v>
      </c>
      <c r="S50" s="2"/>
      <c r="T50" s="7">
        <v>145674.66</v>
      </c>
      <c r="U50" s="2"/>
      <c r="V50" s="6">
        <f t="shared" si="25"/>
        <v>0.18919215029514039</v>
      </c>
      <c r="W50" s="2"/>
      <c r="X50" s="7">
        <f t="shared" si="26"/>
        <v>-2625.5899999999965</v>
      </c>
      <c r="Y50" s="2"/>
      <c r="Z50" s="6">
        <f t="shared" si="27"/>
        <v>-1.8023656276252825E-2</v>
      </c>
    </row>
    <row r="51" spans="1:26" s="24" customFormat="1" hidden="1" outlineLevel="2" x14ac:dyDescent="0.25">
      <c r="A51" s="29"/>
      <c r="B51" s="11" t="str">
        <f>CONCATENATE("          ", "6004", " - ", "STAFF HOURLY")</f>
        <v xml:space="preserve">          6004 - STAFF HOURLY</v>
      </c>
      <c r="C51" s="11"/>
      <c r="D51" s="7">
        <v>17855.3</v>
      </c>
      <c r="E51" s="2"/>
      <c r="F51" s="6">
        <f t="shared" si="20"/>
        <v>3.749550135042435E-2</v>
      </c>
      <c r="G51" s="2"/>
      <c r="H51" s="7">
        <v>13784.05</v>
      </c>
      <c r="I51" s="2"/>
      <c r="J51" s="6">
        <f t="shared" si="21"/>
        <v>2.8412249526749363E-2</v>
      </c>
      <c r="K51" s="2"/>
      <c r="L51" s="7">
        <f t="shared" si="22"/>
        <v>4071.25</v>
      </c>
      <c r="M51" s="2"/>
      <c r="N51" s="6">
        <f t="shared" si="23"/>
        <v>0.29535949158628999</v>
      </c>
      <c r="O51" s="11"/>
      <c r="P51" s="7">
        <v>33165.310000000005</v>
      </c>
      <c r="Q51" s="2"/>
      <c r="R51" s="6">
        <f t="shared" si="24"/>
        <v>4.6418208431217363E-2</v>
      </c>
      <c r="S51" s="2"/>
      <c r="T51" s="7">
        <v>21831.98</v>
      </c>
      <c r="U51" s="2"/>
      <c r="V51" s="6">
        <f t="shared" si="25"/>
        <v>2.8353862239324939E-2</v>
      </c>
      <c r="W51" s="2"/>
      <c r="X51" s="7">
        <f t="shared" si="26"/>
        <v>11333.330000000005</v>
      </c>
      <c r="Y51" s="2"/>
      <c r="Z51" s="6">
        <f t="shared" si="27"/>
        <v>0.51911599406009012</v>
      </c>
    </row>
    <row r="52" spans="1:26" s="24" customFormat="1" hidden="1" outlineLevel="2" x14ac:dyDescent="0.25">
      <c r="A52" s="29"/>
      <c r="B52" s="11" t="str">
        <f>CONCATENATE("          ", "6005", " - ", "TEMPORARY WAGES-HOURLY")</f>
        <v xml:space="preserve">          6005 - TEMPORARY WAGES-HOURLY</v>
      </c>
      <c r="C52" s="11"/>
      <c r="D52" s="7">
        <v>41274.769999999997</v>
      </c>
      <c r="E52" s="2"/>
      <c r="F52" s="6">
        <f t="shared" si="20"/>
        <v>8.6675563797497357E-2</v>
      </c>
      <c r="G52" s="2"/>
      <c r="H52" s="7">
        <v>36008.060000000005</v>
      </c>
      <c r="I52" s="2"/>
      <c r="J52" s="6">
        <f t="shared" si="21"/>
        <v>7.4221290962682443E-2</v>
      </c>
      <c r="K52" s="2"/>
      <c r="L52" s="7">
        <f t="shared" si="22"/>
        <v>5266.7099999999919</v>
      </c>
      <c r="M52" s="2"/>
      <c r="N52" s="6">
        <f t="shared" si="23"/>
        <v>0.14626475294697885</v>
      </c>
      <c r="O52" s="11"/>
      <c r="P52" s="7">
        <v>72055.02</v>
      </c>
      <c r="Q52" s="2"/>
      <c r="R52" s="6">
        <f t="shared" si="24"/>
        <v>0.10084829410234776</v>
      </c>
      <c r="S52" s="2"/>
      <c r="T52" s="7">
        <v>62645.43</v>
      </c>
      <c r="U52" s="2"/>
      <c r="V52" s="6">
        <f t="shared" si="25"/>
        <v>8.1359541926260187E-2</v>
      </c>
      <c r="W52" s="2"/>
      <c r="X52" s="7">
        <f t="shared" si="26"/>
        <v>9409.5900000000038</v>
      </c>
      <c r="Y52" s="2"/>
      <c r="Z52" s="6">
        <f t="shared" si="27"/>
        <v>0.15020393347128438</v>
      </c>
    </row>
    <row r="53" spans="1:26" s="24" customFormat="1" hidden="1" outlineLevel="2" x14ac:dyDescent="0.25">
      <c r="A53" s="29"/>
      <c r="B53" s="11" t="str">
        <f>CONCATENATE("          ", "6006", " - ", "TEMPORARY PART TIME")</f>
        <v xml:space="preserve">          6006 - TEMPORARY PART TIME</v>
      </c>
      <c r="C53" s="11"/>
      <c r="D53" s="7">
        <v>2606.88</v>
      </c>
      <c r="E53" s="2"/>
      <c r="F53" s="6">
        <f t="shared" si="20"/>
        <v>5.4743562169436658E-3</v>
      </c>
      <c r="G53" s="2"/>
      <c r="H53" s="7">
        <v>2405.66</v>
      </c>
      <c r="I53" s="2"/>
      <c r="J53" s="6">
        <f t="shared" si="21"/>
        <v>4.9586451149350062E-3</v>
      </c>
      <c r="K53" s="2"/>
      <c r="L53" s="7">
        <f t="shared" si="22"/>
        <v>201.22000000000025</v>
      </c>
      <c r="M53" s="2"/>
      <c r="N53" s="6">
        <f t="shared" si="23"/>
        <v>8.3644405277553874E-2</v>
      </c>
      <c r="O53" s="11"/>
      <c r="P53" s="7">
        <v>5584.27</v>
      </c>
      <c r="Q53" s="2"/>
      <c r="R53" s="6">
        <f t="shared" si="24"/>
        <v>7.8157511205592268E-3</v>
      </c>
      <c r="S53" s="2"/>
      <c r="T53" s="7">
        <v>4395.13</v>
      </c>
      <c r="U53" s="2"/>
      <c r="V53" s="6">
        <f t="shared" si="25"/>
        <v>5.7080901752348725E-3</v>
      </c>
      <c r="W53" s="2"/>
      <c r="X53" s="7">
        <f t="shared" si="26"/>
        <v>1189.1400000000003</v>
      </c>
      <c r="Y53" s="2"/>
      <c r="Z53" s="6">
        <f t="shared" si="27"/>
        <v>0.27055855003151225</v>
      </c>
    </row>
    <row r="54" spans="1:26" s="24" customFormat="1" hidden="1" outlineLevel="2" x14ac:dyDescent="0.25">
      <c r="A54" s="29"/>
      <c r="B54" s="11" t="str">
        <f>CONCATENATE("          ", "6007", " - ", "STUDENT HOURLY")</f>
        <v xml:space="preserve">          6007 - STUDENT HOURLY</v>
      </c>
      <c r="C54" s="11"/>
      <c r="D54" s="7">
        <v>78706.81</v>
      </c>
      <c r="E54" s="2"/>
      <c r="F54" s="6">
        <f t="shared" si="20"/>
        <v>0.16528152988986983</v>
      </c>
      <c r="G54" s="2"/>
      <c r="H54" s="7">
        <v>71837.87</v>
      </c>
      <c r="I54" s="2"/>
      <c r="J54" s="6">
        <f t="shared" si="21"/>
        <v>0.14807516571038137</v>
      </c>
      <c r="K54" s="2"/>
      <c r="L54" s="7">
        <f t="shared" si="22"/>
        <v>6868.9400000000023</v>
      </c>
      <c r="M54" s="2"/>
      <c r="N54" s="6">
        <f t="shared" si="23"/>
        <v>9.5617255912515256E-2</v>
      </c>
      <c r="O54" s="11"/>
      <c r="P54" s="7">
        <v>127499.96</v>
      </c>
      <c r="Q54" s="2"/>
      <c r="R54" s="6">
        <f t="shared" si="24"/>
        <v>0.178449099925551</v>
      </c>
      <c r="S54" s="2"/>
      <c r="T54" s="7">
        <v>111770.71</v>
      </c>
      <c r="U54" s="2"/>
      <c r="V54" s="6">
        <f t="shared" si="25"/>
        <v>0.14516005024425355</v>
      </c>
      <c r="W54" s="2"/>
      <c r="X54" s="7">
        <f t="shared" si="26"/>
        <v>15729.25</v>
      </c>
      <c r="Y54" s="2"/>
      <c r="Z54" s="6">
        <f t="shared" si="27"/>
        <v>0.14072783468942801</v>
      </c>
    </row>
    <row r="55" spans="1:26" s="24" customFormat="1" hidden="1" outlineLevel="2" x14ac:dyDescent="0.25">
      <c r="A55" s="29"/>
      <c r="B55" s="11" t="str">
        <f>CONCATENATE("          ", "6008", " - ", "STUDENT HOURLY-FICA EXEMPT")</f>
        <v xml:space="preserve">          6008 - STUDENT HOURLY-FICA EXEMPT</v>
      </c>
      <c r="C55" s="11"/>
      <c r="D55" s="7">
        <v>4811.68</v>
      </c>
      <c r="E55" s="2"/>
      <c r="F55" s="6">
        <f t="shared" si="20"/>
        <v>1.0104358590323874E-2</v>
      </c>
      <c r="G55" s="2"/>
      <c r="H55" s="7">
        <v>6166.11</v>
      </c>
      <c r="I55" s="2"/>
      <c r="J55" s="6">
        <f t="shared" si="21"/>
        <v>1.2709838975437881E-2</v>
      </c>
      <c r="K55" s="2"/>
      <c r="L55" s="7">
        <f t="shared" si="22"/>
        <v>-1354.4299999999994</v>
      </c>
      <c r="M55" s="2"/>
      <c r="N55" s="6">
        <f t="shared" si="23"/>
        <v>-0.21965712580541044</v>
      </c>
      <c r="O55" s="11"/>
      <c r="P55" s="7">
        <v>7337.7</v>
      </c>
      <c r="Q55" s="2"/>
      <c r="R55" s="6">
        <f t="shared" si="24"/>
        <v>1.0269853892689185E-2</v>
      </c>
      <c r="S55" s="2"/>
      <c r="T55" s="7">
        <v>10166.44</v>
      </c>
      <c r="U55" s="2"/>
      <c r="V55" s="6">
        <f t="shared" si="25"/>
        <v>1.320346753818768E-2</v>
      </c>
      <c r="W55" s="2"/>
      <c r="X55" s="7">
        <f t="shared" si="26"/>
        <v>-2828.7400000000007</v>
      </c>
      <c r="Y55" s="2"/>
      <c r="Z55" s="6">
        <f t="shared" si="27"/>
        <v>-0.27824292476028978</v>
      </c>
    </row>
    <row r="56" spans="1:26" s="27" customFormat="1" outlineLevel="1" collapsed="1" x14ac:dyDescent="0.25">
      <c r="A56" s="28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2725.1</v>
      </c>
      <c r="E56" s="1"/>
      <c r="F56" s="5">
        <f t="shared" ref="F56:F65" si="28">IF(D$12=0,0,D56/D$12)</f>
        <v>5.7226140546527589E-3</v>
      </c>
      <c r="G56" s="1"/>
      <c r="H56" s="1">
        <f>SUM(OSRRefH22_2x_0)</f>
        <v>2062.31</v>
      </c>
      <c r="I56" s="1"/>
      <c r="J56" s="5">
        <f t="shared" ref="J56:J65" si="29">IF(H$12=0,0,H56/H$12)</f>
        <v>4.2509180046147888E-3</v>
      </c>
      <c r="K56" s="1"/>
      <c r="L56" s="1">
        <f t="shared" ref="L56:L65" si="30">+D56-H56</f>
        <v>662.79</v>
      </c>
      <c r="M56" s="1"/>
      <c r="N56" s="5">
        <f t="shared" ref="N56:N65" si="31">IF(H56=0,0,L56/H56)</f>
        <v>0.32138233340283467</v>
      </c>
      <c r="O56" s="14"/>
      <c r="P56" s="1">
        <f>SUM(OSRRefP22_2x_0)</f>
        <v>5773.55</v>
      </c>
      <c r="Q56" s="1"/>
      <c r="R56" s="5">
        <f t="shared" ref="R56:R65" si="32">IF(P$12=0,0,P56/P$12)</f>
        <v>8.0806676400146712E-3</v>
      </c>
      <c r="S56" s="1"/>
      <c r="T56" s="1">
        <f>SUM(OSRRefT22_2x_0)</f>
        <v>4471.38</v>
      </c>
      <c r="U56" s="1"/>
      <c r="V56" s="5">
        <f t="shared" ref="V56:V65" si="33">IF(T$12=0,0,T56/T$12)</f>
        <v>5.8071183896134361E-3</v>
      </c>
      <c r="W56" s="1"/>
      <c r="X56" s="1">
        <f t="shared" ref="X56:X65" si="34">+P56-T56</f>
        <v>1302.17</v>
      </c>
      <c r="Y56" s="1"/>
      <c r="Z56" s="5">
        <f t="shared" ref="Z56:Z65" si="35">IF(T56=0,0,X56/T56)</f>
        <v>0.29122329124341928</v>
      </c>
    </row>
    <row r="57" spans="1:26" s="24" customFormat="1" hidden="1" outlineLevel="2" x14ac:dyDescent="0.25">
      <c r="A57" s="29"/>
      <c r="B57" s="11" t="str">
        <f>CONCATENATE("          ", "6362", " - ", "ADVERTISING EXPENSE")</f>
        <v xml:space="preserve">          6362 - ADVERTISING EXPENSE</v>
      </c>
      <c r="C57" s="11"/>
      <c r="D57" s="7">
        <v>2725.1</v>
      </c>
      <c r="E57" s="2"/>
      <c r="F57" s="6">
        <f t="shared" si="28"/>
        <v>5.7226140546527589E-3</v>
      </c>
      <c r="G57" s="2"/>
      <c r="H57" s="7">
        <v>2062.31</v>
      </c>
      <c r="I57" s="2"/>
      <c r="J57" s="6">
        <f t="shared" si="29"/>
        <v>4.2509180046147888E-3</v>
      </c>
      <c r="K57" s="2"/>
      <c r="L57" s="7">
        <f t="shared" si="30"/>
        <v>662.79</v>
      </c>
      <c r="M57" s="2"/>
      <c r="N57" s="6">
        <f t="shared" si="31"/>
        <v>0.32138233340283467</v>
      </c>
      <c r="O57" s="11"/>
      <c r="P57" s="7">
        <v>5773.55</v>
      </c>
      <c r="Q57" s="2"/>
      <c r="R57" s="6">
        <f t="shared" si="32"/>
        <v>8.0806676400146712E-3</v>
      </c>
      <c r="S57" s="2"/>
      <c r="T57" s="7">
        <v>4471.38</v>
      </c>
      <c r="U57" s="2"/>
      <c r="V57" s="6">
        <f t="shared" si="33"/>
        <v>5.8071183896134361E-3</v>
      </c>
      <c r="W57" s="2"/>
      <c r="X57" s="7">
        <f t="shared" si="34"/>
        <v>1302.17</v>
      </c>
      <c r="Y57" s="2"/>
      <c r="Z57" s="6">
        <f t="shared" si="35"/>
        <v>0.29122329124341928</v>
      </c>
    </row>
    <row r="58" spans="1:26" s="27" customFormat="1" outlineLevel="1" collapsed="1" x14ac:dyDescent="0.25">
      <c r="A58" s="28"/>
      <c r="B58" s="14" t="str">
        <f>CONCATENATE("     ","Bad Debts/Over/Short                              ")</f>
        <v xml:space="preserve">     Bad Debts/Over/Short                              </v>
      </c>
      <c r="C58" s="14"/>
      <c r="D58" s="1">
        <f>SUM(OSRRefD22_3x_0)</f>
        <v>0.5</v>
      </c>
      <c r="E58" s="1"/>
      <c r="F58" s="5">
        <f t="shared" si="28"/>
        <v>1.0499823959951486E-6</v>
      </c>
      <c r="G58" s="1"/>
      <c r="H58" s="1">
        <f>SUM(OSRRefH22_3x_0)</f>
        <v>195.14</v>
      </c>
      <c r="I58" s="1"/>
      <c r="J58" s="5">
        <f t="shared" si="29"/>
        <v>4.0223057611151082E-4</v>
      </c>
      <c r="K58" s="1"/>
      <c r="L58" s="1">
        <f t="shared" si="30"/>
        <v>-194.64</v>
      </c>
      <c r="M58" s="1"/>
      <c r="N58" s="5">
        <f t="shared" si="31"/>
        <v>-0.99743773700932659</v>
      </c>
      <c r="O58" s="14"/>
      <c r="P58" s="1">
        <f>SUM(OSRRefP22_3x_0)</f>
        <v>-20.260000000000002</v>
      </c>
      <c r="Q58" s="1"/>
      <c r="R58" s="5">
        <f t="shared" si="32"/>
        <v>-2.8355920774341131E-5</v>
      </c>
      <c r="S58" s="1"/>
      <c r="T58" s="1">
        <f>SUM(OSRRefT22_3x_0)</f>
        <v>172.01</v>
      </c>
      <c r="U58" s="1"/>
      <c r="V58" s="5">
        <f t="shared" si="33"/>
        <v>2.2339466433123715E-4</v>
      </c>
      <c r="W58" s="1"/>
      <c r="X58" s="1">
        <f t="shared" si="34"/>
        <v>-192.26999999999998</v>
      </c>
      <c r="Y58" s="1"/>
      <c r="Z58" s="5">
        <f t="shared" si="35"/>
        <v>-1.1177838497761758</v>
      </c>
    </row>
    <row r="59" spans="1:26" s="24" customFormat="1" hidden="1" outlineLevel="2" x14ac:dyDescent="0.25">
      <c r="A59" s="29"/>
      <c r="B59" s="11" t="str">
        <f>CONCATENATE("          ", "6272", " - ", "CASH (OVER/SHORT)")</f>
        <v xml:space="preserve">          6272 - CASH (OVER/SHORT)</v>
      </c>
      <c r="C59" s="11"/>
      <c r="D59" s="7">
        <v>0.5</v>
      </c>
      <c r="E59" s="2"/>
      <c r="F59" s="6">
        <f t="shared" si="28"/>
        <v>1.0499823959951486E-6</v>
      </c>
      <c r="G59" s="2"/>
      <c r="H59" s="7">
        <v>195.14</v>
      </c>
      <c r="I59" s="2"/>
      <c r="J59" s="6">
        <f t="shared" si="29"/>
        <v>4.0223057611151082E-4</v>
      </c>
      <c r="K59" s="2"/>
      <c r="L59" s="7">
        <f t="shared" si="30"/>
        <v>-194.64</v>
      </c>
      <c r="M59" s="2"/>
      <c r="N59" s="6">
        <f t="shared" si="31"/>
        <v>-0.99743773700932659</v>
      </c>
      <c r="O59" s="11"/>
      <c r="P59" s="7">
        <v>-20.260000000000002</v>
      </c>
      <c r="Q59" s="2"/>
      <c r="R59" s="6">
        <f t="shared" si="32"/>
        <v>-2.8355920774341131E-5</v>
      </c>
      <c r="S59" s="2"/>
      <c r="T59" s="7">
        <v>172.01</v>
      </c>
      <c r="U59" s="2"/>
      <c r="V59" s="6">
        <f t="shared" si="33"/>
        <v>2.2339466433123715E-4</v>
      </c>
      <c r="W59" s="2"/>
      <c r="X59" s="7">
        <f t="shared" si="34"/>
        <v>-192.26999999999998</v>
      </c>
      <c r="Y59" s="2"/>
      <c r="Z59" s="6">
        <f t="shared" si="35"/>
        <v>-1.1177838497761758</v>
      </c>
    </row>
    <row r="60" spans="1:26" s="27" customFormat="1" outlineLevel="1" collapsed="1" x14ac:dyDescent="0.25">
      <c r="A60" s="28"/>
      <c r="B60" s="14" t="str">
        <f>CONCATENATE("     ","Bank/card Fees                                    ")</f>
        <v xml:space="preserve">     Bank/card Fees                                    </v>
      </c>
      <c r="C60" s="14"/>
      <c r="D60" s="1">
        <f>SUM(OSRRefD22_4x_0)</f>
        <v>13254.35</v>
      </c>
      <c r="E60" s="1"/>
      <c r="F60" s="5">
        <f t="shared" si="28"/>
        <v>2.7833668340716596E-2</v>
      </c>
      <c r="G60" s="1"/>
      <c r="H60" s="1">
        <f>SUM(OSRRefH22_4x_0)</f>
        <v>11752.77</v>
      </c>
      <c r="I60" s="1"/>
      <c r="J60" s="5">
        <f t="shared" si="29"/>
        <v>2.4225291831536749E-2</v>
      </c>
      <c r="K60" s="1"/>
      <c r="L60" s="1">
        <f t="shared" si="30"/>
        <v>1501.58</v>
      </c>
      <c r="M60" s="1"/>
      <c r="N60" s="5">
        <f t="shared" si="31"/>
        <v>0.12776392288796598</v>
      </c>
      <c r="O60" s="14"/>
      <c r="P60" s="1">
        <f>SUM(OSRRefP22_4x_0)</f>
        <v>18973.070000000003</v>
      </c>
      <c r="Q60" s="1"/>
      <c r="R60" s="5">
        <f t="shared" si="32"/>
        <v>2.6554731972656887E-2</v>
      </c>
      <c r="S60" s="1"/>
      <c r="T60" s="1">
        <f>SUM(OSRRefT22_4x_0)</f>
        <v>17666.78</v>
      </c>
      <c r="U60" s="1"/>
      <c r="V60" s="5">
        <f t="shared" si="33"/>
        <v>2.2944389209428602E-2</v>
      </c>
      <c r="W60" s="1"/>
      <c r="X60" s="1">
        <f t="shared" si="34"/>
        <v>1306.2900000000045</v>
      </c>
      <c r="Y60" s="1"/>
      <c r="Z60" s="5">
        <f t="shared" si="35"/>
        <v>7.3940469061142128E-2</v>
      </c>
    </row>
    <row r="61" spans="1:26" s="24" customFormat="1" hidden="1" outlineLevel="2" x14ac:dyDescent="0.25">
      <c r="A61" s="29"/>
      <c r="B61" s="11" t="str">
        <f>CONCATENATE("          ", "6381", " - ", "BANK/CREDIT CARD FEES")</f>
        <v xml:space="preserve">          6381 - BANK/CREDIT CARD FEES</v>
      </c>
      <c r="C61" s="11"/>
      <c r="D61" s="7">
        <v>13254.35</v>
      </c>
      <c r="E61" s="2"/>
      <c r="F61" s="6">
        <f t="shared" si="28"/>
        <v>2.7833668340716596E-2</v>
      </c>
      <c r="G61" s="2"/>
      <c r="H61" s="7">
        <v>11752.77</v>
      </c>
      <c r="I61" s="2"/>
      <c r="J61" s="6">
        <f t="shared" si="29"/>
        <v>2.4225291831536749E-2</v>
      </c>
      <c r="K61" s="2"/>
      <c r="L61" s="7">
        <f t="shared" si="30"/>
        <v>1501.58</v>
      </c>
      <c r="M61" s="2"/>
      <c r="N61" s="6">
        <f t="shared" si="31"/>
        <v>0.12776392288796598</v>
      </c>
      <c r="O61" s="11"/>
      <c r="P61" s="7">
        <v>18973.070000000003</v>
      </c>
      <c r="Q61" s="2"/>
      <c r="R61" s="6">
        <f t="shared" si="32"/>
        <v>2.6554731972656887E-2</v>
      </c>
      <c r="S61" s="2"/>
      <c r="T61" s="7">
        <v>17666.78</v>
      </c>
      <c r="U61" s="2"/>
      <c r="V61" s="6">
        <f t="shared" si="33"/>
        <v>2.2944389209428602E-2</v>
      </c>
      <c r="W61" s="2"/>
      <c r="X61" s="7">
        <f t="shared" si="34"/>
        <v>1306.2900000000045</v>
      </c>
      <c r="Y61" s="2"/>
      <c r="Z61" s="6">
        <f t="shared" si="35"/>
        <v>7.3940469061142128E-2</v>
      </c>
    </row>
    <row r="62" spans="1:26" s="27" customFormat="1" outlineLevel="1" collapsed="1" x14ac:dyDescent="0.25">
      <c r="A62" s="28"/>
      <c r="B62" s="14" t="str">
        <f>CONCATENATE("     ","Depreciation                                      ")</f>
        <v xml:space="preserve">     Depreciation                                      </v>
      </c>
      <c r="C62" s="14"/>
      <c r="D62" s="1">
        <f>SUM(OSRRefD22_5x_0)</f>
        <v>47974.53</v>
      </c>
      <c r="E62" s="1"/>
      <c r="F62" s="5">
        <f t="shared" si="28"/>
        <v>0.10074482391228226</v>
      </c>
      <c r="G62" s="1"/>
      <c r="H62" s="1">
        <f>SUM(OSRRefH22_5x_0)</f>
        <v>50133.29</v>
      </c>
      <c r="I62" s="1"/>
      <c r="J62" s="5">
        <f t="shared" si="29"/>
        <v>0.10333679470670004</v>
      </c>
      <c r="K62" s="1"/>
      <c r="L62" s="1">
        <f t="shared" si="30"/>
        <v>-2158.760000000002</v>
      </c>
      <c r="M62" s="1"/>
      <c r="N62" s="5">
        <f t="shared" si="31"/>
        <v>-4.3060409560194475E-2</v>
      </c>
      <c r="O62" s="14"/>
      <c r="P62" s="1">
        <f>SUM(OSRRefP22_5x_0)</f>
        <v>95949.06</v>
      </c>
      <c r="Q62" s="1"/>
      <c r="R62" s="5">
        <f t="shared" si="32"/>
        <v>0.13429042170446709</v>
      </c>
      <c r="S62" s="1"/>
      <c r="T62" s="1">
        <f>SUM(OSRRefT22_5x_0)</f>
        <v>100266.58</v>
      </c>
      <c r="U62" s="1"/>
      <c r="V62" s="5">
        <f t="shared" si="33"/>
        <v>0.13021928366223556</v>
      </c>
      <c r="W62" s="1"/>
      <c r="X62" s="1">
        <f t="shared" si="34"/>
        <v>-4317.5200000000041</v>
      </c>
      <c r="Y62" s="1"/>
      <c r="Z62" s="5">
        <f t="shared" si="35"/>
        <v>-4.3060409560194475E-2</v>
      </c>
    </row>
    <row r="63" spans="1:26" s="24" customFormat="1" hidden="1" outlineLevel="2" x14ac:dyDescent="0.25">
      <c r="A63" s="29"/>
      <c r="B63" s="11" t="str">
        <f>CONCATENATE("          ", "6321", " - ", "BUILDING DEPRECIATION")</f>
        <v xml:space="preserve">          6321 - BUILDING DEPRECIATION</v>
      </c>
      <c r="C63" s="11"/>
      <c r="D63" s="7">
        <v>29123.47</v>
      </c>
      <c r="E63" s="2"/>
      <c r="F63" s="6">
        <f t="shared" si="28"/>
        <v>6.1158261620585665E-2</v>
      </c>
      <c r="G63" s="2"/>
      <c r="H63" s="7">
        <v>32921.64</v>
      </c>
      <c r="I63" s="2"/>
      <c r="J63" s="6">
        <f t="shared" si="29"/>
        <v>6.7859435398871376E-2</v>
      </c>
      <c r="K63" s="2"/>
      <c r="L63" s="7">
        <f t="shared" si="30"/>
        <v>-3798.1699999999983</v>
      </c>
      <c r="M63" s="2"/>
      <c r="N63" s="6">
        <f t="shared" si="31"/>
        <v>-0.11537001194351187</v>
      </c>
      <c r="O63" s="11"/>
      <c r="P63" s="7">
        <v>58246.94</v>
      </c>
      <c r="Q63" s="2"/>
      <c r="R63" s="6">
        <f t="shared" si="32"/>
        <v>8.1522488449545974E-2</v>
      </c>
      <c r="S63" s="2"/>
      <c r="T63" s="7">
        <v>65843.28</v>
      </c>
      <c r="U63" s="2"/>
      <c r="V63" s="6">
        <f t="shared" si="33"/>
        <v>8.5512687832496131E-2</v>
      </c>
      <c r="W63" s="2"/>
      <c r="X63" s="7">
        <f t="shared" si="34"/>
        <v>-7596.3399999999965</v>
      </c>
      <c r="Y63" s="2"/>
      <c r="Z63" s="6">
        <f t="shared" si="35"/>
        <v>-0.11537001194351187</v>
      </c>
    </row>
    <row r="64" spans="1:26" s="24" customFormat="1" hidden="1" outlineLevel="2" x14ac:dyDescent="0.25">
      <c r="A64" s="29"/>
      <c r="B64" s="11" t="str">
        <f>CONCATENATE("          ", "6322", " - ", "EQUIPMENT DEPRECIATION EXPENSE")</f>
        <v xml:space="preserve">          6322 - EQUIPMENT DEPRECIATION EXPENSE</v>
      </c>
      <c r="C64" s="11"/>
      <c r="D64" s="7">
        <v>18426.809999999998</v>
      </c>
      <c r="E64" s="2"/>
      <c r="F64" s="6">
        <f t="shared" si="28"/>
        <v>3.869565222869472E-2</v>
      </c>
      <c r="G64" s="2"/>
      <c r="H64" s="7">
        <v>16787.400000000001</v>
      </c>
      <c r="I64" s="2"/>
      <c r="J64" s="6">
        <f t="shared" si="29"/>
        <v>3.460287779755241E-2</v>
      </c>
      <c r="K64" s="2"/>
      <c r="L64" s="7">
        <f t="shared" si="30"/>
        <v>1639.4099999999962</v>
      </c>
      <c r="M64" s="2"/>
      <c r="N64" s="6">
        <f t="shared" si="31"/>
        <v>9.7657171450015845E-2</v>
      </c>
      <c r="O64" s="11"/>
      <c r="P64" s="7">
        <v>36853.619999999995</v>
      </c>
      <c r="Q64" s="2"/>
      <c r="R64" s="6">
        <f t="shared" si="32"/>
        <v>5.1580371617358026E-2</v>
      </c>
      <c r="S64" s="2"/>
      <c r="T64" s="7">
        <v>33574.800000000003</v>
      </c>
      <c r="U64" s="2"/>
      <c r="V64" s="6">
        <f t="shared" si="33"/>
        <v>4.3604622847441557E-2</v>
      </c>
      <c r="W64" s="2"/>
      <c r="X64" s="7">
        <f t="shared" si="34"/>
        <v>3278.8199999999924</v>
      </c>
      <c r="Y64" s="2"/>
      <c r="Z64" s="6">
        <f t="shared" si="35"/>
        <v>9.7657171450015845E-2</v>
      </c>
    </row>
    <row r="65" spans="1:26" s="24" customFormat="1" hidden="1" outlineLevel="2" x14ac:dyDescent="0.25">
      <c r="A65" s="29"/>
      <c r="B65" s="11" t="str">
        <f>CONCATENATE("          ", "6326", " - ", "VEHICLES DEPRECIATION EXPENSE")</f>
        <v xml:space="preserve">          6326 - VEHICLES DEPRECIATION EXPENSE</v>
      </c>
      <c r="C65" s="11"/>
      <c r="D65" s="7">
        <v>424.25</v>
      </c>
      <c r="E65" s="2"/>
      <c r="F65" s="6">
        <f t="shared" si="28"/>
        <v>8.9091006300188352E-4</v>
      </c>
      <c r="G65" s="2"/>
      <c r="H65" s="7">
        <v>424.25</v>
      </c>
      <c r="I65" s="2"/>
      <c r="J65" s="6">
        <f t="shared" si="29"/>
        <v>8.7448151027625536E-4</v>
      </c>
      <c r="K65" s="2"/>
      <c r="L65" s="7">
        <f t="shared" si="30"/>
        <v>0</v>
      </c>
      <c r="M65" s="2"/>
      <c r="N65" s="6">
        <f t="shared" si="31"/>
        <v>0</v>
      </c>
      <c r="O65" s="11"/>
      <c r="P65" s="7">
        <v>848.5</v>
      </c>
      <c r="Q65" s="2"/>
      <c r="R65" s="6">
        <f t="shared" si="32"/>
        <v>1.1875616375631021E-3</v>
      </c>
      <c r="S65" s="2"/>
      <c r="T65" s="7">
        <v>848.5</v>
      </c>
      <c r="U65" s="2"/>
      <c r="V65" s="6">
        <f t="shared" si="33"/>
        <v>1.101972982297859E-3</v>
      </c>
      <c r="W65" s="2"/>
      <c r="X65" s="7">
        <f t="shared" si="34"/>
        <v>0</v>
      </c>
      <c r="Y65" s="2"/>
      <c r="Z65" s="6">
        <f t="shared" si="35"/>
        <v>0</v>
      </c>
    </row>
    <row r="66" spans="1:26" s="27" customFormat="1" outlineLevel="1" collapsed="1" x14ac:dyDescent="0.25">
      <c r="A66" s="28"/>
      <c r="B66" s="14" t="str">
        <f>CONCATENATE("     ","Discounts and Markdowns                           ")</f>
        <v xml:space="preserve">     Discounts and Markdowns                           </v>
      </c>
      <c r="C66" s="14"/>
      <c r="D66" s="1">
        <f>SUM(OSRRefD22_6x_0)</f>
        <v>6.18</v>
      </c>
      <c r="E66" s="1"/>
      <c r="F66" s="5">
        <f t="shared" ref="F66:F76" si="36">IF(D$12=0,0,D66/D$12)</f>
        <v>1.2977782414500035E-5</v>
      </c>
      <c r="G66" s="1"/>
      <c r="H66" s="1">
        <f>SUM(OSRRefH22_6x_0)</f>
        <v>12.31</v>
      </c>
      <c r="I66" s="1"/>
      <c r="J66" s="5">
        <f t="shared" ref="J66:J76" si="37">IF(H$12=0,0,H66/H$12)</f>
        <v>2.5373877175016392E-5</v>
      </c>
      <c r="K66" s="1"/>
      <c r="L66" s="1">
        <f t="shared" ref="L66:L76" si="38">+D66-H66</f>
        <v>-6.1300000000000008</v>
      </c>
      <c r="M66" s="1"/>
      <c r="N66" s="5">
        <f t="shared" ref="N66:N76" si="39">IF(H66=0,0,L66/H66)</f>
        <v>-0.49796913078797728</v>
      </c>
      <c r="O66" s="14"/>
      <c r="P66" s="1">
        <f>SUM(OSRRefP22_6x_0)</f>
        <v>20.09</v>
      </c>
      <c r="Q66" s="1"/>
      <c r="R66" s="5">
        <f t="shared" ref="R66:R76" si="40">IF(P$12=0,0,P66/P$12)</f>
        <v>2.8117988566461664E-5</v>
      </c>
      <c r="S66" s="1"/>
      <c r="T66" s="1">
        <f>SUM(OSRRefT22_6x_0)</f>
        <v>22.36</v>
      </c>
      <c r="U66" s="1"/>
      <c r="V66" s="5">
        <f t="shared" ref="V66:V76" si="41">IF(T$12=0,0,T66/T$12)</f>
        <v>2.9039618013176341E-5</v>
      </c>
      <c r="W66" s="1"/>
      <c r="X66" s="1">
        <f t="shared" ref="X66:X76" si="42">+P66-T66</f>
        <v>-2.2699999999999996</v>
      </c>
      <c r="Y66" s="1"/>
      <c r="Z66" s="5">
        <f t="shared" ref="Z66:Z76" si="43">IF(T66=0,0,X66/T66)</f>
        <v>-0.10152057245080499</v>
      </c>
    </row>
    <row r="67" spans="1:26" s="24" customFormat="1" hidden="1" outlineLevel="2" x14ac:dyDescent="0.25">
      <c r="A67" s="29"/>
      <c r="B67" s="11" t="str">
        <f>CONCATENATE("          ", "6382", " - ", "DISCOUNTS/MARK DOWNS")</f>
        <v xml:space="preserve">          6382 - DISCOUNTS/MARK DOWNS</v>
      </c>
      <c r="C67" s="11"/>
      <c r="D67" s="7">
        <v>6.18</v>
      </c>
      <c r="E67" s="2"/>
      <c r="F67" s="6">
        <f t="shared" si="36"/>
        <v>1.2977782414500035E-5</v>
      </c>
      <c r="G67" s="2"/>
      <c r="H67" s="7">
        <v>12.31</v>
      </c>
      <c r="I67" s="2"/>
      <c r="J67" s="6">
        <f t="shared" si="37"/>
        <v>2.5373877175016392E-5</v>
      </c>
      <c r="K67" s="2"/>
      <c r="L67" s="7">
        <f t="shared" si="38"/>
        <v>-6.1300000000000008</v>
      </c>
      <c r="M67" s="2"/>
      <c r="N67" s="6">
        <f t="shared" si="39"/>
        <v>-0.49796913078797728</v>
      </c>
      <c r="O67" s="11"/>
      <c r="P67" s="7">
        <v>20.09</v>
      </c>
      <c r="Q67" s="2"/>
      <c r="R67" s="6">
        <f t="shared" si="40"/>
        <v>2.8117988566461664E-5</v>
      </c>
      <c r="S67" s="2"/>
      <c r="T67" s="7">
        <v>22.36</v>
      </c>
      <c r="U67" s="2"/>
      <c r="V67" s="6">
        <f t="shared" si="41"/>
        <v>2.9039618013176341E-5</v>
      </c>
      <c r="W67" s="2"/>
      <c r="X67" s="7">
        <f t="shared" si="42"/>
        <v>-2.2699999999999996</v>
      </c>
      <c r="Y67" s="2"/>
      <c r="Z67" s="6">
        <f t="shared" si="43"/>
        <v>-0.10152057245080499</v>
      </c>
    </row>
    <row r="68" spans="1:26" s="27" customFormat="1" outlineLevel="1" collapsed="1" x14ac:dyDescent="0.25">
      <c r="A68" s="28"/>
      <c r="B68" s="14" t="str">
        <f>CONCATENATE("     ","Employees' Appreciation                           ")</f>
        <v xml:space="preserve">     Employees' Appreciation                           </v>
      </c>
      <c r="C68" s="14"/>
      <c r="D68" s="1">
        <f>SUM(OSRRefD22_7x_0)</f>
        <v>289.95999999999998</v>
      </c>
      <c r="E68" s="1"/>
      <c r="F68" s="5">
        <f t="shared" si="36"/>
        <v>6.0890579108550654E-4</v>
      </c>
      <c r="G68" s="1"/>
      <c r="H68" s="1">
        <f>SUM(OSRRefH22_7x_0)</f>
        <v>245.84</v>
      </c>
      <c r="I68" s="1"/>
      <c r="J68" s="5">
        <f t="shared" si="37"/>
        <v>5.0673549672672867E-4</v>
      </c>
      <c r="K68" s="1"/>
      <c r="L68" s="1">
        <f t="shared" si="38"/>
        <v>44.119999999999976</v>
      </c>
      <c r="M68" s="1"/>
      <c r="N68" s="5">
        <f t="shared" si="39"/>
        <v>0.17946631955743564</v>
      </c>
      <c r="O68" s="14"/>
      <c r="P68" s="1">
        <f>SUM(OSRRefP22_7x_0)</f>
        <v>399.72</v>
      </c>
      <c r="Q68" s="1"/>
      <c r="R68" s="5">
        <f t="shared" si="40"/>
        <v>5.5944860078576688E-4</v>
      </c>
      <c r="S68" s="1"/>
      <c r="T68" s="1">
        <f>SUM(OSRRefT22_7x_0)</f>
        <v>307.64</v>
      </c>
      <c r="U68" s="1"/>
      <c r="V68" s="5">
        <f t="shared" si="41"/>
        <v>3.9954150651044589E-4</v>
      </c>
      <c r="W68" s="1"/>
      <c r="X68" s="1">
        <f t="shared" si="42"/>
        <v>92.080000000000041</v>
      </c>
      <c r="Y68" s="1"/>
      <c r="Z68" s="5">
        <f t="shared" si="43"/>
        <v>0.29931088285008467</v>
      </c>
    </row>
    <row r="69" spans="1:26" s="24" customFormat="1" hidden="1" outlineLevel="2" x14ac:dyDescent="0.25">
      <c r="A69" s="29"/>
      <c r="B69" s="11" t="str">
        <f>CONCATENATE("          ", "6277", " - ", "EMPLOYEE APPRECIATION")</f>
        <v xml:space="preserve">          6277 - EMPLOYEE APPRECIATION</v>
      </c>
      <c r="C69" s="11"/>
      <c r="D69" s="7">
        <v>289.95999999999998</v>
      </c>
      <c r="E69" s="2"/>
      <c r="F69" s="6">
        <f t="shared" si="36"/>
        <v>6.0890579108550654E-4</v>
      </c>
      <c r="G69" s="2"/>
      <c r="H69" s="7">
        <v>245.84</v>
      </c>
      <c r="I69" s="2"/>
      <c r="J69" s="6">
        <f t="shared" si="37"/>
        <v>5.0673549672672867E-4</v>
      </c>
      <c r="K69" s="2"/>
      <c r="L69" s="7">
        <f t="shared" si="38"/>
        <v>44.119999999999976</v>
      </c>
      <c r="M69" s="2"/>
      <c r="N69" s="6">
        <f t="shared" si="39"/>
        <v>0.17946631955743564</v>
      </c>
      <c r="O69" s="11"/>
      <c r="P69" s="7">
        <v>399.72</v>
      </c>
      <c r="Q69" s="2"/>
      <c r="R69" s="6">
        <f t="shared" si="40"/>
        <v>5.5944860078576688E-4</v>
      </c>
      <c r="S69" s="2"/>
      <c r="T69" s="7">
        <v>307.64</v>
      </c>
      <c r="U69" s="2"/>
      <c r="V69" s="6">
        <f t="shared" si="41"/>
        <v>3.9954150651044589E-4</v>
      </c>
      <c r="W69" s="2"/>
      <c r="X69" s="7">
        <f t="shared" si="42"/>
        <v>92.080000000000041</v>
      </c>
      <c r="Y69" s="2"/>
      <c r="Z69" s="6">
        <f t="shared" si="43"/>
        <v>0.29931088285008467</v>
      </c>
    </row>
    <row r="70" spans="1:26" s="27" customFormat="1" outlineLevel="1" collapsed="1" x14ac:dyDescent="0.25">
      <c r="A70" s="28"/>
      <c r="B70" s="14" t="str">
        <f>CONCATENATE("     ","Equipment Rental                                  ")</f>
        <v xml:space="preserve">     Equipment Rental                                  </v>
      </c>
      <c r="C70" s="14"/>
      <c r="D70" s="1">
        <f>SUM(OSRRefD22_8x_0)</f>
        <v>2773.64</v>
      </c>
      <c r="E70" s="1"/>
      <c r="F70" s="5">
        <f t="shared" si="36"/>
        <v>5.8245463456559673E-3</v>
      </c>
      <c r="G70" s="1"/>
      <c r="H70" s="1">
        <f>SUM(OSRRefH22_8x_0)</f>
        <v>762.23</v>
      </c>
      <c r="I70" s="1"/>
      <c r="J70" s="5">
        <f t="shared" si="37"/>
        <v>1.5711397562236185E-3</v>
      </c>
      <c r="K70" s="1"/>
      <c r="L70" s="1">
        <f t="shared" si="38"/>
        <v>2011.4099999999999</v>
      </c>
      <c r="M70" s="1"/>
      <c r="N70" s="5">
        <f t="shared" si="39"/>
        <v>2.6388491662621516</v>
      </c>
      <c r="O70" s="14"/>
      <c r="P70" s="1">
        <f>SUM(OSRRefP22_8x_0)</f>
        <v>4458.12</v>
      </c>
      <c r="Q70" s="1"/>
      <c r="R70" s="5">
        <f t="shared" si="40"/>
        <v>6.2395902034800433E-3</v>
      </c>
      <c r="S70" s="1"/>
      <c r="T70" s="1">
        <f>SUM(OSRRefT22_8x_0)</f>
        <v>3094.98</v>
      </c>
      <c r="U70" s="1"/>
      <c r="V70" s="5">
        <f t="shared" si="41"/>
        <v>4.0195454811458196E-3</v>
      </c>
      <c r="W70" s="1"/>
      <c r="X70" s="1">
        <f t="shared" si="42"/>
        <v>1363.1399999999999</v>
      </c>
      <c r="Y70" s="1"/>
      <c r="Z70" s="5">
        <f t="shared" si="43"/>
        <v>0.44043580249306941</v>
      </c>
    </row>
    <row r="71" spans="1:26" s="24" customFormat="1" hidden="1" outlineLevel="2" x14ac:dyDescent="0.25">
      <c r="A71" s="29"/>
      <c r="B71" s="11" t="str">
        <f>CONCATENATE("          ", "6351", " - ", "EQUIPMENT RENTAL")</f>
        <v xml:space="preserve">          6351 - EQUIPMENT RENTAL</v>
      </c>
      <c r="C71" s="11"/>
      <c r="D71" s="7">
        <v>2773.64</v>
      </c>
      <c r="E71" s="2"/>
      <c r="F71" s="6">
        <f t="shared" si="36"/>
        <v>5.8245463456559673E-3</v>
      </c>
      <c r="G71" s="2"/>
      <c r="H71" s="7">
        <v>762.23</v>
      </c>
      <c r="I71" s="2"/>
      <c r="J71" s="6">
        <f t="shared" si="37"/>
        <v>1.5711397562236185E-3</v>
      </c>
      <c r="K71" s="2"/>
      <c r="L71" s="7">
        <f t="shared" si="38"/>
        <v>2011.4099999999999</v>
      </c>
      <c r="M71" s="2"/>
      <c r="N71" s="6">
        <f t="shared" si="39"/>
        <v>2.6388491662621516</v>
      </c>
      <c r="O71" s="11"/>
      <c r="P71" s="7">
        <v>4458.12</v>
      </c>
      <c r="Q71" s="2"/>
      <c r="R71" s="6">
        <f t="shared" si="40"/>
        <v>6.2395902034800433E-3</v>
      </c>
      <c r="S71" s="2"/>
      <c r="T71" s="7">
        <v>3094.98</v>
      </c>
      <c r="U71" s="2"/>
      <c r="V71" s="6">
        <f t="shared" si="41"/>
        <v>4.0195454811458196E-3</v>
      </c>
      <c r="W71" s="2"/>
      <c r="X71" s="7">
        <f t="shared" si="42"/>
        <v>1363.1399999999999</v>
      </c>
      <c r="Y71" s="2"/>
      <c r="Z71" s="6">
        <f t="shared" si="43"/>
        <v>0.44043580249306941</v>
      </c>
    </row>
    <row r="72" spans="1:26" s="27" customFormat="1" outlineLevel="1" collapsed="1" x14ac:dyDescent="0.25">
      <c r="A72" s="28"/>
      <c r="B72" s="14" t="str">
        <f>CONCATENATE("     ","Freight out/Postage                               ")</f>
        <v xml:space="preserve">     Freight out/Postage                               </v>
      </c>
      <c r="C72" s="14"/>
      <c r="D72" s="1">
        <f>SUM(OSRRefD22_9x_0)</f>
        <v>44.96</v>
      </c>
      <c r="E72" s="1"/>
      <c r="F72" s="5">
        <f t="shared" si="36"/>
        <v>9.4414417047883757E-5</v>
      </c>
      <c r="G72" s="1"/>
      <c r="H72" s="1">
        <f>SUM(OSRRefH22_9x_0)</f>
        <v>7.61</v>
      </c>
      <c r="I72" s="1"/>
      <c r="J72" s="5">
        <f t="shared" si="37"/>
        <v>1.5686044297471546E-5</v>
      </c>
      <c r="K72" s="1"/>
      <c r="L72" s="1">
        <f t="shared" si="38"/>
        <v>37.35</v>
      </c>
      <c r="M72" s="1"/>
      <c r="N72" s="5">
        <f t="shared" si="39"/>
        <v>4.9080157687253614</v>
      </c>
      <c r="O72" s="14"/>
      <c r="P72" s="1">
        <f>SUM(OSRRefP22_9x_0)</f>
        <v>116.65</v>
      </c>
      <c r="Q72" s="1"/>
      <c r="R72" s="5">
        <f t="shared" si="40"/>
        <v>1.6326348264199866E-4</v>
      </c>
      <c r="S72" s="1"/>
      <c r="T72" s="1">
        <f>SUM(OSRRefT22_9x_0)</f>
        <v>73.13</v>
      </c>
      <c r="U72" s="1"/>
      <c r="V72" s="5">
        <f t="shared" si="41"/>
        <v>9.4976174655795435E-5</v>
      </c>
      <c r="W72" s="1"/>
      <c r="X72" s="1">
        <f t="shared" si="42"/>
        <v>43.52000000000001</v>
      </c>
      <c r="Y72" s="1"/>
      <c r="Z72" s="5">
        <f t="shared" si="43"/>
        <v>0.59510460823191591</v>
      </c>
    </row>
    <row r="73" spans="1:26" s="24" customFormat="1" hidden="1" outlineLevel="2" x14ac:dyDescent="0.25">
      <c r="A73" s="29"/>
      <c r="B73" s="11" t="str">
        <f>CONCATENATE("          ", "6305", " - ", "FREIGHT OUT")</f>
        <v xml:space="preserve">          6305 - FREIGHT OUT</v>
      </c>
      <c r="C73" s="11"/>
      <c r="D73" s="7">
        <v>44.96</v>
      </c>
      <c r="E73" s="2"/>
      <c r="F73" s="6">
        <f t="shared" si="36"/>
        <v>9.4414417047883757E-5</v>
      </c>
      <c r="G73" s="2"/>
      <c r="H73" s="7">
        <v>7.61</v>
      </c>
      <c r="I73" s="2"/>
      <c r="J73" s="6">
        <f t="shared" si="37"/>
        <v>1.5686044297471546E-5</v>
      </c>
      <c r="K73" s="2"/>
      <c r="L73" s="7">
        <f t="shared" si="38"/>
        <v>37.35</v>
      </c>
      <c r="M73" s="2"/>
      <c r="N73" s="6">
        <f t="shared" si="39"/>
        <v>4.9080157687253614</v>
      </c>
      <c r="O73" s="11"/>
      <c r="P73" s="7">
        <v>116.65</v>
      </c>
      <c r="Q73" s="2"/>
      <c r="R73" s="6">
        <f t="shared" si="40"/>
        <v>1.6326348264199866E-4</v>
      </c>
      <c r="S73" s="2"/>
      <c r="T73" s="7">
        <v>73.13</v>
      </c>
      <c r="U73" s="2"/>
      <c r="V73" s="6">
        <f t="shared" si="41"/>
        <v>9.4976174655795435E-5</v>
      </c>
      <c r="W73" s="2"/>
      <c r="X73" s="7">
        <f t="shared" si="42"/>
        <v>43.52000000000001</v>
      </c>
      <c r="Y73" s="2"/>
      <c r="Z73" s="6">
        <f t="shared" si="43"/>
        <v>0.59510460823191591</v>
      </c>
    </row>
    <row r="74" spans="1:26" s="27" customFormat="1" outlineLevel="1" collapsed="1" x14ac:dyDescent="0.25">
      <c r="A74" s="28"/>
      <c r="B74" s="14" t="str">
        <f>CONCATENATE("     ","General                                           ")</f>
        <v xml:space="preserve">     General                                           </v>
      </c>
      <c r="C74" s="14"/>
      <c r="D74" s="1">
        <f>SUM(OSRRefD22_10x_0)</f>
        <v>4577.67</v>
      </c>
      <c r="E74" s="1"/>
      <c r="F74" s="5">
        <f t="shared" si="36"/>
        <v>9.6129458293502234E-3</v>
      </c>
      <c r="G74" s="1"/>
      <c r="H74" s="1">
        <f>SUM(OSRRefH22_10x_0)</f>
        <v>3125.12</v>
      </c>
      <c r="I74" s="1"/>
      <c r="J74" s="5">
        <f t="shared" si="37"/>
        <v>6.4416255919729666E-3</v>
      </c>
      <c r="K74" s="1"/>
      <c r="L74" s="1">
        <f t="shared" si="38"/>
        <v>1452.5500000000002</v>
      </c>
      <c r="M74" s="1"/>
      <c r="N74" s="5">
        <f t="shared" si="39"/>
        <v>0.46479815175097283</v>
      </c>
      <c r="O74" s="14"/>
      <c r="P74" s="1">
        <f>SUM(OSRRefP22_10x_0)</f>
        <v>26619.52</v>
      </c>
      <c r="Q74" s="1"/>
      <c r="R74" s="5">
        <f t="shared" si="40"/>
        <v>3.7256712742891863E-2</v>
      </c>
      <c r="S74" s="1"/>
      <c r="T74" s="1">
        <f>SUM(OSRRefT22_10x_0)</f>
        <v>22948.43</v>
      </c>
      <c r="U74" s="1"/>
      <c r="V74" s="5">
        <f t="shared" si="41"/>
        <v>2.9803830107429177E-2</v>
      </c>
      <c r="W74" s="1"/>
      <c r="X74" s="1">
        <f t="shared" si="42"/>
        <v>3671.09</v>
      </c>
      <c r="Y74" s="1"/>
      <c r="Z74" s="5">
        <f t="shared" si="43"/>
        <v>0.15997129215375519</v>
      </c>
    </row>
    <row r="75" spans="1:26" s="24" customFormat="1" hidden="1" outlineLevel="2" x14ac:dyDescent="0.25">
      <c r="A75" s="29"/>
      <c r="B75" s="11" t="str">
        <f>CONCATENATE("          ", "6269", " - ", "ENTERTAINMENT")</f>
        <v xml:space="preserve">          6269 - ENTERTAINMENT</v>
      </c>
      <c r="C75" s="11"/>
      <c r="D75" s="7">
        <v>2600</v>
      </c>
      <c r="E75" s="2"/>
      <c r="F75" s="6">
        <f t="shared" si="36"/>
        <v>5.4599084591747723E-3</v>
      </c>
      <c r="G75" s="2"/>
      <c r="H75" s="7">
        <v>1550</v>
      </c>
      <c r="I75" s="2"/>
      <c r="J75" s="6">
        <f t="shared" si="37"/>
        <v>3.1949236085520231E-3</v>
      </c>
      <c r="K75" s="2"/>
      <c r="L75" s="7">
        <f t="shared" si="38"/>
        <v>1050</v>
      </c>
      <c r="M75" s="2"/>
      <c r="N75" s="6">
        <f t="shared" si="39"/>
        <v>0.67741935483870963</v>
      </c>
      <c r="O75" s="11"/>
      <c r="P75" s="7">
        <v>2600</v>
      </c>
      <c r="Q75" s="2"/>
      <c r="R75" s="6">
        <f t="shared" si="40"/>
        <v>3.6389631793330175E-3</v>
      </c>
      <c r="S75" s="2"/>
      <c r="T75" s="7">
        <v>1550</v>
      </c>
      <c r="U75" s="2"/>
      <c r="V75" s="6">
        <f t="shared" si="41"/>
        <v>2.0130325545806497E-3</v>
      </c>
      <c r="W75" s="2"/>
      <c r="X75" s="7">
        <f t="shared" si="42"/>
        <v>1050</v>
      </c>
      <c r="Y75" s="2"/>
      <c r="Z75" s="6">
        <f t="shared" si="43"/>
        <v>0.67741935483870963</v>
      </c>
    </row>
    <row r="76" spans="1:26" s="24" customFormat="1" hidden="1" outlineLevel="2" x14ac:dyDescent="0.25">
      <c r="A76" s="29"/>
      <c r="B76" s="11" t="str">
        <f>CONCATENATE("          ", "6279", " - ", "GENERAL EXPENSE")</f>
        <v xml:space="preserve">          6279 - GENERAL EXPENSE</v>
      </c>
      <c r="C76" s="11"/>
      <c r="D76" s="7">
        <v>1977.67</v>
      </c>
      <c r="E76" s="2"/>
      <c r="F76" s="6">
        <f t="shared" si="36"/>
        <v>4.1530373701754511E-3</v>
      </c>
      <c r="G76" s="2"/>
      <c r="H76" s="7">
        <v>1575.12</v>
      </c>
      <c r="I76" s="2"/>
      <c r="J76" s="6">
        <f t="shared" si="37"/>
        <v>3.2467019834209435E-3</v>
      </c>
      <c r="K76" s="2"/>
      <c r="L76" s="7">
        <f t="shared" si="38"/>
        <v>402.55000000000018</v>
      </c>
      <c r="M76" s="2"/>
      <c r="N76" s="6">
        <f t="shared" si="39"/>
        <v>0.25556782975265391</v>
      </c>
      <c r="O76" s="11"/>
      <c r="P76" s="7">
        <v>24019.52</v>
      </c>
      <c r="Q76" s="2"/>
      <c r="R76" s="6">
        <f t="shared" si="40"/>
        <v>3.3617749563558848E-2</v>
      </c>
      <c r="S76" s="2"/>
      <c r="T76" s="7">
        <v>21398.43</v>
      </c>
      <c r="U76" s="2"/>
      <c r="V76" s="6">
        <f t="shared" si="41"/>
        <v>2.7790797552848526E-2</v>
      </c>
      <c r="W76" s="2"/>
      <c r="X76" s="7">
        <f t="shared" si="42"/>
        <v>2621.09</v>
      </c>
      <c r="Y76" s="2"/>
      <c r="Z76" s="6">
        <f t="shared" si="43"/>
        <v>0.12248982752472962</v>
      </c>
    </row>
    <row r="77" spans="1:26" s="27" customFormat="1" outlineLevel="1" collapsed="1" x14ac:dyDescent="0.25">
      <c r="A77" s="28"/>
      <c r="B77" s="14" t="str">
        <f>CONCATENATE("     ","Insurance                                         ")</f>
        <v xml:space="preserve">     Insurance                                         </v>
      </c>
      <c r="C77" s="14"/>
      <c r="D77" s="1">
        <f>SUM(OSRRefD22_11x_0)</f>
        <v>4483.67</v>
      </c>
      <c r="E77" s="1"/>
      <c r="F77" s="5">
        <f t="shared" ref="F77:F88" si="44">IF(D$12=0,0,D77/D$12)</f>
        <v>9.415549138903136E-3</v>
      </c>
      <c r="G77" s="1"/>
      <c r="H77" s="1">
        <f>SUM(OSRRefH22_11x_0)</f>
        <v>4222.62</v>
      </c>
      <c r="I77" s="1"/>
      <c r="J77" s="5">
        <f t="shared" ref="J77:J88" si="45">IF(H$12=0,0,H77/H$12)</f>
        <v>8.7038376309315768E-3</v>
      </c>
      <c r="K77" s="1"/>
      <c r="L77" s="1">
        <f t="shared" ref="L77:L88" si="46">+D77-H77</f>
        <v>261.05000000000018</v>
      </c>
      <c r="M77" s="1"/>
      <c r="N77" s="5">
        <f t="shared" ref="N77:N88" si="47">IF(H77=0,0,L77/H77)</f>
        <v>6.1821807313942573E-2</v>
      </c>
      <c r="O77" s="14"/>
      <c r="P77" s="1">
        <f>SUM(OSRRefP22_11x_0)</f>
        <v>8967.34</v>
      </c>
      <c r="Q77" s="1"/>
      <c r="R77" s="5">
        <f t="shared" ref="R77:R88" si="48">IF(P$12=0,0,P77/P$12)</f>
        <v>1.2550700029446209E-2</v>
      </c>
      <c r="S77" s="1"/>
      <c r="T77" s="1">
        <f>SUM(OSRRefT22_11x_0)</f>
        <v>8445.24</v>
      </c>
      <c r="U77" s="1"/>
      <c r="V77" s="5">
        <f t="shared" ref="V77:V88" si="49">IF(T$12=0,0,T77/T$12)</f>
        <v>1.0968092291126896E-2</v>
      </c>
      <c r="W77" s="1"/>
      <c r="X77" s="1">
        <f t="shared" ref="X77:X88" si="50">+P77-T77</f>
        <v>522.10000000000036</v>
      </c>
      <c r="Y77" s="1"/>
      <c r="Z77" s="5">
        <f t="shared" ref="Z77:Z88" si="51">IF(T77=0,0,X77/T77)</f>
        <v>6.1821807313942573E-2</v>
      </c>
    </row>
    <row r="78" spans="1:26" s="24" customFormat="1" hidden="1" outlineLevel="2" x14ac:dyDescent="0.25">
      <c r="A78" s="29"/>
      <c r="B78" s="11" t="str">
        <f>CONCATENATE("          ", "6314", " - ", "LIABILITY INSURANCE")</f>
        <v xml:space="preserve">          6314 - LIABILITY INSURANCE</v>
      </c>
      <c r="C78" s="11"/>
      <c r="D78" s="7">
        <v>4483.67</v>
      </c>
      <c r="E78" s="2"/>
      <c r="F78" s="6">
        <f t="shared" si="44"/>
        <v>9.415549138903136E-3</v>
      </c>
      <c r="G78" s="2"/>
      <c r="H78" s="7">
        <v>4222.62</v>
      </c>
      <c r="I78" s="2"/>
      <c r="J78" s="6">
        <f t="shared" si="45"/>
        <v>8.7038376309315768E-3</v>
      </c>
      <c r="K78" s="2"/>
      <c r="L78" s="7">
        <f t="shared" si="46"/>
        <v>261.05000000000018</v>
      </c>
      <c r="M78" s="2"/>
      <c r="N78" s="6">
        <f t="shared" si="47"/>
        <v>6.1821807313942573E-2</v>
      </c>
      <c r="O78" s="11"/>
      <c r="P78" s="7">
        <v>8967.34</v>
      </c>
      <c r="Q78" s="2"/>
      <c r="R78" s="6">
        <f t="shared" si="48"/>
        <v>1.2550700029446209E-2</v>
      </c>
      <c r="S78" s="2"/>
      <c r="T78" s="7">
        <v>8445.24</v>
      </c>
      <c r="U78" s="2"/>
      <c r="V78" s="6">
        <f t="shared" si="49"/>
        <v>1.0968092291126896E-2</v>
      </c>
      <c r="W78" s="2"/>
      <c r="X78" s="7">
        <f t="shared" si="50"/>
        <v>522.10000000000036</v>
      </c>
      <c r="Y78" s="2"/>
      <c r="Z78" s="6">
        <f t="shared" si="51"/>
        <v>6.1821807313942573E-2</v>
      </c>
    </row>
    <row r="79" spans="1:26" s="27" customFormat="1" outlineLevel="1" collapsed="1" x14ac:dyDescent="0.25">
      <c r="A79" s="28"/>
      <c r="B79" s="14" t="str">
        <f>CONCATENATE("     ","Interest                                          ")</f>
        <v xml:space="preserve">     Interest                                          </v>
      </c>
      <c r="C79" s="14"/>
      <c r="D79" s="1">
        <f>SUM(OSRRefD22_12x_0)</f>
        <v>11740</v>
      </c>
      <c r="E79" s="1"/>
      <c r="F79" s="5">
        <f t="shared" si="44"/>
        <v>2.465358665796609E-2</v>
      </c>
      <c r="G79" s="1"/>
      <c r="H79" s="1">
        <f>SUM(OSRRefH22_12x_0)</f>
        <v>12229</v>
      </c>
      <c r="I79" s="1"/>
      <c r="J79" s="5">
        <f t="shared" si="45"/>
        <v>2.5206916650956576E-2</v>
      </c>
      <c r="K79" s="1"/>
      <c r="L79" s="1">
        <f t="shared" si="46"/>
        <v>-489</v>
      </c>
      <c r="M79" s="1"/>
      <c r="N79" s="5">
        <f t="shared" si="47"/>
        <v>-3.9986916346389727E-2</v>
      </c>
      <c r="O79" s="14"/>
      <c r="P79" s="1">
        <f>SUM(OSRRefP22_12x_0)</f>
        <v>23480</v>
      </c>
      <c r="Q79" s="1"/>
      <c r="R79" s="5">
        <f t="shared" si="48"/>
        <v>3.2862636711822789E-2</v>
      </c>
      <c r="S79" s="1"/>
      <c r="T79" s="1">
        <f>SUM(OSRRefT22_12x_0)</f>
        <v>24458</v>
      </c>
      <c r="U79" s="1"/>
      <c r="V79" s="5">
        <f t="shared" si="49"/>
        <v>3.1764354980602282E-2</v>
      </c>
      <c r="W79" s="1"/>
      <c r="X79" s="1">
        <f t="shared" si="50"/>
        <v>-978</v>
      </c>
      <c r="Y79" s="1"/>
      <c r="Z79" s="5">
        <f t="shared" si="51"/>
        <v>-3.9986916346389727E-2</v>
      </c>
    </row>
    <row r="80" spans="1:26" s="24" customFormat="1" hidden="1" outlineLevel="2" x14ac:dyDescent="0.25">
      <c r="A80" s="29"/>
      <c r="B80" s="11" t="str">
        <f>CONCATENATE("          ", "6401", " - ", "INTEREST EXPENSE")</f>
        <v xml:space="preserve">          6401 - INTEREST EXPENSE</v>
      </c>
      <c r="C80" s="11"/>
      <c r="D80" s="7">
        <v>11740</v>
      </c>
      <c r="E80" s="2"/>
      <c r="F80" s="6">
        <f t="shared" si="44"/>
        <v>2.465358665796609E-2</v>
      </c>
      <c r="G80" s="2"/>
      <c r="H80" s="7">
        <v>12229</v>
      </c>
      <c r="I80" s="2"/>
      <c r="J80" s="6">
        <f t="shared" si="45"/>
        <v>2.5206916650956576E-2</v>
      </c>
      <c r="K80" s="2"/>
      <c r="L80" s="7">
        <f t="shared" si="46"/>
        <v>-489</v>
      </c>
      <c r="M80" s="2"/>
      <c r="N80" s="6">
        <f t="shared" si="47"/>
        <v>-3.9986916346389727E-2</v>
      </c>
      <c r="O80" s="11"/>
      <c r="P80" s="7">
        <v>23480</v>
      </c>
      <c r="Q80" s="2"/>
      <c r="R80" s="6">
        <f t="shared" si="48"/>
        <v>3.2862636711822789E-2</v>
      </c>
      <c r="S80" s="2"/>
      <c r="T80" s="7">
        <v>24458</v>
      </c>
      <c r="U80" s="2"/>
      <c r="V80" s="6">
        <f t="shared" si="49"/>
        <v>3.1764354980602282E-2</v>
      </c>
      <c r="W80" s="2"/>
      <c r="X80" s="7">
        <f t="shared" si="50"/>
        <v>-978</v>
      </c>
      <c r="Y80" s="2"/>
      <c r="Z80" s="6">
        <f t="shared" si="51"/>
        <v>-3.9986916346389727E-2</v>
      </c>
    </row>
    <row r="81" spans="1:26" s="27" customFormat="1" outlineLevel="1" collapsed="1" x14ac:dyDescent="0.25">
      <c r="A81" s="28"/>
      <c r="B81" s="14" t="str">
        <f>CONCATENATE("     ","Professional Services                             ")</f>
        <v xml:space="preserve">     Professional Services                             </v>
      </c>
      <c r="C81" s="14"/>
      <c r="D81" s="1">
        <f>SUM(OSRRefD22_13x_0)</f>
        <v>125</v>
      </c>
      <c r="E81" s="1"/>
      <c r="F81" s="5">
        <f t="shared" si="44"/>
        <v>2.6249559899878716E-4</v>
      </c>
      <c r="G81" s="1"/>
      <c r="H81" s="1">
        <f>SUM(OSRRefH22_13x_0)</f>
        <v>0</v>
      </c>
      <c r="I81" s="1"/>
      <c r="J81" s="5">
        <f t="shared" si="45"/>
        <v>0</v>
      </c>
      <c r="K81" s="1"/>
      <c r="L81" s="1">
        <f t="shared" si="46"/>
        <v>125</v>
      </c>
      <c r="M81" s="1"/>
      <c r="N81" s="5">
        <f t="shared" si="47"/>
        <v>0</v>
      </c>
      <c r="O81" s="14"/>
      <c r="P81" s="1">
        <f>SUM(OSRRefP22_13x_0)</f>
        <v>125</v>
      </c>
      <c r="Q81" s="1"/>
      <c r="R81" s="5">
        <f t="shared" si="48"/>
        <v>1.7495015285254892E-4</v>
      </c>
      <c r="S81" s="1"/>
      <c r="T81" s="1">
        <f>SUM(OSRRefT22_13x_0)</f>
        <v>0</v>
      </c>
      <c r="U81" s="1"/>
      <c r="V81" s="5">
        <f t="shared" si="49"/>
        <v>0</v>
      </c>
      <c r="W81" s="1"/>
      <c r="X81" s="1">
        <f t="shared" si="50"/>
        <v>125</v>
      </c>
      <c r="Y81" s="1"/>
      <c r="Z81" s="5">
        <f t="shared" si="51"/>
        <v>0</v>
      </c>
    </row>
    <row r="82" spans="1:26" s="24" customFormat="1" hidden="1" outlineLevel="2" x14ac:dyDescent="0.25">
      <c r="A82" s="29"/>
      <c r="B82" s="11" t="str">
        <f>CONCATENATE("          ", "6336", " - ", "PROFESSIONAL SERVICES")</f>
        <v xml:space="preserve">          6336 - PROFESSIONAL SERVICES</v>
      </c>
      <c r="C82" s="11"/>
      <c r="D82" s="7">
        <v>125</v>
      </c>
      <c r="E82" s="2"/>
      <c r="F82" s="6">
        <f t="shared" si="44"/>
        <v>2.6249559899878716E-4</v>
      </c>
      <c r="G82" s="2"/>
      <c r="H82" s="7"/>
      <c r="I82" s="2"/>
      <c r="J82" s="6">
        <f t="shared" si="45"/>
        <v>0</v>
      </c>
      <c r="K82" s="2"/>
      <c r="L82" s="7">
        <f t="shared" si="46"/>
        <v>125</v>
      </c>
      <c r="M82" s="2"/>
      <c r="N82" s="6">
        <f t="shared" si="47"/>
        <v>0</v>
      </c>
      <c r="O82" s="11"/>
      <c r="P82" s="7">
        <v>125</v>
      </c>
      <c r="Q82" s="2"/>
      <c r="R82" s="6">
        <f t="shared" si="48"/>
        <v>1.7495015285254892E-4</v>
      </c>
      <c r="S82" s="2"/>
      <c r="T82" s="7"/>
      <c r="U82" s="2"/>
      <c r="V82" s="6">
        <f t="shared" si="49"/>
        <v>0</v>
      </c>
      <c r="W82" s="2"/>
      <c r="X82" s="7">
        <f t="shared" si="50"/>
        <v>125</v>
      </c>
      <c r="Y82" s="2"/>
      <c r="Z82" s="6">
        <f t="shared" si="51"/>
        <v>0</v>
      </c>
    </row>
    <row r="83" spans="1:26" s="27" customFormat="1" outlineLevel="1" collapsed="1" x14ac:dyDescent="0.25">
      <c r="A83" s="28"/>
      <c r="B83" s="14" t="str">
        <f>CONCATENATE("     ","Rent                                              ")</f>
        <v xml:space="preserve">     Rent                                              </v>
      </c>
      <c r="C83" s="14"/>
      <c r="D83" s="1">
        <f>SUM(OSRRefD22_14x_0)</f>
        <v>3000</v>
      </c>
      <c r="E83" s="1"/>
      <c r="F83" s="5">
        <f t="shared" si="44"/>
        <v>6.299894375970891E-3</v>
      </c>
      <c r="G83" s="1"/>
      <c r="H83" s="1">
        <f>SUM(OSRRefH22_14x_0)</f>
        <v>3000</v>
      </c>
      <c r="I83" s="1"/>
      <c r="J83" s="5">
        <f t="shared" si="45"/>
        <v>6.1837231133264961E-3</v>
      </c>
      <c r="K83" s="1"/>
      <c r="L83" s="1">
        <f t="shared" si="46"/>
        <v>0</v>
      </c>
      <c r="M83" s="1"/>
      <c r="N83" s="5">
        <f t="shared" si="47"/>
        <v>0</v>
      </c>
      <c r="O83" s="14"/>
      <c r="P83" s="1">
        <f>SUM(OSRRefP22_14x_0)</f>
        <v>6000</v>
      </c>
      <c r="Q83" s="1"/>
      <c r="R83" s="5">
        <f t="shared" si="48"/>
        <v>8.397607336922349E-3</v>
      </c>
      <c r="S83" s="1"/>
      <c r="T83" s="1">
        <f>SUM(OSRRefT22_14x_0)</f>
        <v>6000</v>
      </c>
      <c r="U83" s="1"/>
      <c r="V83" s="5">
        <f t="shared" si="49"/>
        <v>7.7923840822476768E-3</v>
      </c>
      <c r="W83" s="1"/>
      <c r="X83" s="1">
        <f t="shared" si="50"/>
        <v>0</v>
      </c>
      <c r="Y83" s="1"/>
      <c r="Z83" s="5">
        <f t="shared" si="51"/>
        <v>0</v>
      </c>
    </row>
    <row r="84" spans="1:26" s="24" customFormat="1" hidden="1" outlineLevel="2" x14ac:dyDescent="0.25">
      <c r="A84" s="29"/>
      <c r="B84" s="11" t="str">
        <f>CONCATENATE("          ", "6273", " - ", "RENT")</f>
        <v xml:space="preserve">          6273 - RENT</v>
      </c>
      <c r="C84" s="11"/>
      <c r="D84" s="7">
        <v>3000</v>
      </c>
      <c r="E84" s="2"/>
      <c r="F84" s="6">
        <f t="shared" si="44"/>
        <v>6.299894375970891E-3</v>
      </c>
      <c r="G84" s="2"/>
      <c r="H84" s="7">
        <v>3000</v>
      </c>
      <c r="I84" s="2"/>
      <c r="J84" s="6">
        <f t="shared" si="45"/>
        <v>6.1837231133264961E-3</v>
      </c>
      <c r="K84" s="2"/>
      <c r="L84" s="7">
        <f t="shared" si="46"/>
        <v>0</v>
      </c>
      <c r="M84" s="2"/>
      <c r="N84" s="6">
        <f t="shared" si="47"/>
        <v>0</v>
      </c>
      <c r="O84" s="11"/>
      <c r="P84" s="7">
        <v>6000</v>
      </c>
      <c r="Q84" s="2"/>
      <c r="R84" s="6">
        <f t="shared" si="48"/>
        <v>8.397607336922349E-3</v>
      </c>
      <c r="S84" s="2"/>
      <c r="T84" s="7">
        <v>6000</v>
      </c>
      <c r="U84" s="2"/>
      <c r="V84" s="6">
        <f t="shared" si="49"/>
        <v>7.7923840822476768E-3</v>
      </c>
      <c r="W84" s="2"/>
      <c r="X84" s="7">
        <f t="shared" si="50"/>
        <v>0</v>
      </c>
      <c r="Y84" s="2"/>
      <c r="Z84" s="6">
        <f t="shared" si="51"/>
        <v>0</v>
      </c>
    </row>
    <row r="85" spans="1:26" s="27" customFormat="1" outlineLevel="1" collapsed="1" x14ac:dyDescent="0.25">
      <c r="A85" s="28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SUM(OSRRefD22_15x_0)</f>
        <v>23172.27</v>
      </c>
      <c r="E85" s="1"/>
      <c r="F85" s="5">
        <f t="shared" si="44"/>
        <v>4.8660951150493001E-2</v>
      </c>
      <c r="G85" s="1"/>
      <c r="H85" s="1">
        <f>SUM(OSRRefH22_15x_0)</f>
        <v>26370.77</v>
      </c>
      <c r="I85" s="1"/>
      <c r="J85" s="5">
        <f t="shared" si="45"/>
        <v>5.4356513321738992E-2</v>
      </c>
      <c r="K85" s="1"/>
      <c r="L85" s="1">
        <f t="shared" si="46"/>
        <v>-3198.5</v>
      </c>
      <c r="M85" s="1"/>
      <c r="N85" s="5">
        <f t="shared" si="47"/>
        <v>-0.12128959450179119</v>
      </c>
      <c r="O85" s="14"/>
      <c r="P85" s="1">
        <f>SUM(OSRRefP22_15x_0)</f>
        <v>50802.61</v>
      </c>
      <c r="Q85" s="1"/>
      <c r="R85" s="5">
        <f t="shared" si="48"/>
        <v>7.1103395078467441E-2</v>
      </c>
      <c r="S85" s="1"/>
      <c r="T85" s="1">
        <f>SUM(OSRRefT22_15x_0)</f>
        <v>51942.96</v>
      </c>
      <c r="U85" s="1"/>
      <c r="V85" s="5">
        <f t="shared" si="49"/>
        <v>6.74599157814713E-2</v>
      </c>
      <c r="W85" s="1"/>
      <c r="X85" s="1">
        <f t="shared" si="50"/>
        <v>-1140.3499999999985</v>
      </c>
      <c r="Y85" s="1"/>
      <c r="Z85" s="5">
        <f t="shared" si="51"/>
        <v>-2.1953889420240943E-2</v>
      </c>
    </row>
    <row r="86" spans="1:26" s="24" customFormat="1" hidden="1" outlineLevel="2" x14ac:dyDescent="0.25">
      <c r="A86" s="29"/>
      <c r="B86" s="11" t="str">
        <f>CONCATENATE("          ", "6371", " - ", "COMPUTER SOFTWARE MAINTENANCE")</f>
        <v xml:space="preserve">          6371 - COMPUTER SOFTWARE MAINTENANCE</v>
      </c>
      <c r="C86" s="11"/>
      <c r="D86" s="7"/>
      <c r="E86" s="2"/>
      <c r="F86" s="6">
        <f t="shared" si="44"/>
        <v>0</v>
      </c>
      <c r="G86" s="2"/>
      <c r="H86" s="7">
        <v>249</v>
      </c>
      <c r="I86" s="2"/>
      <c r="J86" s="6">
        <f t="shared" si="45"/>
        <v>5.1324901840609925E-4</v>
      </c>
      <c r="K86" s="2"/>
      <c r="L86" s="7">
        <f t="shared" si="46"/>
        <v>-249</v>
      </c>
      <c r="M86" s="2"/>
      <c r="N86" s="6">
        <f t="shared" si="47"/>
        <v>-1</v>
      </c>
      <c r="O86" s="11"/>
      <c r="P86" s="7"/>
      <c r="Q86" s="2"/>
      <c r="R86" s="6">
        <f t="shared" si="48"/>
        <v>0</v>
      </c>
      <c r="S86" s="2"/>
      <c r="T86" s="7">
        <v>249</v>
      </c>
      <c r="U86" s="2"/>
      <c r="V86" s="6">
        <f t="shared" si="49"/>
        <v>3.2338393941327862E-4</v>
      </c>
      <c r="W86" s="2"/>
      <c r="X86" s="7">
        <f t="shared" si="50"/>
        <v>-249</v>
      </c>
      <c r="Y86" s="2"/>
      <c r="Z86" s="6">
        <f t="shared" si="51"/>
        <v>-1</v>
      </c>
    </row>
    <row r="87" spans="1:26" s="24" customFormat="1" hidden="1" outlineLevel="2" x14ac:dyDescent="0.25">
      <c r="A87" s="29"/>
      <c r="B87" s="11" t="str">
        <f>CONCATENATE("          ", "6373", " - ", "MAINTENANCE CONTRACTS")</f>
        <v xml:space="preserve">          6373 - MAINTENANCE CONTRACTS</v>
      </c>
      <c r="C87" s="11"/>
      <c r="D87" s="7">
        <v>10062.32</v>
      </c>
      <c r="E87" s="2"/>
      <c r="F87" s="6">
        <f t="shared" si="44"/>
        <v>2.1130517725739806E-2</v>
      </c>
      <c r="G87" s="2"/>
      <c r="H87" s="7">
        <v>15478.2</v>
      </c>
      <c r="I87" s="2"/>
      <c r="J87" s="6">
        <f t="shared" si="45"/>
        <v>3.1904301030896726E-2</v>
      </c>
      <c r="K87" s="2"/>
      <c r="L87" s="7">
        <f t="shared" si="46"/>
        <v>-5415.880000000001</v>
      </c>
      <c r="M87" s="2"/>
      <c r="N87" s="6">
        <f t="shared" si="47"/>
        <v>-0.3499037355764883</v>
      </c>
      <c r="O87" s="11"/>
      <c r="P87" s="7">
        <v>16091.2</v>
      </c>
      <c r="Q87" s="2"/>
      <c r="R87" s="6">
        <f t="shared" si="48"/>
        <v>2.2521263196647483E-2</v>
      </c>
      <c r="S87" s="2"/>
      <c r="T87" s="7">
        <v>22317.21</v>
      </c>
      <c r="U87" s="2"/>
      <c r="V87" s="6">
        <f t="shared" si="49"/>
        <v>2.8984045327363112E-2</v>
      </c>
      <c r="W87" s="2"/>
      <c r="X87" s="7">
        <f t="shared" si="50"/>
        <v>-6226.0099999999984</v>
      </c>
      <c r="Y87" s="2"/>
      <c r="Z87" s="6">
        <f t="shared" si="51"/>
        <v>-0.27897797260499851</v>
      </c>
    </row>
    <row r="88" spans="1:26" s="24" customFormat="1" hidden="1" outlineLevel="2" x14ac:dyDescent="0.25">
      <c r="A88" s="29"/>
      <c r="B88" s="11" t="str">
        <f>CONCATENATE("          ", "6375", " - ", "OUTSIDE REPAIRS &amp; MAINTENANCE")</f>
        <v xml:space="preserve">          6375 - OUTSIDE REPAIRS &amp; MAINTENANCE</v>
      </c>
      <c r="C88" s="11"/>
      <c r="D88" s="7">
        <v>13109.95</v>
      </c>
      <c r="E88" s="2"/>
      <c r="F88" s="6">
        <f t="shared" si="44"/>
        <v>2.7530433424753198E-2</v>
      </c>
      <c r="G88" s="2"/>
      <c r="H88" s="7">
        <v>10643.57</v>
      </c>
      <c r="I88" s="2"/>
      <c r="J88" s="6">
        <f t="shared" si="45"/>
        <v>2.1938963272436166E-2</v>
      </c>
      <c r="K88" s="2"/>
      <c r="L88" s="7">
        <f t="shared" si="46"/>
        <v>2466.380000000001</v>
      </c>
      <c r="M88" s="2"/>
      <c r="N88" s="6">
        <f t="shared" si="47"/>
        <v>0.23172488178308603</v>
      </c>
      <c r="O88" s="11"/>
      <c r="P88" s="7">
        <v>34711.409999999996</v>
      </c>
      <c r="Q88" s="2"/>
      <c r="R88" s="6">
        <f t="shared" si="48"/>
        <v>4.8582131881819958E-2</v>
      </c>
      <c r="S88" s="2"/>
      <c r="T88" s="7">
        <v>29376.75</v>
      </c>
      <c r="U88" s="2"/>
      <c r="V88" s="6">
        <f t="shared" si="49"/>
        <v>3.8152486514694904E-2</v>
      </c>
      <c r="W88" s="2"/>
      <c r="X88" s="7">
        <f t="shared" si="50"/>
        <v>5334.6599999999962</v>
      </c>
      <c r="Y88" s="2"/>
      <c r="Z88" s="6">
        <f t="shared" si="51"/>
        <v>0.18159462840511617</v>
      </c>
    </row>
    <row r="89" spans="1:26" s="27" customFormat="1" outlineLevel="1" collapsed="1" x14ac:dyDescent="0.25">
      <c r="A89" s="28"/>
      <c r="B89" s="14" t="str">
        <f>CONCATENATE("     ","Royalty &amp; Commissions                             ")</f>
        <v xml:space="preserve">     Royalty &amp; Commissions                             </v>
      </c>
      <c r="C89" s="14"/>
      <c r="D89" s="1">
        <f>SUM(OSRRefD22_16x_0)</f>
        <v>16843.939999999999</v>
      </c>
      <c r="E89" s="1"/>
      <c r="F89" s="5">
        <f t="shared" ref="F89:F91" si="52">IF(D$12=0,0,D89/D$12)</f>
        <v>3.5371680958397045E-2</v>
      </c>
      <c r="G89" s="1"/>
      <c r="H89" s="1">
        <f>SUM(OSRRefH22_16x_0)</f>
        <v>21890.59</v>
      </c>
      <c r="I89" s="1"/>
      <c r="J89" s="5">
        <f t="shared" ref="J89:J91" si="53">IF(H$12=0,0,H89/H$12)</f>
        <v>4.5121782449117957E-2</v>
      </c>
      <c r="K89" s="1"/>
      <c r="L89" s="1">
        <f t="shared" ref="L89:L91" si="54">+D89-H89</f>
        <v>-5046.6500000000015</v>
      </c>
      <c r="M89" s="1"/>
      <c r="N89" s="5">
        <f t="shared" ref="N89:N91" si="55">IF(H89=0,0,L89/H89)</f>
        <v>-0.23053969765090851</v>
      </c>
      <c r="O89" s="14"/>
      <c r="P89" s="1">
        <f>SUM(OSRRefP22_16x_0)</f>
        <v>33702.04</v>
      </c>
      <c r="Q89" s="1"/>
      <c r="R89" s="5">
        <f t="shared" ref="R89:R91" si="56">IF(P$12=0,0,P89/P$12)</f>
        <v>4.7169416395541744E-2</v>
      </c>
      <c r="S89" s="1"/>
      <c r="T89" s="1">
        <f>SUM(OSRRefT22_16x_0)</f>
        <v>37318.65</v>
      </c>
      <c r="U89" s="1"/>
      <c r="V89" s="5">
        <f t="shared" ref="V89:V91" si="57">IF(T$12=0,0,T89/T$12)</f>
        <v>4.8466875705162046E-2</v>
      </c>
      <c r="W89" s="1"/>
      <c r="X89" s="1">
        <f t="shared" ref="X89:X91" si="58">+P89-T89</f>
        <v>-3616.6100000000006</v>
      </c>
      <c r="Y89" s="1"/>
      <c r="Z89" s="5">
        <f t="shared" ref="Z89:Z91" si="59">IF(T89=0,0,X89/T89)</f>
        <v>-9.691159782039277E-2</v>
      </c>
    </row>
    <row r="90" spans="1:26" s="24" customFormat="1" hidden="1" outlineLevel="2" x14ac:dyDescent="0.25">
      <c r="A90" s="29"/>
      <c r="B90" s="11" t="str">
        <f>CONCATENATE("          ", "6254", " - ", "ROYALTY &amp; COMMISSIONS")</f>
        <v xml:space="preserve">          6254 - ROYALTY &amp; COMMISSIONS</v>
      </c>
      <c r="C90" s="11"/>
      <c r="D90" s="7">
        <v>10870.98</v>
      </c>
      <c r="E90" s="2"/>
      <c r="F90" s="6">
        <f t="shared" si="52"/>
        <v>2.2828675254430681E-2</v>
      </c>
      <c r="G90" s="2"/>
      <c r="H90" s="7">
        <v>16408.27</v>
      </c>
      <c r="I90" s="2"/>
      <c r="J90" s="6">
        <f t="shared" si="53"/>
        <v>3.3821399482900583E-2</v>
      </c>
      <c r="K90" s="2"/>
      <c r="L90" s="7">
        <f t="shared" si="54"/>
        <v>-5537.2900000000009</v>
      </c>
      <c r="M90" s="2"/>
      <c r="N90" s="6">
        <f t="shared" si="55"/>
        <v>-0.33746945899841974</v>
      </c>
      <c r="O90" s="11"/>
      <c r="P90" s="7">
        <v>24843.64</v>
      </c>
      <c r="Q90" s="2"/>
      <c r="R90" s="6">
        <f t="shared" si="56"/>
        <v>3.477118892330959E-2</v>
      </c>
      <c r="S90" s="2"/>
      <c r="T90" s="7">
        <v>28828.57</v>
      </c>
      <c r="U90" s="2"/>
      <c r="V90" s="6">
        <f t="shared" si="57"/>
        <v>3.7440548330327152E-2</v>
      </c>
      <c r="W90" s="2"/>
      <c r="X90" s="7">
        <f t="shared" si="58"/>
        <v>-3984.9300000000003</v>
      </c>
      <c r="Y90" s="2"/>
      <c r="Z90" s="6">
        <f t="shared" si="59"/>
        <v>-0.13822850040775522</v>
      </c>
    </row>
    <row r="91" spans="1:26" s="24" customFormat="1" hidden="1" outlineLevel="2" x14ac:dyDescent="0.25">
      <c r="A91" s="29"/>
      <c r="B91" s="11" t="str">
        <f>CONCATENATE("          ", "6259", " - ", "ROYALTY &amp; COMMISSIONS")</f>
        <v xml:space="preserve">          6259 - ROYALTY &amp; COMMISSIONS</v>
      </c>
      <c r="C91" s="11"/>
      <c r="D91" s="7">
        <v>5972.96</v>
      </c>
      <c r="E91" s="2"/>
      <c r="F91" s="6">
        <f t="shared" si="52"/>
        <v>1.2543005703966366E-2</v>
      </c>
      <c r="G91" s="2"/>
      <c r="H91" s="7">
        <v>5482.32</v>
      </c>
      <c r="I91" s="2"/>
      <c r="J91" s="6">
        <f t="shared" si="53"/>
        <v>1.1300382966217371E-2</v>
      </c>
      <c r="K91" s="2"/>
      <c r="L91" s="7">
        <f t="shared" si="54"/>
        <v>490.64000000000033</v>
      </c>
      <c r="M91" s="2"/>
      <c r="N91" s="6">
        <f t="shared" si="55"/>
        <v>8.9494958338805539E-2</v>
      </c>
      <c r="O91" s="11"/>
      <c r="P91" s="7">
        <v>8858.4</v>
      </c>
      <c r="Q91" s="2"/>
      <c r="R91" s="6">
        <f t="shared" si="56"/>
        <v>1.2398227472232154E-2</v>
      </c>
      <c r="S91" s="2"/>
      <c r="T91" s="7">
        <v>8490.08</v>
      </c>
      <c r="U91" s="2"/>
      <c r="V91" s="6">
        <f t="shared" si="57"/>
        <v>1.1026327374834893E-2</v>
      </c>
      <c r="W91" s="2"/>
      <c r="X91" s="7">
        <f t="shared" si="58"/>
        <v>368.31999999999971</v>
      </c>
      <c r="Y91" s="2"/>
      <c r="Z91" s="6">
        <f t="shared" si="59"/>
        <v>4.3382394512183599E-2</v>
      </c>
    </row>
    <row r="92" spans="1:26" s="27" customFormat="1" outlineLevel="1" collapsed="1" x14ac:dyDescent="0.25">
      <c r="A92" s="28"/>
      <c r="B92" s="14" t="str">
        <f>CONCATENATE("     ","Services                                          ")</f>
        <v xml:space="preserve">     Services                                          </v>
      </c>
      <c r="C92" s="14"/>
      <c r="D92" s="1">
        <f>SUM(OSRRefD22_17x_0)</f>
        <v>19397.060000000001</v>
      </c>
      <c r="E92" s="1"/>
      <c r="F92" s="5">
        <f t="shared" ref="F92:F97" si="60">IF(D$12=0,0,D92/D$12)</f>
        <v>4.0733143068123319E-2</v>
      </c>
      <c r="G92" s="1"/>
      <c r="H92" s="1">
        <f>SUM(OSRRefH22_17x_0)</f>
        <v>20473.420000000002</v>
      </c>
      <c r="I92" s="1"/>
      <c r="J92" s="5">
        <f t="shared" ref="J92:J97" si="61">IF(H$12=0,0,H92/H$12)</f>
        <v>4.2200653487613655E-2</v>
      </c>
      <c r="K92" s="1"/>
      <c r="L92" s="1">
        <f t="shared" ref="L92:L97" si="62">+D92-H92</f>
        <v>-1076.3600000000006</v>
      </c>
      <c r="M92" s="1"/>
      <c r="N92" s="5">
        <f t="shared" ref="N92:N97" si="63">IF(H92=0,0,L92/H92)</f>
        <v>-5.2573531925784775E-2</v>
      </c>
      <c r="O92" s="14"/>
      <c r="P92" s="1">
        <f>SUM(OSRRefP22_17x_0)</f>
        <v>42524.800000000003</v>
      </c>
      <c r="Q92" s="1"/>
      <c r="R92" s="5">
        <f t="shared" ref="R92:R97" si="64">IF(P$12=0,0,P92/P$12)</f>
        <v>5.9517762080192584E-2</v>
      </c>
      <c r="S92" s="1"/>
      <c r="T92" s="1">
        <f>SUM(OSRRefT22_17x_0)</f>
        <v>42684</v>
      </c>
      <c r="U92" s="1"/>
      <c r="V92" s="5">
        <f t="shared" ref="V92:V97" si="65">IF(T$12=0,0,T92/T$12)</f>
        <v>5.5435020361109977E-2</v>
      </c>
      <c r="W92" s="1"/>
      <c r="X92" s="1">
        <f t="shared" ref="X92:X97" si="66">+P92-T92</f>
        <v>-159.19999999999709</v>
      </c>
      <c r="Y92" s="1"/>
      <c r="Z92" s="5">
        <f t="shared" ref="Z92:Z97" si="67">IF(T92=0,0,X92/T92)</f>
        <v>-3.7297347952393659E-3</v>
      </c>
    </row>
    <row r="93" spans="1:26" s="24" customFormat="1" hidden="1" outlineLevel="2" x14ac:dyDescent="0.25">
      <c r="A93" s="29"/>
      <c r="B93" s="11" t="str">
        <f>CONCATENATE("          ", "6282", " - ", "JANITORIAL/EXTERMINATOR EXPENS")</f>
        <v xml:space="preserve">          6282 - JANITORIAL/EXTERMINATOR EXPENS</v>
      </c>
      <c r="C93" s="11"/>
      <c r="D93" s="7">
        <v>2324.4</v>
      </c>
      <c r="E93" s="2"/>
      <c r="F93" s="6">
        <f t="shared" si="60"/>
        <v>4.8811581625022469E-3</v>
      </c>
      <c r="G93" s="2"/>
      <c r="H93" s="7">
        <v>1782.7</v>
      </c>
      <c r="I93" s="2"/>
      <c r="J93" s="6">
        <f t="shared" si="61"/>
        <v>3.6745743980423819E-3</v>
      </c>
      <c r="K93" s="2"/>
      <c r="L93" s="7">
        <f t="shared" si="62"/>
        <v>541.70000000000005</v>
      </c>
      <c r="M93" s="2"/>
      <c r="N93" s="6">
        <f t="shared" si="63"/>
        <v>0.30386492399169801</v>
      </c>
      <c r="O93" s="11"/>
      <c r="P93" s="7">
        <v>4204.0600000000004</v>
      </c>
      <c r="Q93" s="2"/>
      <c r="R93" s="6">
        <f t="shared" si="64"/>
        <v>5.8840075168102952E-3</v>
      </c>
      <c r="S93" s="2"/>
      <c r="T93" s="7">
        <v>3565.4</v>
      </c>
      <c r="U93" s="2"/>
      <c r="V93" s="6">
        <f t="shared" si="65"/>
        <v>4.6304943678076443E-3</v>
      </c>
      <c r="W93" s="2"/>
      <c r="X93" s="7">
        <f t="shared" si="66"/>
        <v>638.66000000000031</v>
      </c>
      <c r="Y93" s="2"/>
      <c r="Z93" s="6">
        <f t="shared" si="67"/>
        <v>0.17912716665731762</v>
      </c>
    </row>
    <row r="94" spans="1:26" s="24" customFormat="1" hidden="1" outlineLevel="2" x14ac:dyDescent="0.25">
      <c r="A94" s="29"/>
      <c r="B94" s="11" t="str">
        <f>CONCATENATE("          ", "6283", " - ", "PLANT SERVICE")</f>
        <v xml:space="preserve">          6283 - PLANT SERVICE</v>
      </c>
      <c r="C94" s="11"/>
      <c r="D94" s="7">
        <v>199.78</v>
      </c>
      <c r="E94" s="2"/>
      <c r="F94" s="6">
        <f t="shared" si="60"/>
        <v>4.1953096614382157E-4</v>
      </c>
      <c r="G94" s="2"/>
      <c r="H94" s="7">
        <v>176</v>
      </c>
      <c r="I94" s="2"/>
      <c r="J94" s="6">
        <f t="shared" si="61"/>
        <v>3.6277842264848778E-4</v>
      </c>
      <c r="K94" s="2"/>
      <c r="L94" s="7">
        <f t="shared" si="62"/>
        <v>23.78</v>
      </c>
      <c r="M94" s="2"/>
      <c r="N94" s="6">
        <f t="shared" si="63"/>
        <v>0.13511363636363638</v>
      </c>
      <c r="O94" s="11"/>
      <c r="P94" s="7">
        <v>399.56</v>
      </c>
      <c r="Q94" s="2"/>
      <c r="R94" s="6">
        <f t="shared" si="64"/>
        <v>5.5922466459011556E-4</v>
      </c>
      <c r="S94" s="2"/>
      <c r="T94" s="7">
        <v>352</v>
      </c>
      <c r="U94" s="2"/>
      <c r="V94" s="6">
        <f t="shared" si="65"/>
        <v>4.5715319949186369E-4</v>
      </c>
      <c r="W94" s="2"/>
      <c r="X94" s="7">
        <f t="shared" si="66"/>
        <v>47.56</v>
      </c>
      <c r="Y94" s="2"/>
      <c r="Z94" s="6">
        <f t="shared" si="67"/>
        <v>0.13511363636363638</v>
      </c>
    </row>
    <row r="95" spans="1:26" s="24" customFormat="1" hidden="1" outlineLevel="2" x14ac:dyDescent="0.25">
      <c r="A95" s="29"/>
      <c r="B95" s="11" t="str">
        <f>CONCATENATE("          ", "6284", " - ", "TRASH REMOVAL EXPENSE")</f>
        <v xml:space="preserve">          6284 - TRASH REMOVAL EXPENSE</v>
      </c>
      <c r="C95" s="11"/>
      <c r="D95" s="7"/>
      <c r="E95" s="2"/>
      <c r="F95" s="6">
        <f t="shared" si="60"/>
        <v>0</v>
      </c>
      <c r="G95" s="2"/>
      <c r="H95" s="7">
        <v>3373</v>
      </c>
      <c r="I95" s="2"/>
      <c r="J95" s="6">
        <f t="shared" si="61"/>
        <v>6.9525660204167571E-3</v>
      </c>
      <c r="K95" s="2"/>
      <c r="L95" s="7">
        <f t="shared" si="62"/>
        <v>-3373</v>
      </c>
      <c r="M95" s="2"/>
      <c r="N95" s="6">
        <f t="shared" si="63"/>
        <v>-1</v>
      </c>
      <c r="O95" s="11"/>
      <c r="P95" s="7">
        <v>4436</v>
      </c>
      <c r="Q95" s="2"/>
      <c r="R95" s="6">
        <f t="shared" si="64"/>
        <v>6.2086310244312565E-3</v>
      </c>
      <c r="S95" s="2"/>
      <c r="T95" s="7">
        <v>6746</v>
      </c>
      <c r="U95" s="2"/>
      <c r="V95" s="6">
        <f t="shared" si="65"/>
        <v>8.7612371698071387E-3</v>
      </c>
      <c r="W95" s="2"/>
      <c r="X95" s="7">
        <f t="shared" si="66"/>
        <v>-2310</v>
      </c>
      <c r="Y95" s="2"/>
      <c r="Z95" s="6">
        <f t="shared" si="67"/>
        <v>-0.34242514082419212</v>
      </c>
    </row>
    <row r="96" spans="1:26" s="24" customFormat="1" hidden="1" outlineLevel="2" x14ac:dyDescent="0.25">
      <c r="A96" s="29"/>
      <c r="B96" s="11" t="str">
        <f>CONCATENATE("          ", "6285", " - ", "JANITORIAL SERVICES")</f>
        <v xml:space="preserve">          6285 - JANITORIAL SERVICES</v>
      </c>
      <c r="C96" s="11"/>
      <c r="D96" s="7">
        <v>13369.69</v>
      </c>
      <c r="E96" s="2"/>
      <c r="F96" s="6">
        <f t="shared" si="60"/>
        <v>2.8075878279824756E-2</v>
      </c>
      <c r="G96" s="2"/>
      <c r="H96" s="7">
        <v>12085.79</v>
      </c>
      <c r="I96" s="2"/>
      <c r="J96" s="6">
        <f t="shared" si="61"/>
        <v>2.4911726321936747E-2</v>
      </c>
      <c r="K96" s="2"/>
      <c r="L96" s="7">
        <f t="shared" si="62"/>
        <v>1283.8999999999996</v>
      </c>
      <c r="M96" s="2"/>
      <c r="N96" s="6">
        <f t="shared" si="63"/>
        <v>0.10623219499925114</v>
      </c>
      <c r="O96" s="11"/>
      <c r="P96" s="7">
        <v>26286.769999999997</v>
      </c>
      <c r="Q96" s="2"/>
      <c r="R96" s="6">
        <f t="shared" si="64"/>
        <v>3.6790995435998376E-2</v>
      </c>
      <c r="S96" s="2"/>
      <c r="T96" s="7">
        <v>24608.799999999999</v>
      </c>
      <c r="U96" s="2"/>
      <c r="V96" s="6">
        <f t="shared" si="65"/>
        <v>3.196020356720277E-2</v>
      </c>
      <c r="W96" s="2"/>
      <c r="X96" s="7">
        <f t="shared" si="66"/>
        <v>1677.9699999999975</v>
      </c>
      <c r="Y96" s="2"/>
      <c r="Z96" s="6">
        <f t="shared" si="67"/>
        <v>6.8185770943727353E-2</v>
      </c>
    </row>
    <row r="97" spans="1:26" s="24" customFormat="1" hidden="1" outlineLevel="2" x14ac:dyDescent="0.25">
      <c r="A97" s="29"/>
      <c r="B97" s="11" t="str">
        <f>CONCATENATE("          ", "6286", " - ", "LAUNDRY EXPENSE")</f>
        <v xml:space="preserve">          6286 - LAUNDRY EXPENSE</v>
      </c>
      <c r="C97" s="11"/>
      <c r="D97" s="7">
        <v>3503.19</v>
      </c>
      <c r="E97" s="2"/>
      <c r="F97" s="6">
        <f t="shared" si="60"/>
        <v>7.3565756596524895E-3</v>
      </c>
      <c r="G97" s="2"/>
      <c r="H97" s="7">
        <v>3055.93</v>
      </c>
      <c r="I97" s="2"/>
      <c r="J97" s="6">
        <f t="shared" si="61"/>
        <v>6.2990083245692795E-3</v>
      </c>
      <c r="K97" s="2"/>
      <c r="L97" s="7">
        <f t="shared" si="62"/>
        <v>447.26000000000022</v>
      </c>
      <c r="M97" s="2"/>
      <c r="N97" s="6">
        <f t="shared" si="63"/>
        <v>0.14635806448446143</v>
      </c>
      <c r="O97" s="11"/>
      <c r="P97" s="7">
        <v>7198.41</v>
      </c>
      <c r="Q97" s="2"/>
      <c r="R97" s="6">
        <f t="shared" si="64"/>
        <v>1.0074903438362533E-2</v>
      </c>
      <c r="S97" s="2"/>
      <c r="T97" s="7">
        <v>7411.8</v>
      </c>
      <c r="U97" s="2"/>
      <c r="V97" s="6">
        <f t="shared" si="65"/>
        <v>9.6259320568005558E-3</v>
      </c>
      <c r="W97" s="2"/>
      <c r="X97" s="7">
        <f t="shared" si="66"/>
        <v>-213.39000000000033</v>
      </c>
      <c r="Y97" s="2"/>
      <c r="Z97" s="6">
        <f t="shared" si="67"/>
        <v>-2.879057718772772E-2</v>
      </c>
    </row>
    <row r="98" spans="1:26" s="27" customFormat="1" outlineLevel="1" collapsed="1" x14ac:dyDescent="0.25">
      <c r="A98" s="28"/>
      <c r="B98" s="14" t="str">
        <f>CONCATENATE("     ","Subscriptions &amp; Dues                              ")</f>
        <v xml:space="preserve">     Subscriptions &amp; Dues                              </v>
      </c>
      <c r="C98" s="14"/>
      <c r="D98" s="1">
        <f>SUM(OSRRefD22_18x_0)</f>
        <v>631.17999999999995</v>
      </c>
      <c r="E98" s="1"/>
      <c r="F98" s="5">
        <f t="shared" ref="F98:F100" si="68">IF(D$12=0,0,D98/D$12)</f>
        <v>1.3254557774084357E-3</v>
      </c>
      <c r="G98" s="1"/>
      <c r="H98" s="1">
        <f>SUM(OSRRefH22_18x_0)</f>
        <v>223.03</v>
      </c>
      <c r="I98" s="1"/>
      <c r="J98" s="5">
        <f t="shared" ref="J98:J100" si="69">IF(H$12=0,0,H98/H$12)</f>
        <v>4.5971858865506948E-4</v>
      </c>
      <c r="K98" s="1"/>
      <c r="L98" s="1">
        <f t="shared" ref="L98:L100" si="70">+D98-H98</f>
        <v>408.15</v>
      </c>
      <c r="M98" s="1"/>
      <c r="N98" s="5">
        <f t="shared" ref="N98:N100" si="71">IF(H98=0,0,L98/H98)</f>
        <v>1.8300228668788951</v>
      </c>
      <c r="O98" s="14"/>
      <c r="P98" s="1">
        <f>SUM(OSRRefP22_18x_0)</f>
        <v>1201</v>
      </c>
      <c r="Q98" s="1"/>
      <c r="R98" s="5">
        <f t="shared" ref="R98:R100" si="72">IF(P$12=0,0,P98/P$12)</f>
        <v>1.6809210686072901E-3</v>
      </c>
      <c r="S98" s="1"/>
      <c r="T98" s="1">
        <f>SUM(OSRRefT22_18x_0)</f>
        <v>316.19</v>
      </c>
      <c r="U98" s="1"/>
      <c r="V98" s="5">
        <f t="shared" ref="V98:V100" si="73">IF(T$12=0,0,T98/T$12)</f>
        <v>4.1064565382764882E-4</v>
      </c>
      <c r="W98" s="1"/>
      <c r="X98" s="1">
        <f t="shared" ref="X98:X100" si="74">+P98-T98</f>
        <v>884.81</v>
      </c>
      <c r="Y98" s="1"/>
      <c r="Z98" s="5">
        <f t="shared" ref="Z98:Z100" si="75">IF(T98=0,0,X98/T98)</f>
        <v>2.7983490938992377</v>
      </c>
    </row>
    <row r="99" spans="1:26" s="24" customFormat="1" hidden="1" outlineLevel="2" x14ac:dyDescent="0.25">
      <c r="A99" s="29"/>
      <c r="B99" s="11" t="str">
        <f>CONCATENATE("          ", "6258", " - ", "MEMBERSHIP DUES")</f>
        <v xml:space="preserve">          6258 - MEMBERSHIP DUES</v>
      </c>
      <c r="C99" s="11"/>
      <c r="D99" s="7"/>
      <c r="E99" s="2"/>
      <c r="F99" s="6">
        <f t="shared" si="68"/>
        <v>0</v>
      </c>
      <c r="G99" s="2"/>
      <c r="H99" s="7"/>
      <c r="I99" s="2"/>
      <c r="J99" s="6">
        <f t="shared" si="69"/>
        <v>0</v>
      </c>
      <c r="K99" s="2"/>
      <c r="L99" s="7">
        <f t="shared" si="70"/>
        <v>0</v>
      </c>
      <c r="M99" s="2"/>
      <c r="N99" s="6">
        <f t="shared" si="71"/>
        <v>0</v>
      </c>
      <c r="O99" s="11"/>
      <c r="P99" s="7"/>
      <c r="Q99" s="2"/>
      <c r="R99" s="6">
        <f t="shared" si="72"/>
        <v>0</v>
      </c>
      <c r="S99" s="2"/>
      <c r="T99" s="7">
        <v>31.8</v>
      </c>
      <c r="U99" s="2"/>
      <c r="V99" s="6">
        <f t="shared" si="73"/>
        <v>4.1299635635912691E-5</v>
      </c>
      <c r="W99" s="2"/>
      <c r="X99" s="7">
        <f t="shared" si="74"/>
        <v>-31.8</v>
      </c>
      <c r="Y99" s="2"/>
      <c r="Z99" s="6">
        <f t="shared" si="75"/>
        <v>-1</v>
      </c>
    </row>
    <row r="100" spans="1:26" s="24" customFormat="1" hidden="1" outlineLevel="2" x14ac:dyDescent="0.25">
      <c r="A100" s="29"/>
      <c r="B100" s="11" t="str">
        <f>CONCATENATE("          ", "6275", " - ", "SUBSCRIPTIONS")</f>
        <v xml:space="preserve">          6275 - SUBSCRIPTIONS</v>
      </c>
      <c r="C100" s="11"/>
      <c r="D100" s="7">
        <v>631.17999999999995</v>
      </c>
      <c r="E100" s="2"/>
      <c r="F100" s="6">
        <f t="shared" si="68"/>
        <v>1.3254557774084357E-3</v>
      </c>
      <c r="G100" s="2"/>
      <c r="H100" s="7">
        <v>223.03</v>
      </c>
      <c r="I100" s="2"/>
      <c r="J100" s="6">
        <f t="shared" si="69"/>
        <v>4.5971858865506948E-4</v>
      </c>
      <c r="K100" s="2"/>
      <c r="L100" s="7">
        <f t="shared" si="70"/>
        <v>408.15</v>
      </c>
      <c r="M100" s="2"/>
      <c r="N100" s="6">
        <f t="shared" si="71"/>
        <v>1.8300228668788951</v>
      </c>
      <c r="O100" s="11"/>
      <c r="P100" s="7">
        <v>1201</v>
      </c>
      <c r="Q100" s="2"/>
      <c r="R100" s="6">
        <f t="shared" si="72"/>
        <v>1.6809210686072901E-3</v>
      </c>
      <c r="S100" s="2"/>
      <c r="T100" s="7">
        <v>284.39</v>
      </c>
      <c r="U100" s="2"/>
      <c r="V100" s="6">
        <f t="shared" si="73"/>
        <v>3.6934601819173615E-4</v>
      </c>
      <c r="W100" s="2"/>
      <c r="X100" s="7">
        <f t="shared" si="74"/>
        <v>916.61</v>
      </c>
      <c r="Y100" s="2"/>
      <c r="Z100" s="6">
        <f t="shared" si="75"/>
        <v>3.2230739477478112</v>
      </c>
    </row>
    <row r="101" spans="1:26" s="27" customFormat="1" outlineLevel="1" collapsed="1" x14ac:dyDescent="0.25">
      <c r="A101" s="28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SUM(OSRRefD22_19x_0)</f>
        <v>28547.719999999998</v>
      </c>
      <c r="E101" s="1"/>
      <c r="F101" s="5">
        <f t="shared" ref="F101:F109" si="76">IF(D$12=0,0,D101/D$12)</f>
        <v>5.9949206891597238E-2</v>
      </c>
      <c r="G101" s="1"/>
      <c r="H101" s="1">
        <f>SUM(OSRRefH22_19x_0)</f>
        <v>33160.92</v>
      </c>
      <c r="I101" s="1"/>
      <c r="J101" s="5">
        <f t="shared" ref="J101:J109" si="77">IF(H$12=0,0,H101/H$12)</f>
        <v>6.8352649154390294E-2</v>
      </c>
      <c r="K101" s="1"/>
      <c r="L101" s="1">
        <f t="shared" ref="L101:L109" si="78">+D101-H101</f>
        <v>-4613.2000000000007</v>
      </c>
      <c r="M101" s="1"/>
      <c r="N101" s="5">
        <f t="shared" ref="N101:N109" si="79">IF(H101=0,0,L101/H101)</f>
        <v>-0.13911556132942032</v>
      </c>
      <c r="O101" s="14"/>
      <c r="P101" s="1">
        <f>SUM(OSRRefP22_19x_0)</f>
        <v>52754.670000000006</v>
      </c>
      <c r="Q101" s="1"/>
      <c r="R101" s="5">
        <f t="shared" ref="R101:R109" si="80">IF(P$12=0,0,P101/P$12)</f>
        <v>7.3835500641486224E-2</v>
      </c>
      <c r="S101" s="1"/>
      <c r="T101" s="1">
        <f>SUM(OSRRefT22_19x_0)</f>
        <v>56460.87</v>
      </c>
      <c r="U101" s="1"/>
      <c r="V101" s="5">
        <f t="shared" ref="V101:V109" si="81">IF(T$12=0,0,T101/T$12)</f>
        <v>7.3327464109642568E-2</v>
      </c>
      <c r="W101" s="1"/>
      <c r="X101" s="1">
        <f t="shared" ref="X101:X109" si="82">+P101-T101</f>
        <v>-3706.1999999999971</v>
      </c>
      <c r="Y101" s="1"/>
      <c r="Z101" s="5">
        <f t="shared" ref="Z101:Z109" si="83">IF(T101=0,0,X101/T101)</f>
        <v>-6.5641921564439182E-2</v>
      </c>
    </row>
    <row r="102" spans="1:26" s="24" customFormat="1" hidden="1" outlineLevel="2" x14ac:dyDescent="0.25">
      <c r="A102" s="29"/>
      <c r="B102" s="11" t="str">
        <f>CONCATENATE("          ", "6234", " - ", "EXPENDABLE SUPPLIES &amp; EQUIPMEN")</f>
        <v xml:space="preserve">          6234 - EXPENDABLE SUPPLIES &amp; EQUIPMEN</v>
      </c>
      <c r="C102" s="11"/>
      <c r="D102" s="7">
        <v>1064.24</v>
      </c>
      <c r="E102" s="2"/>
      <c r="F102" s="6">
        <f t="shared" si="76"/>
        <v>2.2348665302277539E-3</v>
      </c>
      <c r="G102" s="2"/>
      <c r="H102" s="7">
        <v>2112.5500000000002</v>
      </c>
      <c r="I102" s="2"/>
      <c r="J102" s="6">
        <f t="shared" si="77"/>
        <v>4.3544747543526304E-3</v>
      </c>
      <c r="K102" s="2"/>
      <c r="L102" s="7">
        <f t="shared" si="78"/>
        <v>-1048.3100000000002</v>
      </c>
      <c r="M102" s="2"/>
      <c r="N102" s="6">
        <f t="shared" si="79"/>
        <v>-0.49622967503727727</v>
      </c>
      <c r="O102" s="11"/>
      <c r="P102" s="7">
        <v>1064.24</v>
      </c>
      <c r="Q102" s="2"/>
      <c r="R102" s="6">
        <f t="shared" si="80"/>
        <v>1.4895116053743732E-3</v>
      </c>
      <c r="S102" s="2"/>
      <c r="T102" s="7">
        <v>4545.53</v>
      </c>
      <c r="U102" s="2"/>
      <c r="V102" s="6">
        <f t="shared" si="81"/>
        <v>5.9034192695632138E-3</v>
      </c>
      <c r="W102" s="2"/>
      <c r="X102" s="7">
        <f t="shared" si="82"/>
        <v>-3481.29</v>
      </c>
      <c r="Y102" s="2"/>
      <c r="Z102" s="6">
        <f t="shared" si="83"/>
        <v>-0.7658710865399635</v>
      </c>
    </row>
    <row r="103" spans="1:26" s="24" customFormat="1" hidden="1" outlineLevel="2" x14ac:dyDescent="0.25">
      <c r="A103" s="29"/>
      <c r="B103" s="11" t="str">
        <f>CONCATENATE("          ", "6237", " - ", "JANITORIAL SUPPLIES")</f>
        <v xml:space="preserve">          6237 - JANITORIAL SUPPLIES</v>
      </c>
      <c r="C103" s="11"/>
      <c r="D103" s="7">
        <v>4102.8</v>
      </c>
      <c r="E103" s="2"/>
      <c r="F103" s="6">
        <f t="shared" si="76"/>
        <v>8.6157355485777919E-3</v>
      </c>
      <c r="G103" s="2"/>
      <c r="H103" s="7">
        <v>4512</v>
      </c>
      <c r="I103" s="2"/>
      <c r="J103" s="6">
        <f t="shared" si="77"/>
        <v>9.3003195624430501E-3</v>
      </c>
      <c r="K103" s="2"/>
      <c r="L103" s="7">
        <f t="shared" si="78"/>
        <v>-409.19999999999982</v>
      </c>
      <c r="M103" s="2"/>
      <c r="N103" s="6">
        <f t="shared" si="79"/>
        <v>-9.0691489361702085E-2</v>
      </c>
      <c r="O103" s="11"/>
      <c r="P103" s="7">
        <v>8354.44</v>
      </c>
      <c r="Q103" s="2"/>
      <c r="R103" s="6">
        <f t="shared" si="80"/>
        <v>1.1692884439979592E-2</v>
      </c>
      <c r="S103" s="2"/>
      <c r="T103" s="7">
        <v>10329.02</v>
      </c>
      <c r="U103" s="2"/>
      <c r="V103" s="6">
        <f t="shared" si="81"/>
        <v>1.3414615172202984E-2</v>
      </c>
      <c r="W103" s="2"/>
      <c r="X103" s="7">
        <f t="shared" si="82"/>
        <v>-1974.58</v>
      </c>
      <c r="Y103" s="2"/>
      <c r="Z103" s="6">
        <f t="shared" si="83"/>
        <v>-0.19116818439697084</v>
      </c>
    </row>
    <row r="104" spans="1:26" s="24" customFormat="1" hidden="1" outlineLevel="2" x14ac:dyDescent="0.25">
      <c r="A104" s="29"/>
      <c r="B104" s="11" t="str">
        <f>CONCATENATE("          ", "6239", " - ", "KITCHEN SUPPLIES")</f>
        <v xml:space="preserve">          6239 - KITCHEN SUPPLIES</v>
      </c>
      <c r="C104" s="11"/>
      <c r="D104" s="7">
        <v>4005.05</v>
      </c>
      <c r="E104" s="2"/>
      <c r="F104" s="6">
        <f t="shared" si="76"/>
        <v>8.4104639901607398E-3</v>
      </c>
      <c r="G104" s="2"/>
      <c r="H104" s="7">
        <v>2053.35</v>
      </c>
      <c r="I104" s="2"/>
      <c r="J104" s="6">
        <f t="shared" si="77"/>
        <v>4.2324492849163207E-3</v>
      </c>
      <c r="K104" s="2"/>
      <c r="L104" s="7">
        <f t="shared" si="78"/>
        <v>1951.7000000000003</v>
      </c>
      <c r="M104" s="2"/>
      <c r="N104" s="6">
        <f t="shared" si="79"/>
        <v>0.95049553169211309</v>
      </c>
      <c r="O104" s="11"/>
      <c r="P104" s="7">
        <v>10424.58</v>
      </c>
      <c r="Q104" s="2"/>
      <c r="R104" s="6">
        <f t="shared" si="80"/>
        <v>1.4590254915388996E-2</v>
      </c>
      <c r="S104" s="2"/>
      <c r="T104" s="7">
        <v>3674.57</v>
      </c>
      <c r="U104" s="2"/>
      <c r="V104" s="6">
        <f t="shared" si="81"/>
        <v>4.772276796184141E-3</v>
      </c>
      <c r="W104" s="2"/>
      <c r="X104" s="7">
        <f t="shared" si="82"/>
        <v>6750.01</v>
      </c>
      <c r="Y104" s="2"/>
      <c r="Z104" s="6">
        <f t="shared" si="83"/>
        <v>1.8369523508873147</v>
      </c>
    </row>
    <row r="105" spans="1:26" s="24" customFormat="1" hidden="1" outlineLevel="2" x14ac:dyDescent="0.25">
      <c r="A105" s="29"/>
      <c r="B105" s="11" t="str">
        <f>CONCATENATE("          ", "6241", " - ", "OFFICE EXPENSE")</f>
        <v xml:space="preserve">          6241 - OFFICE EXPENSE</v>
      </c>
      <c r="C105" s="11"/>
      <c r="D105" s="7">
        <v>4640.21</v>
      </c>
      <c r="E105" s="2"/>
      <c r="F105" s="6">
        <f t="shared" si="76"/>
        <v>9.7442776274412959E-3</v>
      </c>
      <c r="G105" s="2"/>
      <c r="H105" s="7">
        <v>3012.82</v>
      </c>
      <c r="I105" s="2"/>
      <c r="J105" s="6">
        <f t="shared" si="77"/>
        <v>6.2101482234307786E-3</v>
      </c>
      <c r="K105" s="2"/>
      <c r="L105" s="7">
        <f t="shared" si="78"/>
        <v>1627.3899999999999</v>
      </c>
      <c r="M105" s="2"/>
      <c r="N105" s="6">
        <f t="shared" si="79"/>
        <v>0.54015507066469282</v>
      </c>
      <c r="O105" s="11"/>
      <c r="P105" s="7">
        <v>7658.85</v>
      </c>
      <c r="Q105" s="2"/>
      <c r="R105" s="6">
        <f t="shared" si="80"/>
        <v>1.0719335825397955E-2</v>
      </c>
      <c r="S105" s="2"/>
      <c r="T105" s="7">
        <v>11244.65</v>
      </c>
      <c r="U105" s="2"/>
      <c r="V105" s="6">
        <f t="shared" si="81"/>
        <v>1.460377194507439E-2</v>
      </c>
      <c r="W105" s="2"/>
      <c r="X105" s="7">
        <f t="shared" si="82"/>
        <v>-3585.7999999999993</v>
      </c>
      <c r="Y105" s="2"/>
      <c r="Z105" s="6">
        <f t="shared" si="83"/>
        <v>-0.3188894274165936</v>
      </c>
    </row>
    <row r="106" spans="1:26" s="24" customFormat="1" hidden="1" outlineLevel="2" x14ac:dyDescent="0.25">
      <c r="A106" s="29"/>
      <c r="B106" s="11" t="str">
        <f>CONCATENATE("          ", "6243", " - ", "PAPER SUPPLIES")</f>
        <v xml:space="preserve">          6243 - PAPER SUPPLIES</v>
      </c>
      <c r="C106" s="11"/>
      <c r="D106" s="7">
        <v>4315.1499999999996</v>
      </c>
      <c r="E106" s="2"/>
      <c r="F106" s="6">
        <f t="shared" si="76"/>
        <v>9.0616630721569308E-3</v>
      </c>
      <c r="G106" s="2"/>
      <c r="H106" s="7">
        <v>4427.6899999999996</v>
      </c>
      <c r="I106" s="2"/>
      <c r="J106" s="6">
        <f t="shared" si="77"/>
        <v>9.1265363305481975E-3</v>
      </c>
      <c r="K106" s="2"/>
      <c r="L106" s="7">
        <f t="shared" si="78"/>
        <v>-112.53999999999996</v>
      </c>
      <c r="M106" s="2"/>
      <c r="N106" s="6">
        <f t="shared" si="79"/>
        <v>-2.5417316930498743E-2</v>
      </c>
      <c r="O106" s="11"/>
      <c r="P106" s="7">
        <v>7153.46</v>
      </c>
      <c r="Q106" s="2"/>
      <c r="R106" s="6">
        <f t="shared" si="80"/>
        <v>1.0011991363396757E-2</v>
      </c>
      <c r="S106" s="2"/>
      <c r="T106" s="7">
        <v>6484.62</v>
      </c>
      <c r="U106" s="2"/>
      <c r="V106" s="6">
        <f t="shared" si="81"/>
        <v>8.4217749445708225E-3</v>
      </c>
      <c r="W106" s="2"/>
      <c r="X106" s="7">
        <f t="shared" si="82"/>
        <v>668.84000000000015</v>
      </c>
      <c r="Y106" s="2"/>
      <c r="Z106" s="6">
        <f t="shared" si="83"/>
        <v>0.10314251259133152</v>
      </c>
    </row>
    <row r="107" spans="1:26" s="24" customFormat="1" hidden="1" outlineLevel="2" x14ac:dyDescent="0.25">
      <c r="A107" s="29"/>
      <c r="B107" s="11" t="str">
        <f>CONCATENATE("          ", "6245", " - ", "PRINTING")</f>
        <v xml:space="preserve">          6245 - PRINTING</v>
      </c>
      <c r="C107" s="11"/>
      <c r="D107" s="7">
        <v>33.159999999999997</v>
      </c>
      <c r="E107" s="2"/>
      <c r="F107" s="6">
        <f t="shared" si="76"/>
        <v>6.963483250239824E-5</v>
      </c>
      <c r="G107" s="2"/>
      <c r="H107" s="7"/>
      <c r="I107" s="2"/>
      <c r="J107" s="6">
        <f t="shared" si="77"/>
        <v>0</v>
      </c>
      <c r="K107" s="2"/>
      <c r="L107" s="7">
        <f t="shared" si="78"/>
        <v>33.159999999999997</v>
      </c>
      <c r="M107" s="2"/>
      <c r="N107" s="6">
        <f t="shared" si="79"/>
        <v>0</v>
      </c>
      <c r="O107" s="11"/>
      <c r="P107" s="7">
        <v>170.92</v>
      </c>
      <c r="Q107" s="2"/>
      <c r="R107" s="6">
        <f t="shared" si="80"/>
        <v>2.3921984100446126E-4</v>
      </c>
      <c r="S107" s="2"/>
      <c r="T107" s="7">
        <v>51.82</v>
      </c>
      <c r="U107" s="2"/>
      <c r="V107" s="6">
        <f t="shared" si="81"/>
        <v>6.7300223857012431E-5</v>
      </c>
      <c r="W107" s="2"/>
      <c r="X107" s="7">
        <f t="shared" si="82"/>
        <v>119.1</v>
      </c>
      <c r="Y107" s="2"/>
      <c r="Z107" s="6">
        <f t="shared" si="83"/>
        <v>2.2983404091084521</v>
      </c>
    </row>
    <row r="108" spans="1:26" s="24" customFormat="1" hidden="1" outlineLevel="2" x14ac:dyDescent="0.25">
      <c r="A108" s="29"/>
      <c r="B108" s="11" t="str">
        <f>CONCATENATE("          ", "6247", " - ", "STORE SUPPLIES")</f>
        <v xml:space="preserve">          6247 - STORE SUPPLIES</v>
      </c>
      <c r="C108" s="11"/>
      <c r="D108" s="7">
        <v>8292.07</v>
      </c>
      <c r="E108" s="2"/>
      <c r="F108" s="6">
        <f t="shared" si="76"/>
        <v>1.7413055052718982E-2</v>
      </c>
      <c r="G108" s="2"/>
      <c r="H108" s="7">
        <v>12988.74</v>
      </c>
      <c r="I108" s="2"/>
      <c r="J108" s="6">
        <f t="shared" si="77"/>
        <v>2.6772923916996132E-2</v>
      </c>
      <c r="K108" s="2"/>
      <c r="L108" s="7">
        <f t="shared" si="78"/>
        <v>-4696.67</v>
      </c>
      <c r="M108" s="2"/>
      <c r="N108" s="6">
        <f t="shared" si="79"/>
        <v>-0.36159550502974114</v>
      </c>
      <c r="O108" s="11"/>
      <c r="P108" s="7">
        <v>15253.7</v>
      </c>
      <c r="Q108" s="2"/>
      <c r="R108" s="6">
        <f t="shared" si="80"/>
        <v>2.1349097172535404E-2</v>
      </c>
      <c r="S108" s="2"/>
      <c r="T108" s="7">
        <v>13135.22</v>
      </c>
      <c r="U108" s="2"/>
      <c r="V108" s="6">
        <f t="shared" si="81"/>
        <v>1.7059113207470222E-2</v>
      </c>
      <c r="W108" s="2"/>
      <c r="X108" s="7">
        <f t="shared" si="82"/>
        <v>2118.4800000000014</v>
      </c>
      <c r="Y108" s="2"/>
      <c r="Z108" s="6">
        <f t="shared" si="83"/>
        <v>0.16128241475970723</v>
      </c>
    </row>
    <row r="109" spans="1:26" s="24" customFormat="1" hidden="1" outlineLevel="2" x14ac:dyDescent="0.25">
      <c r="A109" s="29"/>
      <c r="B109" s="11" t="str">
        <f>CONCATENATE("          ", "6248", " - ", "UNIFORMS")</f>
        <v xml:space="preserve">          6248 - UNIFORMS</v>
      </c>
      <c r="C109" s="11"/>
      <c r="D109" s="7">
        <v>2095.04</v>
      </c>
      <c r="E109" s="2"/>
      <c r="F109" s="6">
        <f t="shared" si="76"/>
        <v>4.3995102378113519E-3</v>
      </c>
      <c r="G109" s="2"/>
      <c r="H109" s="7">
        <v>4053.77</v>
      </c>
      <c r="I109" s="2"/>
      <c r="J109" s="6">
        <f t="shared" si="77"/>
        <v>8.355797081703184E-3</v>
      </c>
      <c r="K109" s="2"/>
      <c r="L109" s="7">
        <f t="shared" si="78"/>
        <v>-1958.73</v>
      </c>
      <c r="M109" s="2"/>
      <c r="N109" s="6">
        <f t="shared" si="79"/>
        <v>-0.48318725532035611</v>
      </c>
      <c r="O109" s="11"/>
      <c r="P109" s="7">
        <v>2674.48</v>
      </c>
      <c r="Q109" s="2"/>
      <c r="R109" s="6">
        <f t="shared" si="80"/>
        <v>3.7432054784086802E-3</v>
      </c>
      <c r="S109" s="2"/>
      <c r="T109" s="7">
        <v>6995.44</v>
      </c>
      <c r="U109" s="2"/>
      <c r="V109" s="6">
        <f t="shared" si="81"/>
        <v>9.0851925507197812E-3</v>
      </c>
      <c r="W109" s="2"/>
      <c r="X109" s="7">
        <f t="shared" si="82"/>
        <v>-4320.9599999999991</v>
      </c>
      <c r="Y109" s="2"/>
      <c r="Z109" s="6">
        <f t="shared" si="83"/>
        <v>-0.61768237594776021</v>
      </c>
    </row>
    <row r="110" spans="1:26" s="27" customFormat="1" outlineLevel="1" collapsed="1" x14ac:dyDescent="0.25">
      <c r="A110" s="28"/>
      <c r="B110" s="14" t="str">
        <f>CONCATENATE("     ","Telephone/Data Lines                              ")</f>
        <v xml:space="preserve">     Telephone/Data Lines                              </v>
      </c>
      <c r="C110" s="14"/>
      <c r="D110" s="1">
        <f>SUM(OSRRefD22_20x_0)</f>
        <v>1694.1</v>
      </c>
      <c r="E110" s="1"/>
      <c r="F110" s="5">
        <f t="shared" ref="F110:F117" si="84">IF(D$12=0,0,D110/D$12)</f>
        <v>3.557550354110762E-3</v>
      </c>
      <c r="G110" s="1"/>
      <c r="H110" s="1">
        <f>SUM(OSRRefH22_20x_0)</f>
        <v>2238.4699999999998</v>
      </c>
      <c r="I110" s="1"/>
      <c r="J110" s="5">
        <f t="shared" ref="J110:J117" si="85">IF(H$12=0,0,H110/H$12)</f>
        <v>4.6140262258293208E-3</v>
      </c>
      <c r="K110" s="1"/>
      <c r="L110" s="1">
        <f t="shared" ref="L110:L117" si="86">+D110-H110</f>
        <v>-544.36999999999989</v>
      </c>
      <c r="M110" s="1"/>
      <c r="N110" s="5">
        <f t="shared" ref="N110:N117" si="87">IF(H110=0,0,L110/H110)</f>
        <v>-0.24318842781006667</v>
      </c>
      <c r="O110" s="14"/>
      <c r="P110" s="1">
        <f>SUM(OSRRefP22_20x_0)</f>
        <v>2879.25</v>
      </c>
      <c r="Q110" s="1"/>
      <c r="R110" s="5">
        <f t="shared" ref="R110:R117" si="88">IF(P$12=0,0,P110/P$12)</f>
        <v>4.0298018208056122E-3</v>
      </c>
      <c r="S110" s="1"/>
      <c r="T110" s="1">
        <f>SUM(OSRRefT22_20x_0)</f>
        <v>3987.61</v>
      </c>
      <c r="U110" s="1"/>
      <c r="V110" s="5">
        <f t="shared" ref="V110:V117" si="89">IF(T$12=0,0,T110/T$12)</f>
        <v>5.1788314483686097E-3</v>
      </c>
      <c r="W110" s="1"/>
      <c r="X110" s="1">
        <f t="shared" ref="X110:X117" si="90">+P110-T110</f>
        <v>-1108.3600000000001</v>
      </c>
      <c r="Y110" s="1"/>
      <c r="Z110" s="5">
        <f t="shared" ref="Z110:Z117" si="91">IF(T110=0,0,X110/T110)</f>
        <v>-0.2779509530771565</v>
      </c>
    </row>
    <row r="111" spans="1:26" s="24" customFormat="1" hidden="1" outlineLevel="2" x14ac:dyDescent="0.25">
      <c r="A111" s="29"/>
      <c r="B111" s="11" t="str">
        <f>CONCATENATE("          ", "6309", " - ", "TELEPHONE")</f>
        <v xml:space="preserve">          6309 - TELEPHONE</v>
      </c>
      <c r="C111" s="11"/>
      <c r="D111" s="7">
        <v>1694.1</v>
      </c>
      <c r="E111" s="2"/>
      <c r="F111" s="6">
        <f t="shared" si="84"/>
        <v>3.557550354110762E-3</v>
      </c>
      <c r="G111" s="2"/>
      <c r="H111" s="7">
        <v>2238.4699999999998</v>
      </c>
      <c r="I111" s="2"/>
      <c r="J111" s="6">
        <f t="shared" si="85"/>
        <v>4.6140262258293208E-3</v>
      </c>
      <c r="K111" s="2"/>
      <c r="L111" s="7">
        <f t="shared" si="86"/>
        <v>-544.36999999999989</v>
      </c>
      <c r="M111" s="2"/>
      <c r="N111" s="6">
        <f t="shared" si="87"/>
        <v>-0.24318842781006667</v>
      </c>
      <c r="O111" s="11"/>
      <c r="P111" s="7">
        <v>2879.25</v>
      </c>
      <c r="Q111" s="2"/>
      <c r="R111" s="6">
        <f t="shared" si="88"/>
        <v>4.0298018208056122E-3</v>
      </c>
      <c r="S111" s="2"/>
      <c r="T111" s="7">
        <v>3987.61</v>
      </c>
      <c r="U111" s="2"/>
      <c r="V111" s="6">
        <f t="shared" si="89"/>
        <v>5.1788314483686097E-3</v>
      </c>
      <c r="W111" s="2"/>
      <c r="X111" s="7">
        <f t="shared" si="90"/>
        <v>-1108.3600000000001</v>
      </c>
      <c r="Y111" s="2"/>
      <c r="Z111" s="6">
        <f t="shared" si="91"/>
        <v>-0.2779509530771565</v>
      </c>
    </row>
    <row r="112" spans="1:26" s="27" customFormat="1" outlineLevel="1" collapsed="1" x14ac:dyDescent="0.25">
      <c r="A112" s="28"/>
      <c r="B112" s="14" t="str">
        <f>CONCATENATE("     ","Training                                          ")</f>
        <v xml:space="preserve">     Training                                          </v>
      </c>
      <c r="C112" s="14"/>
      <c r="D112" s="1">
        <f>SUM(OSRRefD22_21x_0)</f>
        <v>175</v>
      </c>
      <c r="E112" s="1"/>
      <c r="F112" s="5">
        <f t="shared" si="84"/>
        <v>3.6749383859830201E-4</v>
      </c>
      <c r="G112" s="1"/>
      <c r="H112" s="1">
        <f>SUM(OSRRefH22_21x_0)</f>
        <v>190.32</v>
      </c>
      <c r="I112" s="1"/>
      <c r="J112" s="5">
        <f t="shared" si="85"/>
        <v>3.9229539430943289E-4</v>
      </c>
      <c r="K112" s="1"/>
      <c r="L112" s="1">
        <f t="shared" si="86"/>
        <v>-15.319999999999993</v>
      </c>
      <c r="M112" s="1"/>
      <c r="N112" s="5">
        <f t="shared" si="87"/>
        <v>-8.0496006725514893E-2</v>
      </c>
      <c r="O112" s="14"/>
      <c r="P112" s="1">
        <f>SUM(OSRRefP22_21x_0)</f>
        <v>1043.8499999999999</v>
      </c>
      <c r="Q112" s="1"/>
      <c r="R112" s="5">
        <f t="shared" si="88"/>
        <v>1.4609737364410654E-3</v>
      </c>
      <c r="S112" s="1"/>
      <c r="T112" s="1">
        <f>SUM(OSRRefT22_21x_0)</f>
        <v>486.8</v>
      </c>
      <c r="U112" s="1"/>
      <c r="V112" s="5">
        <f t="shared" si="89"/>
        <v>6.3222209520636156E-4</v>
      </c>
      <c r="W112" s="1"/>
      <c r="X112" s="1">
        <f t="shared" si="90"/>
        <v>557.04999999999995</v>
      </c>
      <c r="Y112" s="1"/>
      <c r="Z112" s="5">
        <f t="shared" si="91"/>
        <v>1.1443097781429743</v>
      </c>
    </row>
    <row r="113" spans="1:26" s="24" customFormat="1" hidden="1" outlineLevel="2" x14ac:dyDescent="0.25">
      <c r="A113" s="29"/>
      <c r="B113" s="11" t="str">
        <f>CONCATENATE("          ", "6376", " - ", "TRAINING")</f>
        <v xml:space="preserve">          6376 - TRAINING</v>
      </c>
      <c r="C113" s="11"/>
      <c r="D113" s="7">
        <v>175</v>
      </c>
      <c r="E113" s="2"/>
      <c r="F113" s="6">
        <f t="shared" si="84"/>
        <v>3.6749383859830201E-4</v>
      </c>
      <c r="G113" s="2"/>
      <c r="H113" s="7">
        <v>190.32</v>
      </c>
      <c r="I113" s="2"/>
      <c r="J113" s="6">
        <f t="shared" si="85"/>
        <v>3.9229539430943289E-4</v>
      </c>
      <c r="K113" s="2"/>
      <c r="L113" s="7">
        <f t="shared" si="86"/>
        <v>-15.319999999999993</v>
      </c>
      <c r="M113" s="2"/>
      <c r="N113" s="6">
        <f t="shared" si="87"/>
        <v>-8.0496006725514893E-2</v>
      </c>
      <c r="O113" s="11"/>
      <c r="P113" s="7">
        <v>1043.8499999999999</v>
      </c>
      <c r="Q113" s="2"/>
      <c r="R113" s="6">
        <f t="shared" si="88"/>
        <v>1.4609737364410654E-3</v>
      </c>
      <c r="S113" s="2"/>
      <c r="T113" s="7">
        <v>486.8</v>
      </c>
      <c r="U113" s="2"/>
      <c r="V113" s="6">
        <f t="shared" si="89"/>
        <v>6.3222209520636156E-4</v>
      </c>
      <c r="W113" s="2"/>
      <c r="X113" s="7">
        <f t="shared" si="90"/>
        <v>557.04999999999995</v>
      </c>
      <c r="Y113" s="2"/>
      <c r="Z113" s="6">
        <f t="shared" si="91"/>
        <v>1.1443097781429743</v>
      </c>
    </row>
    <row r="114" spans="1:26" s="27" customFormat="1" outlineLevel="1" collapsed="1" x14ac:dyDescent="0.25">
      <c r="A114" s="28"/>
      <c r="B114" s="14" t="str">
        <f>CONCATENATE("     ","Travel                                            ")</f>
        <v xml:space="preserve">     Travel                                            </v>
      </c>
      <c r="C114" s="14"/>
      <c r="D114" s="1">
        <f>SUM(OSRRefD22_22x_0)</f>
        <v>87.039999999999992</v>
      </c>
      <c r="E114" s="1"/>
      <c r="F114" s="5">
        <f t="shared" si="84"/>
        <v>1.8278093549483544E-4</v>
      </c>
      <c r="G114" s="1"/>
      <c r="H114" s="1">
        <f>SUM(OSRRefH22_22x_0)</f>
        <v>82.31</v>
      </c>
      <c r="I114" s="1"/>
      <c r="J114" s="5">
        <f t="shared" si="85"/>
        <v>1.6966074981930132E-4</v>
      </c>
      <c r="K114" s="1"/>
      <c r="L114" s="1">
        <f t="shared" si="86"/>
        <v>4.7299999999999898</v>
      </c>
      <c r="M114" s="1"/>
      <c r="N114" s="5">
        <f t="shared" si="87"/>
        <v>5.7465678532377468E-2</v>
      </c>
      <c r="O114" s="14"/>
      <c r="P114" s="1">
        <f>SUM(OSRRefP22_22x_0)</f>
        <v>851.36000000000013</v>
      </c>
      <c r="Q114" s="1"/>
      <c r="R114" s="5">
        <f t="shared" si="88"/>
        <v>1.1915644970603686E-3</v>
      </c>
      <c r="S114" s="1"/>
      <c r="T114" s="1">
        <f>SUM(OSRRefT22_22x_0)</f>
        <v>1589.3000000000002</v>
      </c>
      <c r="U114" s="1"/>
      <c r="V114" s="5">
        <f t="shared" si="89"/>
        <v>2.0640726703193726E-3</v>
      </c>
      <c r="W114" s="1"/>
      <c r="X114" s="1">
        <f t="shared" si="90"/>
        <v>-737.94</v>
      </c>
      <c r="Y114" s="1"/>
      <c r="Z114" s="5">
        <f t="shared" si="91"/>
        <v>-0.46431762411124394</v>
      </c>
    </row>
    <row r="115" spans="1:26" s="24" customFormat="1" hidden="1" outlineLevel="2" x14ac:dyDescent="0.25">
      <c r="A115" s="29"/>
      <c r="B115" s="11" t="str">
        <f>CONCATENATE("          ", "6292", " - ", "TRAVEL/CONFERENCE")</f>
        <v xml:space="preserve">          6292 - TRAVEL/CONFERENCE</v>
      </c>
      <c r="C115" s="11"/>
      <c r="D115" s="7">
        <v>40.46</v>
      </c>
      <c r="E115" s="2"/>
      <c r="F115" s="6">
        <f t="shared" si="84"/>
        <v>8.496457548392742E-5</v>
      </c>
      <c r="G115" s="2"/>
      <c r="H115" s="7"/>
      <c r="I115" s="2"/>
      <c r="J115" s="6">
        <f t="shared" si="85"/>
        <v>0</v>
      </c>
      <c r="K115" s="2"/>
      <c r="L115" s="7">
        <f t="shared" si="86"/>
        <v>40.46</v>
      </c>
      <c r="M115" s="2"/>
      <c r="N115" s="6">
        <f t="shared" si="87"/>
        <v>0</v>
      </c>
      <c r="O115" s="11"/>
      <c r="P115" s="7">
        <v>545.69000000000005</v>
      </c>
      <c r="Q115" s="2"/>
      <c r="R115" s="6">
        <f t="shared" si="88"/>
        <v>7.6374839128085946E-4</v>
      </c>
      <c r="S115" s="2"/>
      <c r="T115" s="7">
        <v>178.03</v>
      </c>
      <c r="U115" s="2"/>
      <c r="V115" s="6">
        <f t="shared" si="89"/>
        <v>2.3121302302709233E-4</v>
      </c>
      <c r="W115" s="2"/>
      <c r="X115" s="7">
        <f t="shared" si="90"/>
        <v>367.66000000000008</v>
      </c>
      <c r="Y115" s="2"/>
      <c r="Z115" s="6">
        <f t="shared" si="91"/>
        <v>2.0651575577149921</v>
      </c>
    </row>
    <row r="116" spans="1:26" s="24" customFormat="1" hidden="1" outlineLevel="2" x14ac:dyDescent="0.25">
      <c r="A116" s="29"/>
      <c r="B116" s="11" t="str">
        <f>CONCATENATE("          ", "6294", " - ", "TRAVEL OPERATIONAL")</f>
        <v xml:space="preserve">          6294 - TRAVEL OPERATIONAL</v>
      </c>
      <c r="C116" s="11"/>
      <c r="D116" s="7"/>
      <c r="E116" s="2"/>
      <c r="F116" s="6">
        <f t="shared" si="84"/>
        <v>0</v>
      </c>
      <c r="G116" s="2"/>
      <c r="H116" s="7"/>
      <c r="I116" s="2"/>
      <c r="J116" s="6">
        <f t="shared" si="85"/>
        <v>0</v>
      </c>
      <c r="K116" s="2"/>
      <c r="L116" s="7">
        <f t="shared" si="86"/>
        <v>0</v>
      </c>
      <c r="M116" s="2"/>
      <c r="N116" s="6">
        <f t="shared" si="87"/>
        <v>0</v>
      </c>
      <c r="O116" s="11"/>
      <c r="P116" s="7">
        <v>45.49</v>
      </c>
      <c r="Q116" s="2"/>
      <c r="R116" s="6">
        <f t="shared" si="88"/>
        <v>6.3667859626099604E-5</v>
      </c>
      <c r="S116" s="2"/>
      <c r="T116" s="7">
        <v>1258.9000000000001</v>
      </c>
      <c r="U116" s="2"/>
      <c r="V116" s="6">
        <f t="shared" si="89"/>
        <v>1.6349720535236002E-3</v>
      </c>
      <c r="W116" s="2"/>
      <c r="X116" s="7">
        <f t="shared" si="90"/>
        <v>-1213.4100000000001</v>
      </c>
      <c r="Y116" s="2"/>
      <c r="Z116" s="6">
        <f t="shared" si="91"/>
        <v>-0.96386527921201048</v>
      </c>
    </row>
    <row r="117" spans="1:26" s="24" customFormat="1" hidden="1" outlineLevel="2" x14ac:dyDescent="0.25">
      <c r="A117" s="29"/>
      <c r="B117" s="11" t="str">
        <f>CONCATENATE("          ", "6298", " - ", "VEHICLE MILEAGE")</f>
        <v xml:space="preserve">          6298 - VEHICLE MILEAGE</v>
      </c>
      <c r="C117" s="11"/>
      <c r="D117" s="7">
        <v>46.58</v>
      </c>
      <c r="E117" s="2"/>
      <c r="F117" s="6">
        <f t="shared" si="84"/>
        <v>9.7816360010908034E-5</v>
      </c>
      <c r="G117" s="2"/>
      <c r="H117" s="7">
        <v>82.31</v>
      </c>
      <c r="I117" s="2"/>
      <c r="J117" s="6">
        <f t="shared" si="85"/>
        <v>1.6966074981930132E-4</v>
      </c>
      <c r="K117" s="2"/>
      <c r="L117" s="7">
        <f t="shared" si="86"/>
        <v>-35.730000000000004</v>
      </c>
      <c r="M117" s="2"/>
      <c r="N117" s="6">
        <f t="shared" si="87"/>
        <v>-0.43409063297290734</v>
      </c>
      <c r="O117" s="11"/>
      <c r="P117" s="7">
        <v>260.18</v>
      </c>
      <c r="Q117" s="2"/>
      <c r="R117" s="6">
        <f t="shared" si="88"/>
        <v>3.6414824615340946E-4</v>
      </c>
      <c r="S117" s="2"/>
      <c r="T117" s="7">
        <v>152.37</v>
      </c>
      <c r="U117" s="2"/>
      <c r="V117" s="6">
        <f t="shared" si="89"/>
        <v>1.9788759376867976E-4</v>
      </c>
      <c r="W117" s="2"/>
      <c r="X117" s="7">
        <f t="shared" si="90"/>
        <v>107.81</v>
      </c>
      <c r="Y117" s="2"/>
      <c r="Z117" s="6">
        <f t="shared" si="91"/>
        <v>0.7075539804423443</v>
      </c>
    </row>
    <row r="118" spans="1:26" s="27" customFormat="1" outlineLevel="1" collapsed="1" x14ac:dyDescent="0.25">
      <c r="A118" s="28"/>
      <c r="B118" s="14" t="str">
        <f>CONCATENATE("     ","Utilities                                         ")</f>
        <v xml:space="preserve">     Utilities                                         </v>
      </c>
      <c r="C118" s="14"/>
      <c r="D118" s="1">
        <f>SUM(OSRRefD22_23x_0)</f>
        <v>-902.88</v>
      </c>
      <c r="E118" s="1"/>
      <c r="F118" s="5">
        <f t="shared" ref="F118:F119" si="92">IF(D$12=0,0,D118/D$12)</f>
        <v>-1.8960162113921995E-3</v>
      </c>
      <c r="G118" s="1"/>
      <c r="H118" s="1">
        <f>SUM(OSRRefH22_23x_0)</f>
        <v>16516</v>
      </c>
      <c r="I118" s="1"/>
      <c r="J118" s="5">
        <f t="shared" ref="J118:J119" si="93">IF(H$12=0,0,H118/H$12)</f>
        <v>3.404345697990014E-2</v>
      </c>
      <c r="K118" s="1"/>
      <c r="L118" s="1">
        <f t="shared" ref="L118:L119" si="94">+D118-H118</f>
        <v>-17418.88</v>
      </c>
      <c r="M118" s="1"/>
      <c r="N118" s="5">
        <f t="shared" ref="N118:N119" si="95">IF(H118=0,0,L118/H118)</f>
        <v>-1.0546669895858563</v>
      </c>
      <c r="O118" s="14"/>
      <c r="P118" s="1">
        <f>SUM(OSRRefP22_23x_0)</f>
        <v>13747.12</v>
      </c>
      <c r="Q118" s="1"/>
      <c r="R118" s="5">
        <f t="shared" ref="R118:R119" si="96">IF(P$12=0,0,P118/P$12)</f>
        <v>1.924048596225866E-2</v>
      </c>
      <c r="S118" s="1"/>
      <c r="T118" s="1">
        <f>SUM(OSRRefT22_23x_0)</f>
        <v>33006</v>
      </c>
      <c r="U118" s="1"/>
      <c r="V118" s="5">
        <f t="shared" ref="V118:V119" si="97">IF(T$12=0,0,T118/T$12)</f>
        <v>4.2865904836444473E-2</v>
      </c>
      <c r="W118" s="1"/>
      <c r="X118" s="1">
        <f t="shared" ref="X118:X119" si="98">+P118-T118</f>
        <v>-19258.879999999997</v>
      </c>
      <c r="Y118" s="1"/>
      <c r="Z118" s="5">
        <f t="shared" ref="Z118:Z119" si="99">IF(T118=0,0,X118/T118)</f>
        <v>-0.58349633399987877</v>
      </c>
    </row>
    <row r="119" spans="1:26" s="24" customFormat="1" hidden="1" outlineLevel="2" x14ac:dyDescent="0.25">
      <c r="A119" s="29"/>
      <c r="B119" s="11" t="str">
        <f>CONCATENATE("          ", "6274", " - ", "UTILITIES")</f>
        <v xml:space="preserve">          6274 - UTILITIES</v>
      </c>
      <c r="C119" s="11"/>
      <c r="D119" s="7">
        <v>-902.88</v>
      </c>
      <c r="E119" s="2"/>
      <c r="F119" s="6">
        <f t="shared" si="92"/>
        <v>-1.8960162113921995E-3</v>
      </c>
      <c r="G119" s="2"/>
      <c r="H119" s="7">
        <v>16516</v>
      </c>
      <c r="I119" s="2"/>
      <c r="J119" s="6">
        <f t="shared" si="93"/>
        <v>3.404345697990014E-2</v>
      </c>
      <c r="K119" s="2"/>
      <c r="L119" s="7">
        <f t="shared" si="94"/>
        <v>-17418.88</v>
      </c>
      <c r="M119" s="2"/>
      <c r="N119" s="6">
        <f t="shared" si="95"/>
        <v>-1.0546669895858563</v>
      </c>
      <c r="O119" s="11"/>
      <c r="P119" s="7">
        <v>13747.12</v>
      </c>
      <c r="Q119" s="2"/>
      <c r="R119" s="6">
        <f t="shared" si="96"/>
        <v>1.924048596225866E-2</v>
      </c>
      <c r="S119" s="2"/>
      <c r="T119" s="7">
        <v>33006</v>
      </c>
      <c r="U119" s="2"/>
      <c r="V119" s="6">
        <f t="shared" si="97"/>
        <v>4.2865904836444473E-2</v>
      </c>
      <c r="W119" s="2"/>
      <c r="X119" s="7">
        <f t="shared" si="98"/>
        <v>-19258.879999999997</v>
      </c>
      <c r="Y119" s="2"/>
      <c r="Z119" s="6">
        <f t="shared" si="99"/>
        <v>-0.58349633399987877</v>
      </c>
    </row>
    <row r="120" spans="1:26" s="62" customFormat="1" x14ac:dyDescent="0.25">
      <c r="A120" s="37"/>
      <c r="B120" s="37"/>
      <c r="C120" s="37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7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5" t="s">
        <v>0</v>
      </c>
      <c r="C121" s="10"/>
      <c r="D121" s="4">
        <f>SUM(OSRRefD25x_0)</f>
        <v>14461.25</v>
      </c>
      <c r="E121" s="4"/>
      <c r="F121" s="12">
        <f t="shared" ref="F121:F124" si="100">IF(D$12=0,0,D121/D$12)</f>
        <v>3.0368115848169685E-2</v>
      </c>
      <c r="G121" s="4"/>
      <c r="H121" s="4">
        <f>SUM(OSRRefH25x_0)</f>
        <v>16298.14</v>
      </c>
      <c r="I121" s="4"/>
      <c r="J121" s="12">
        <f t="shared" ref="J121:J124" si="101">IF(H$12=0,0,H121/H$12)</f>
        <v>3.359439500741037E-2</v>
      </c>
      <c r="K121" s="4"/>
      <c r="L121" s="4">
        <f t="shared" ref="L121:L124" si="102">+D121-H121</f>
        <v>-1836.8899999999994</v>
      </c>
      <c r="M121" s="4"/>
      <c r="N121" s="12">
        <f t="shared" ref="N121:N124" si="103">IF(H121=0,0,L121/H121)</f>
        <v>-0.1127054989096915</v>
      </c>
      <c r="O121" s="10"/>
      <c r="P121" s="4">
        <f>SUM(OSRRefP25x_0)</f>
        <v>65394.66</v>
      </c>
      <c r="Q121" s="4"/>
      <c r="R121" s="12">
        <f t="shared" ref="R121:R124" si="104">IF(P$12=0,0,P121/P$12)</f>
        <v>9.1526446101923745E-2</v>
      </c>
      <c r="S121" s="4"/>
      <c r="T121" s="4">
        <f>SUM(OSRRefT25x_0)</f>
        <v>33859.119999999995</v>
      </c>
      <c r="U121" s="4"/>
      <c r="V121" s="12">
        <f t="shared" ref="V121:V124" si="105">IF(T$12=0,0,T121/T$12)</f>
        <v>4.3973877954485652E-2</v>
      </c>
      <c r="W121" s="4"/>
      <c r="X121" s="4">
        <f t="shared" ref="X121:X124" si="106">+P121-T121</f>
        <v>31535.540000000008</v>
      </c>
      <c r="Y121" s="4"/>
      <c r="Z121" s="12">
        <f t="shared" ref="Z121:Z124" si="107">IF(T121=0,0,X121/T121)</f>
        <v>0.93137506231703637</v>
      </c>
    </row>
    <row r="122" spans="1:26" s="24" customFormat="1" hidden="1" outlineLevel="1" x14ac:dyDescent="0.25">
      <c r="A122" s="50"/>
      <c r="B122" s="11" t="str">
        <f>CONCATENATE("          ", "9150", " - ", "MISC. INCOME")</f>
        <v xml:space="preserve">          9150 - MISC. INCOME</v>
      </c>
      <c r="C122" s="11"/>
      <c r="D122" s="2">
        <f>--6527.69</f>
        <v>6527.69</v>
      </c>
      <c r="E122" s="2"/>
      <c r="F122" s="21">
        <f t="shared" si="100"/>
        <v>1.3707919173027142E-2</v>
      </c>
      <c r="G122" s="2"/>
      <c r="H122" s="2">
        <f>--9535.1</f>
        <v>9535.1</v>
      </c>
      <c r="I122" s="2"/>
      <c r="J122" s="21">
        <f t="shared" si="101"/>
        <v>1.965413941929316E-2</v>
      </c>
      <c r="K122" s="2"/>
      <c r="L122" s="2">
        <f t="shared" si="102"/>
        <v>-3007.4100000000008</v>
      </c>
      <c r="M122" s="2"/>
      <c r="N122" s="21">
        <f t="shared" si="103"/>
        <v>-0.31540413839393405</v>
      </c>
      <c r="O122" s="11"/>
      <c r="P122" s="2">
        <f>--47787.95</f>
        <v>47787.95</v>
      </c>
      <c r="Q122" s="2"/>
      <c r="R122" s="21">
        <f t="shared" si="104"/>
        <v>6.6884073256079715E-2</v>
      </c>
      <c r="S122" s="2"/>
      <c r="T122" s="2">
        <f>--14516.26</f>
        <v>14516.26</v>
      </c>
      <c r="U122" s="2"/>
      <c r="V122" s="21">
        <f t="shared" si="105"/>
        <v>1.8852712226294779E-2</v>
      </c>
      <c r="W122" s="2"/>
      <c r="X122" s="2">
        <f t="shared" si="106"/>
        <v>33271.689999999995</v>
      </c>
      <c r="Y122" s="2"/>
      <c r="Z122" s="21">
        <f t="shared" si="107"/>
        <v>2.2920290763598885</v>
      </c>
    </row>
    <row r="123" spans="1:26" s="24" customFormat="1" hidden="1" outlineLevel="1" x14ac:dyDescent="0.25">
      <c r="A123" s="50"/>
      <c r="B123" s="11" t="str">
        <f>CONCATENATE("          ", "9160", " - ", "MISC. INCOME")</f>
        <v xml:space="preserve">          9160 - MISC. INCOME</v>
      </c>
      <c r="C123" s="11"/>
      <c r="D123" s="2">
        <f>--4981.17</f>
        <v>4981.17</v>
      </c>
      <c r="E123" s="2"/>
      <c r="F123" s="21">
        <f t="shared" si="100"/>
        <v>1.0460281622918309E-2</v>
      </c>
      <c r="G123" s="2"/>
      <c r="H123" s="2">
        <f>--4981.17</f>
        <v>4981.17</v>
      </c>
      <c r="I123" s="2"/>
      <c r="J123" s="21">
        <f t="shared" si="101"/>
        <v>1.0267392020136181E-2</v>
      </c>
      <c r="K123" s="2"/>
      <c r="L123" s="2">
        <f t="shared" si="102"/>
        <v>0</v>
      </c>
      <c r="M123" s="2"/>
      <c r="N123" s="21">
        <f t="shared" si="103"/>
        <v>0</v>
      </c>
      <c r="O123" s="11"/>
      <c r="P123" s="2">
        <f>--10973.27</f>
        <v>10973.27</v>
      </c>
      <c r="Q123" s="2"/>
      <c r="R123" s="21">
        <f t="shared" si="104"/>
        <v>1.5358202110338316E-2</v>
      </c>
      <c r="S123" s="2"/>
      <c r="T123" s="2">
        <f>--15442.16</f>
        <v>15442.16</v>
      </c>
      <c r="U123" s="2"/>
      <c r="V123" s="21">
        <f t="shared" si="105"/>
        <v>2.0055206963253632E-2</v>
      </c>
      <c r="W123" s="2"/>
      <c r="X123" s="2">
        <f t="shared" si="106"/>
        <v>-4468.8899999999994</v>
      </c>
      <c r="Y123" s="2"/>
      <c r="Z123" s="21">
        <f t="shared" si="107"/>
        <v>-0.28939539546281084</v>
      </c>
    </row>
    <row r="124" spans="1:26" s="24" customFormat="1" hidden="1" outlineLevel="1" x14ac:dyDescent="0.25">
      <c r="A124" s="50"/>
      <c r="B124" s="11" t="str">
        <f>CONCATENATE("          ", "9165", " - ", "OTHER INCOME")</f>
        <v xml:space="preserve">          9165 - OTHER INCOME</v>
      </c>
      <c r="C124" s="11"/>
      <c r="D124" s="2">
        <f>--2952.39</f>
        <v>2952.39</v>
      </c>
      <c r="E124" s="2"/>
      <c r="F124" s="21">
        <f t="shared" si="100"/>
        <v>6.199915052224233E-3</v>
      </c>
      <c r="G124" s="2"/>
      <c r="H124" s="2">
        <f>--1781.87</f>
        <v>1781.87</v>
      </c>
      <c r="I124" s="2"/>
      <c r="J124" s="21">
        <f t="shared" si="101"/>
        <v>3.6728635679810278E-3</v>
      </c>
      <c r="K124" s="2"/>
      <c r="L124" s="2">
        <f t="shared" si="102"/>
        <v>1170.52</v>
      </c>
      <c r="M124" s="2"/>
      <c r="N124" s="21">
        <f t="shared" si="103"/>
        <v>0.65690538591479741</v>
      </c>
      <c r="O124" s="11"/>
      <c r="P124" s="2">
        <f>--6633.44</f>
        <v>6633.44</v>
      </c>
      <c r="Q124" s="2"/>
      <c r="R124" s="21">
        <f t="shared" si="104"/>
        <v>9.2841707355056959E-3</v>
      </c>
      <c r="S124" s="2"/>
      <c r="T124" s="2">
        <f>--3900.7</f>
        <v>3900.7</v>
      </c>
      <c r="U124" s="2"/>
      <c r="V124" s="21">
        <f t="shared" si="105"/>
        <v>5.0659587649372522E-3</v>
      </c>
      <c r="W124" s="2"/>
      <c r="X124" s="2">
        <f t="shared" si="106"/>
        <v>2732.74</v>
      </c>
      <c r="Y124" s="2"/>
      <c r="Z124" s="21">
        <f t="shared" si="107"/>
        <v>0.70057681954520978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10"/>
      <c r="B126" s="26" t="s">
        <v>3</v>
      </c>
      <c r="C126" s="26"/>
      <c r="D126" s="20">
        <f>+D35-D37+D121</f>
        <v>-163030.66999999993</v>
      </c>
      <c r="E126" s="13"/>
      <c r="F126" s="19">
        <f>IF(D$12=0,0,D126/D$12)</f>
        <v>-0.34235866701458861</v>
      </c>
      <c r="G126" s="13"/>
      <c r="H126" s="20">
        <f>+H35-H37+H121</f>
        <v>-172693.22000000009</v>
      </c>
      <c r="I126" s="13"/>
      <c r="J126" s="19">
        <f>IF(H$12=0,0,H126/H$12)</f>
        <v>-0.3559623520095927</v>
      </c>
      <c r="K126" s="15"/>
      <c r="L126" s="20">
        <f>+D126-H126</f>
        <v>9662.550000000163</v>
      </c>
      <c r="M126" s="15"/>
      <c r="N126" s="19">
        <f>IF(H126=0,0,L126/H126)</f>
        <v>-5.5952109758565842E-2</v>
      </c>
      <c r="O126" s="25"/>
      <c r="P126" s="20">
        <f>+P35-P37+P121</f>
        <v>-457177.6799999997</v>
      </c>
      <c r="Q126" s="13"/>
      <c r="R126" s="19">
        <f>IF(P$12=0,0,P126/P$12)</f>
        <v>-0.63986643997418913</v>
      </c>
      <c r="S126" s="13"/>
      <c r="T126" s="20">
        <f>+T35-T37+T121</f>
        <v>-405412.66999999993</v>
      </c>
      <c r="U126" s="13"/>
      <c r="V126" s="19">
        <f>IF(T$12=0,0,T126/T$12)</f>
        <v>-0.52652187274158824</v>
      </c>
      <c r="W126" s="15"/>
      <c r="X126" s="20">
        <f>+P126-T126</f>
        <v>-51765.009999999776</v>
      </c>
      <c r="Y126" s="15"/>
      <c r="Z126" s="19">
        <f>IF(T126=0,0,X126/T126)</f>
        <v>0.12768473664130869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51"/>
      <c r="B128" s="10" t="s">
        <v>13</v>
      </c>
      <c r="C128" s="10"/>
      <c r="D128" s="4">
        <v>39536.120000000003</v>
      </c>
      <c r="E128" s="4"/>
      <c r="F128" s="12">
        <f>IF(D$12=0,0,D128/D$12)</f>
        <v>8.3024460011903431E-2</v>
      </c>
      <c r="G128" s="4"/>
      <c r="H128" s="4">
        <v>20134.18</v>
      </c>
      <c r="I128" s="4"/>
      <c r="J128" s="12">
        <f>IF(H$12=0,0,H128/H$12)</f>
        <v>4.150139807795869E-2</v>
      </c>
      <c r="K128" s="4"/>
      <c r="L128" s="4">
        <f>+D128-H128</f>
        <v>19401.940000000002</v>
      </c>
      <c r="M128" s="4"/>
      <c r="N128" s="12">
        <f>IF(H128=0,0,L128/H128)</f>
        <v>0.96363199295923663</v>
      </c>
      <c r="O128" s="10"/>
      <c r="P128" s="4">
        <v>89083.78</v>
      </c>
      <c r="Q128" s="4"/>
      <c r="R128" s="12">
        <f>IF(P$12=0,0,P128/P$12)</f>
        <v>0.12468176742146272</v>
      </c>
      <c r="S128" s="4"/>
      <c r="T128" s="4">
        <v>78611.600000000006</v>
      </c>
      <c r="U128" s="4"/>
      <c r="V128" s="12">
        <f>IF(T$12=0,0,T128/T$12)</f>
        <v>0.10209529675333692</v>
      </c>
      <c r="W128" s="4"/>
      <c r="X128" s="4">
        <f>+P128-T128</f>
        <v>10472.179999999993</v>
      </c>
      <c r="Y128" s="4"/>
      <c r="Z128" s="12">
        <f>IF(T128=0,0,X128/T128)</f>
        <v>0.13321418213088135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6" t="s">
        <v>4</v>
      </c>
      <c r="C130" s="26"/>
      <c r="D130" s="31">
        <f>+D126-D128</f>
        <v>-202566.78999999992</v>
      </c>
      <c r="E130" s="13"/>
      <c r="F130" s="36">
        <f>IF(D$12=0,0,D130/D$12)</f>
        <v>-0.42538312702649206</v>
      </c>
      <c r="G130" s="13"/>
      <c r="H130" s="31">
        <f>+H126-H128</f>
        <v>-192827.40000000008</v>
      </c>
      <c r="I130" s="13"/>
      <c r="J130" s="36">
        <f>IF(H$12=0,0,H130/H$12)</f>
        <v>-0.39746375008755136</v>
      </c>
      <c r="K130" s="15"/>
      <c r="L130" s="31">
        <f>D130-H130</f>
        <v>-9739.3899999998393</v>
      </c>
      <c r="M130" s="15"/>
      <c r="N130" s="36">
        <f>IF(H130=0,0,L130/H130)</f>
        <v>5.0508330247671415E-2</v>
      </c>
      <c r="O130" s="25"/>
      <c r="P130" s="31">
        <f>+P126-P128</f>
        <v>-546261.45999999973</v>
      </c>
      <c r="Q130" s="13"/>
      <c r="R130" s="36">
        <f>IF(P$12=0,0,P130/P$12)</f>
        <v>-0.76454820739565188</v>
      </c>
      <c r="S130" s="13"/>
      <c r="T130" s="31">
        <f>+T126-T128</f>
        <v>-484024.2699999999</v>
      </c>
      <c r="U130" s="13"/>
      <c r="V130" s="36">
        <f>IF(T$12=0,0,T130/T$12)</f>
        <v>-0.62861716949492519</v>
      </c>
      <c r="W130" s="15"/>
      <c r="X130" s="31">
        <f>P130-T130</f>
        <v>-62237.189999999828</v>
      </c>
      <c r="Y130" s="15"/>
      <c r="Z130" s="36">
        <f>IF(T130=0,0,X130/T130)</f>
        <v>0.12858278780111551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6" t="s">
        <v>5</v>
      </c>
      <c r="C133" s="26"/>
      <c r="D133" s="32">
        <f>SUM(D130:D132)</f>
        <v>-202566.78999999992</v>
      </c>
      <c r="E133" s="13"/>
      <c r="F133" s="30">
        <f>IF(D$12=0,0,D133/D$12)</f>
        <v>-0.42538312702649206</v>
      </c>
      <c r="G133" s="13"/>
      <c r="H133" s="32">
        <f>SUM(H130:H132)</f>
        <v>-192827.40000000008</v>
      </c>
      <c r="I133" s="13"/>
      <c r="J133" s="30">
        <f>IF(H$12=0,0,H133/H$12)</f>
        <v>-0.39746375008755136</v>
      </c>
      <c r="K133" s="15"/>
      <c r="L133" s="32">
        <f>+D133-H133</f>
        <v>-9739.3899999998393</v>
      </c>
      <c r="M133" s="15"/>
      <c r="N133" s="30">
        <f>IF(H133=0,0,L133/H133)</f>
        <v>5.0508330247671415E-2</v>
      </c>
      <c r="O133" s="25"/>
      <c r="P133" s="32">
        <f>SUM(P130:P132)</f>
        <v>-546261.45999999973</v>
      </c>
      <c r="Q133" s="13"/>
      <c r="R133" s="30">
        <f>IF(P$12=0,0,P133/P$12)</f>
        <v>-0.76454820739565188</v>
      </c>
      <c r="S133" s="13"/>
      <c r="T133" s="32">
        <f>SUM(T130:T132)</f>
        <v>-484024.2699999999</v>
      </c>
      <c r="U133" s="13"/>
      <c r="V133" s="30">
        <f>IF(T$12=0,0,T133/T$12)</f>
        <v>-0.62861716949492519</v>
      </c>
      <c r="W133" s="15"/>
      <c r="X133" s="32">
        <f>+P133-T133</f>
        <v>-62237.189999999828</v>
      </c>
      <c r="Y133" s="15"/>
      <c r="Z133" s="30">
        <f>IF(T133=0,0,X133/T133)</f>
        <v>0.12858278780111551</v>
      </c>
    </row>
    <row r="134" spans="1:26" ht="15.75" thickTop="1" x14ac:dyDescent="0.25">
      <c r="A134" s="9"/>
      <c r="C134" s="9"/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25">
      <c r="A135" s="9"/>
      <c r="B135" s="57">
        <v>43732.709303240743</v>
      </c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A136" s="9"/>
      <c r="B136" s="60" t="s">
        <v>313</v>
      </c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A137" s="9"/>
      <c r="B137" s="56"/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6"/>
  <sheetViews>
    <sheetView zoomScale="80" workbookViewId="0">
      <pane xSplit="3" ySplit="10" topLeftCell="D66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347480.10000000009</v>
      </c>
      <c r="E12" s="4"/>
      <c r="F12" s="12"/>
      <c r="G12" s="4"/>
      <c r="H12" s="4">
        <f>SUM(OSRRefH13x_0)</f>
        <v>351226.54</v>
      </c>
      <c r="I12" s="4"/>
      <c r="J12" s="12"/>
      <c r="K12" s="4"/>
      <c r="L12" s="4">
        <f t="shared" ref="L12:L22" si="0">+D12-H12</f>
        <v>-3746.4399999998859</v>
      </c>
      <c r="M12" s="4"/>
      <c r="N12" s="12">
        <f t="shared" ref="N12:N22" si="1">IF(H12=0,0,L12/H12)</f>
        <v>-1.0666733783841864E-2</v>
      </c>
      <c r="O12" s="10"/>
      <c r="P12" s="4">
        <f>SUM(OSRRefP13x_0)</f>
        <v>526945.93000000005</v>
      </c>
      <c r="Q12" s="4"/>
      <c r="R12" s="12"/>
      <c r="S12" s="4"/>
      <c r="T12" s="4">
        <f>SUM(OSRRefT13x_0)</f>
        <v>577133.13000000012</v>
      </c>
      <c r="U12" s="4"/>
      <c r="V12" s="12"/>
      <c r="W12" s="4"/>
      <c r="X12" s="4">
        <f t="shared" ref="X12:X22" si="2">+P12-T12</f>
        <v>-50187.20000000007</v>
      </c>
      <c r="Y12" s="4"/>
      <c r="Z12" s="12">
        <f t="shared" ref="Z12:Z22" si="3">IF(T12=0,0,X12/T12)</f>
        <v>-8.6959485413703519E-2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--34317.05</f>
        <v>34317.050000000003</v>
      </c>
      <c r="E13" s="2"/>
      <c r="F13" s="21"/>
      <c r="G13" s="2"/>
      <c r="H13" s="2">
        <f>--34956.57</f>
        <v>34956.57</v>
      </c>
      <c r="I13" s="2"/>
      <c r="J13" s="21"/>
      <c r="K13" s="2"/>
      <c r="L13" s="2">
        <f t="shared" si="0"/>
        <v>-639.5199999999968</v>
      </c>
      <c r="M13" s="2"/>
      <c r="N13" s="21">
        <f t="shared" si="1"/>
        <v>-1.8294701110549372E-2</v>
      </c>
      <c r="O13" s="11"/>
      <c r="P13" s="2">
        <f>--53195.75</f>
        <v>53195.75</v>
      </c>
      <c r="Q13" s="2"/>
      <c r="R13" s="21"/>
      <c r="S13" s="2"/>
      <c r="T13" s="2">
        <f>--55282.13</f>
        <v>55282.13</v>
      </c>
      <c r="U13" s="2"/>
      <c r="V13" s="21"/>
      <c r="W13" s="2"/>
      <c r="X13" s="2">
        <f t="shared" si="2"/>
        <v>-2086.3799999999974</v>
      </c>
      <c r="Y13" s="2"/>
      <c r="Z13" s="21">
        <f t="shared" si="3"/>
        <v>-3.7740586334137224E-2</v>
      </c>
    </row>
    <row r="14" spans="1:26" s="24" customFormat="1" hidden="1" outlineLevel="1" x14ac:dyDescent="0.25">
      <c r="A14" s="50"/>
      <c r="B14" s="11" t="str">
        <f>CONCATENATE("          ", "4052", " - ", "TAXABLE SALES-FOOD")</f>
        <v xml:space="preserve">          4052 - TAXABLE SALES-FOOD</v>
      </c>
      <c r="C14" s="11"/>
      <c r="D14" s="2">
        <f>--95751.36</f>
        <v>95751.360000000001</v>
      </c>
      <c r="E14" s="2"/>
      <c r="F14" s="21"/>
      <c r="G14" s="2"/>
      <c r="H14" s="2">
        <f>--90194.84</f>
        <v>90194.84</v>
      </c>
      <c r="I14" s="2"/>
      <c r="J14" s="21"/>
      <c r="K14" s="2"/>
      <c r="L14" s="2">
        <f t="shared" si="0"/>
        <v>5556.5200000000041</v>
      </c>
      <c r="M14" s="2"/>
      <c r="N14" s="21">
        <f t="shared" si="1"/>
        <v>6.1605741525790216E-2</v>
      </c>
      <c r="O14" s="11"/>
      <c r="P14" s="2">
        <f>--139530.2</f>
        <v>139530.20000000001</v>
      </c>
      <c r="Q14" s="2"/>
      <c r="R14" s="21"/>
      <c r="S14" s="2"/>
      <c r="T14" s="2">
        <f>--189834.62</f>
        <v>189834.62</v>
      </c>
      <c r="U14" s="2"/>
      <c r="V14" s="21"/>
      <c r="W14" s="2"/>
      <c r="X14" s="2">
        <f t="shared" si="2"/>
        <v>-50304.419999999984</v>
      </c>
      <c r="Y14" s="2"/>
      <c r="Z14" s="21">
        <f t="shared" si="3"/>
        <v>-0.26499075879836875</v>
      </c>
    </row>
    <row r="15" spans="1:26" s="24" customFormat="1" hidden="1" outlineLevel="1" x14ac:dyDescent="0.25">
      <c r="A15" s="50"/>
      <c r="B15" s="11" t="str">
        <f>CONCATENATE("          ", "4053", " - ", "TAXABLE SALES-FOOD")</f>
        <v xml:space="preserve">          4053 - TAXABLE SALES-FOOD</v>
      </c>
      <c r="C15" s="11"/>
      <c r="D15" s="2">
        <f>--19917.63</f>
        <v>19917.63</v>
      </c>
      <c r="E15" s="2"/>
      <c r="F15" s="21"/>
      <c r="G15" s="2"/>
      <c r="H15" s="2">
        <f>--21067.54</f>
        <v>21067.54</v>
      </c>
      <c r="I15" s="2"/>
      <c r="J15" s="21"/>
      <c r="K15" s="2"/>
      <c r="L15" s="2">
        <f t="shared" si="0"/>
        <v>-1149.9099999999999</v>
      </c>
      <c r="M15" s="2"/>
      <c r="N15" s="21">
        <f t="shared" si="1"/>
        <v>-5.4582072705213792E-2</v>
      </c>
      <c r="O15" s="11"/>
      <c r="P15" s="2">
        <f>--44848.74</f>
        <v>44848.74</v>
      </c>
      <c r="Q15" s="2"/>
      <c r="R15" s="21"/>
      <c r="S15" s="2"/>
      <c r="T15" s="2">
        <f>--32571.4</f>
        <v>32571.4</v>
      </c>
      <c r="U15" s="2"/>
      <c r="V15" s="21"/>
      <c r="W15" s="2"/>
      <c r="X15" s="2">
        <f t="shared" si="2"/>
        <v>12277.339999999997</v>
      </c>
      <c r="Y15" s="2"/>
      <c r="Z15" s="21">
        <f t="shared" si="3"/>
        <v>0.37693620783877868</v>
      </c>
    </row>
    <row r="16" spans="1:26" s="24" customFormat="1" hidden="1" outlineLevel="1" x14ac:dyDescent="0.25">
      <c r="A16" s="50"/>
      <c r="B16" s="11" t="str">
        <f>CONCATENATE("          ", "4055", " - ", "TAXABLE SALES-FOOD")</f>
        <v xml:space="preserve">          4055 - TAXABLE SALES-FOOD</v>
      </c>
      <c r="C16" s="11"/>
      <c r="D16" s="2">
        <f>--29693.44</f>
        <v>29693.439999999999</v>
      </c>
      <c r="E16" s="2"/>
      <c r="F16" s="21"/>
      <c r="G16" s="2"/>
      <c r="H16" s="2">
        <f>--32069.87</f>
        <v>32069.87</v>
      </c>
      <c r="I16" s="2"/>
      <c r="J16" s="21"/>
      <c r="K16" s="2"/>
      <c r="L16" s="2">
        <f t="shared" si="0"/>
        <v>-2376.4300000000003</v>
      </c>
      <c r="M16" s="2"/>
      <c r="N16" s="21">
        <f t="shared" si="1"/>
        <v>-7.4101641197797191E-2</v>
      </c>
      <c r="O16" s="11"/>
      <c r="P16" s="2">
        <f>--43937.07</f>
        <v>43937.07</v>
      </c>
      <c r="Q16" s="2"/>
      <c r="R16" s="21"/>
      <c r="S16" s="2"/>
      <c r="T16" s="2">
        <f>--50165.69</f>
        <v>50165.69</v>
      </c>
      <c r="U16" s="2"/>
      <c r="V16" s="21"/>
      <c r="W16" s="2"/>
      <c r="X16" s="2">
        <f t="shared" si="2"/>
        <v>-6228.6200000000026</v>
      </c>
      <c r="Y16" s="2"/>
      <c r="Z16" s="21">
        <f t="shared" si="3"/>
        <v>-0.12416095542590967</v>
      </c>
    </row>
    <row r="17" spans="1:26" s="24" customFormat="1" hidden="1" outlineLevel="1" x14ac:dyDescent="0.25">
      <c r="A17" s="50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21"/>
      <c r="G17" s="2"/>
      <c r="H17" s="2">
        <f>--11506.08</f>
        <v>11506.08</v>
      </c>
      <c r="I17" s="2"/>
      <c r="J17" s="21"/>
      <c r="K17" s="2"/>
      <c r="L17" s="2">
        <f t="shared" si="0"/>
        <v>-11506.08</v>
      </c>
      <c r="M17" s="2"/>
      <c r="N17" s="21">
        <f t="shared" si="1"/>
        <v>-1</v>
      </c>
      <c r="O17" s="11"/>
      <c r="P17" s="2">
        <f>0</f>
        <v>0</v>
      </c>
      <c r="Q17" s="2"/>
      <c r="R17" s="21"/>
      <c r="S17" s="2"/>
      <c r="T17" s="2">
        <f>--11506.08</f>
        <v>11506.08</v>
      </c>
      <c r="U17" s="2"/>
      <c r="V17" s="21"/>
      <c r="W17" s="2"/>
      <c r="X17" s="2">
        <f t="shared" si="2"/>
        <v>-11506.08</v>
      </c>
      <c r="Y17" s="2"/>
      <c r="Z17" s="21">
        <f t="shared" si="3"/>
        <v>-1</v>
      </c>
    </row>
    <row r="18" spans="1:26" s="24" customFormat="1" hidden="1" outlineLevel="1" x14ac:dyDescent="0.25">
      <c r="A18" s="50"/>
      <c r="B18" s="11" t="str">
        <f>CONCATENATE("          ", "4058", " - ", "TAXABLE SALES-FOOD")</f>
        <v xml:space="preserve">          4058 - TAXABLE SALES-FOOD</v>
      </c>
      <c r="C18" s="11"/>
      <c r="D18" s="2">
        <f>--9436.48</f>
        <v>9436.48</v>
      </c>
      <c r="E18" s="2"/>
      <c r="F18" s="21"/>
      <c r="G18" s="2"/>
      <c r="H18" s="2">
        <f>--13188.27</f>
        <v>13188.27</v>
      </c>
      <c r="I18" s="2"/>
      <c r="J18" s="21"/>
      <c r="K18" s="2"/>
      <c r="L18" s="2">
        <f t="shared" si="0"/>
        <v>-3751.7900000000009</v>
      </c>
      <c r="M18" s="2"/>
      <c r="N18" s="21">
        <f t="shared" si="1"/>
        <v>-0.28447931381447306</v>
      </c>
      <c r="O18" s="11"/>
      <c r="P18" s="2">
        <f>--17838.14</f>
        <v>17838.14</v>
      </c>
      <c r="Q18" s="2"/>
      <c r="R18" s="21"/>
      <c r="S18" s="2"/>
      <c r="T18" s="2">
        <f>--28372.29</f>
        <v>28372.29</v>
      </c>
      <c r="U18" s="2"/>
      <c r="V18" s="21"/>
      <c r="W18" s="2"/>
      <c r="X18" s="2">
        <f t="shared" si="2"/>
        <v>-10534.150000000001</v>
      </c>
      <c r="Y18" s="2"/>
      <c r="Z18" s="21">
        <f t="shared" si="3"/>
        <v>-0.37128303707596394</v>
      </c>
    </row>
    <row r="19" spans="1:26" s="24" customFormat="1" hidden="1" outlineLevel="1" x14ac:dyDescent="0.25">
      <c r="A19" s="50"/>
      <c r="B19" s="11" t="str">
        <f>CONCATENATE("          ", "4151", " - ", "NON-TAXABLE SALES-FOOD")</f>
        <v xml:space="preserve">          4151 - NON-TAXABLE SALES-FOOD</v>
      </c>
      <c r="C19" s="11"/>
      <c r="D19" s="2">
        <f>--78475.1</f>
        <v>78475.100000000006</v>
      </c>
      <c r="E19" s="2"/>
      <c r="F19" s="21"/>
      <c r="G19" s="2"/>
      <c r="H19" s="2">
        <f>--67212.19</f>
        <v>67212.19</v>
      </c>
      <c r="I19" s="2"/>
      <c r="J19" s="21"/>
      <c r="K19" s="2"/>
      <c r="L19" s="2">
        <f t="shared" si="0"/>
        <v>11262.910000000003</v>
      </c>
      <c r="M19" s="2"/>
      <c r="N19" s="21">
        <f t="shared" si="1"/>
        <v>0.167572429941652</v>
      </c>
      <c r="O19" s="11"/>
      <c r="P19" s="2">
        <f>--108843.55</f>
        <v>108843.55</v>
      </c>
      <c r="Q19" s="2"/>
      <c r="R19" s="21"/>
      <c r="S19" s="2"/>
      <c r="T19" s="2">
        <f>--79855.7</f>
        <v>79855.7</v>
      </c>
      <c r="U19" s="2"/>
      <c r="V19" s="21"/>
      <c r="W19" s="2"/>
      <c r="X19" s="2">
        <f t="shared" si="2"/>
        <v>28987.850000000006</v>
      </c>
      <c r="Y19" s="2"/>
      <c r="Z19" s="21">
        <f t="shared" si="3"/>
        <v>0.36300289146548093</v>
      </c>
    </row>
    <row r="20" spans="1:26" s="24" customFormat="1" hidden="1" outlineLevel="1" x14ac:dyDescent="0.25">
      <c r="A20" s="50"/>
      <c r="B20" s="11" t="str">
        <f>CONCATENATE("          ", "4152", " - ", "NON-TAXABLE SALES-FOOD")</f>
        <v xml:space="preserve">          4152 - NON-TAXABLE SALES-FOOD</v>
      </c>
      <c r="C20" s="11"/>
      <c r="D20" s="2">
        <f>--3990.43</f>
        <v>3990.43</v>
      </c>
      <c r="E20" s="2"/>
      <c r="F20" s="21"/>
      <c r="G20" s="2"/>
      <c r="H20" s="2">
        <f>--3838.79</f>
        <v>3838.79</v>
      </c>
      <c r="I20" s="2"/>
      <c r="J20" s="21"/>
      <c r="K20" s="2"/>
      <c r="L20" s="2">
        <f t="shared" si="0"/>
        <v>151.63999999999987</v>
      </c>
      <c r="M20" s="2"/>
      <c r="N20" s="21">
        <f t="shared" si="1"/>
        <v>3.9502030587763297E-2</v>
      </c>
      <c r="O20" s="11"/>
      <c r="P20" s="2">
        <f>--7657.52</f>
        <v>7657.52</v>
      </c>
      <c r="Q20" s="2"/>
      <c r="R20" s="21"/>
      <c r="S20" s="2"/>
      <c r="T20" s="2">
        <f>--7672.53</f>
        <v>7672.53</v>
      </c>
      <c r="U20" s="2"/>
      <c r="V20" s="21"/>
      <c r="W20" s="2"/>
      <c r="X20" s="2">
        <f t="shared" si="2"/>
        <v>-15.009999999999309</v>
      </c>
      <c r="Y20" s="2"/>
      <c r="Z20" s="21">
        <f t="shared" si="3"/>
        <v>-1.956329919856854E-3</v>
      </c>
    </row>
    <row r="21" spans="1:26" s="24" customFormat="1" hidden="1" outlineLevel="1" x14ac:dyDescent="0.25">
      <c r="A21" s="50"/>
      <c r="B21" s="11" t="str">
        <f>CONCATENATE("          ", "4155", " - ", "NON-TAXABLE SALES-FOOD")</f>
        <v xml:space="preserve">          4155 - NON-TAXABLE SALES-FOOD</v>
      </c>
      <c r="C21" s="11"/>
      <c r="D21" s="2">
        <f>--45088.39</f>
        <v>45088.39</v>
      </c>
      <c r="E21" s="2"/>
      <c r="F21" s="21"/>
      <c r="G21" s="2"/>
      <c r="H21" s="2">
        <f>--45129.81</f>
        <v>45129.81</v>
      </c>
      <c r="I21" s="2"/>
      <c r="J21" s="21"/>
      <c r="K21" s="2"/>
      <c r="L21" s="2">
        <f t="shared" si="0"/>
        <v>-41.419999999998254</v>
      </c>
      <c r="M21" s="2"/>
      <c r="N21" s="21">
        <f t="shared" si="1"/>
        <v>-9.1779690630202639E-4</v>
      </c>
      <c r="O21" s="11"/>
      <c r="P21" s="2">
        <f>--70725.05</f>
        <v>70725.05</v>
      </c>
      <c r="Q21" s="2"/>
      <c r="R21" s="21"/>
      <c r="S21" s="2"/>
      <c r="T21" s="2">
        <f>--67397.32</f>
        <v>67397.320000000007</v>
      </c>
      <c r="U21" s="2"/>
      <c r="V21" s="21"/>
      <c r="W21" s="2"/>
      <c r="X21" s="2">
        <f t="shared" si="2"/>
        <v>3327.7299999999959</v>
      </c>
      <c r="Y21" s="2"/>
      <c r="Z21" s="21">
        <f t="shared" si="3"/>
        <v>4.9374811936142203E-2</v>
      </c>
    </row>
    <row r="22" spans="1:26" s="24" customFormat="1" hidden="1" outlineLevel="1" x14ac:dyDescent="0.25">
      <c r="A22" s="50"/>
      <c r="B22" s="11" t="str">
        <f>CONCATENATE("          ", "4158", " - ", "NON-TAXABLE SALES-FOOD")</f>
        <v xml:space="preserve">          4158 - NON-TAXABLE SALES-FOOD</v>
      </c>
      <c r="C22" s="11"/>
      <c r="D22" s="2">
        <f>--30810.22</f>
        <v>30810.22</v>
      </c>
      <c r="E22" s="2"/>
      <c r="F22" s="21"/>
      <c r="G22" s="2"/>
      <c r="H22" s="2">
        <f>--32062.58</f>
        <v>32062.58</v>
      </c>
      <c r="I22" s="2"/>
      <c r="J22" s="21"/>
      <c r="K22" s="2"/>
      <c r="L22" s="2">
        <f t="shared" si="0"/>
        <v>-1252.3600000000006</v>
      </c>
      <c r="M22" s="2"/>
      <c r="N22" s="21">
        <f t="shared" si="1"/>
        <v>-3.905986355433657E-2</v>
      </c>
      <c r="O22" s="11"/>
      <c r="P22" s="2">
        <f>--40369.91</f>
        <v>40369.910000000003</v>
      </c>
      <c r="Q22" s="2"/>
      <c r="R22" s="21"/>
      <c r="S22" s="2"/>
      <c r="T22" s="2">
        <f>--54475.37</f>
        <v>54475.37</v>
      </c>
      <c r="U22" s="2"/>
      <c r="V22" s="21"/>
      <c r="W22" s="2"/>
      <c r="X22" s="2">
        <f t="shared" si="2"/>
        <v>-14105.46</v>
      </c>
      <c r="Y22" s="2"/>
      <c r="Z22" s="21">
        <f t="shared" si="3"/>
        <v>-0.25893279843716527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5" t="s">
        <v>8</v>
      </c>
      <c r="C24" s="10"/>
      <c r="D24" s="4">
        <f>SUM(OSRRefD16x_0)</f>
        <v>108837.59</v>
      </c>
      <c r="E24" s="4"/>
      <c r="F24" s="12">
        <f t="shared" ref="F24:F26" si="4">IF(D$12=0,0,D24/D$12)</f>
        <v>0.31321963473591713</v>
      </c>
      <c r="G24" s="4"/>
      <c r="H24" s="4">
        <f>SUM(OSRRefH16x_0)</f>
        <v>109217.87999999999</v>
      </c>
      <c r="I24" s="4"/>
      <c r="J24" s="12">
        <f t="shared" ref="J24:J26" si="5">IF(H$12=0,0,H24/H$12)</f>
        <v>0.3109613527497096</v>
      </c>
      <c r="K24" s="4"/>
      <c r="L24" s="4">
        <f t="shared" ref="L24:L26" si="6">+D24-H24</f>
        <v>-380.2899999999936</v>
      </c>
      <c r="M24" s="4"/>
      <c r="N24" s="12">
        <f t="shared" ref="N24:N26" si="7">IF(H24=0,0,L24/H24)</f>
        <v>-3.4819390378204892E-3</v>
      </c>
      <c r="O24" s="10"/>
      <c r="P24" s="4">
        <f>SUM(OSRRefP16x_0)</f>
        <v>178458.82</v>
      </c>
      <c r="Q24" s="4"/>
      <c r="R24" s="12">
        <f t="shared" ref="R24:R26" si="8">IF(P$12=0,0,P24/P$12)</f>
        <v>0.33866628403411331</v>
      </c>
      <c r="S24" s="4"/>
      <c r="T24" s="4">
        <f>SUM(OSRRefT16x_0)</f>
        <v>181300.63</v>
      </c>
      <c r="U24" s="4"/>
      <c r="V24" s="12">
        <f t="shared" ref="V24:V26" si="9">IF(T$12=0,0,T24/T$12)</f>
        <v>0.31414004945444729</v>
      </c>
      <c r="W24" s="4"/>
      <c r="X24" s="4">
        <f t="shared" ref="X24:X26" si="10">+P24-T24</f>
        <v>-2841.8099999999977</v>
      </c>
      <c r="Y24" s="4"/>
      <c r="Z24" s="12">
        <f t="shared" ref="Z24:Z26" si="11">IF(T24=0,0,X24/T24)</f>
        <v>-1.5674573221284436E-2</v>
      </c>
    </row>
    <row r="25" spans="1:26" s="24" customFormat="1" hidden="1" outlineLevel="1" x14ac:dyDescent="0.25">
      <c r="A25" s="50"/>
      <c r="B25" s="11" t="str">
        <f>CONCATENATE("          ", "5053", " - ", "PURCHASES @ COST-FOOD")</f>
        <v xml:space="preserve">          5053 - PURCHASES @ COST-FOOD</v>
      </c>
      <c r="C25" s="11"/>
      <c r="D25" s="2">
        <v>125619.93</v>
      </c>
      <c r="E25" s="2"/>
      <c r="F25" s="21">
        <f t="shared" si="4"/>
        <v>0.36151690413350279</v>
      </c>
      <c r="G25" s="2"/>
      <c r="H25" s="2">
        <v>132077.99</v>
      </c>
      <c r="I25" s="2"/>
      <c r="J25" s="21">
        <f t="shared" si="5"/>
        <v>0.37604786358115194</v>
      </c>
      <c r="K25" s="2"/>
      <c r="L25" s="2">
        <f t="shared" si="6"/>
        <v>-6458.0599999999977</v>
      </c>
      <c r="M25" s="2"/>
      <c r="N25" s="21">
        <f t="shared" si="7"/>
        <v>-4.8895807696649515E-2</v>
      </c>
      <c r="O25" s="11"/>
      <c r="P25" s="2">
        <v>203483.16</v>
      </c>
      <c r="Q25" s="2"/>
      <c r="R25" s="21">
        <f t="shared" si="8"/>
        <v>0.38615567255638539</v>
      </c>
      <c r="S25" s="2"/>
      <c r="T25" s="2">
        <v>212110.88</v>
      </c>
      <c r="U25" s="2"/>
      <c r="V25" s="21">
        <f t="shared" si="9"/>
        <v>0.36752504573771388</v>
      </c>
      <c r="W25" s="2"/>
      <c r="X25" s="2">
        <f t="shared" si="10"/>
        <v>-8627.7200000000012</v>
      </c>
      <c r="Y25" s="2"/>
      <c r="Z25" s="21">
        <f t="shared" si="11"/>
        <v>-4.0675518389250001E-2</v>
      </c>
    </row>
    <row r="26" spans="1:26" s="24" customFormat="1" hidden="1" outlineLevel="1" x14ac:dyDescent="0.25">
      <c r="A26" s="50"/>
      <c r="B26" s="11" t="str">
        <f>CONCATENATE("          ", "5059", " - ", "PURCHASES @ COST-FOOD")</f>
        <v xml:space="preserve">          5059 - PURCHASES @ COST-FOOD</v>
      </c>
      <c r="C26" s="11"/>
      <c r="D26" s="2">
        <v>-16782.34</v>
      </c>
      <c r="E26" s="2"/>
      <c r="F26" s="21">
        <f t="shared" si="4"/>
        <v>-4.8297269397585635E-2</v>
      </c>
      <c r="G26" s="2"/>
      <c r="H26" s="2">
        <v>-22860.11</v>
      </c>
      <c r="I26" s="2"/>
      <c r="J26" s="21">
        <f t="shared" si="5"/>
        <v>-6.5086510831442304E-2</v>
      </c>
      <c r="K26" s="2"/>
      <c r="L26" s="2">
        <f t="shared" si="6"/>
        <v>6077.77</v>
      </c>
      <c r="M26" s="2"/>
      <c r="N26" s="21">
        <f t="shared" si="7"/>
        <v>-0.26586792452004826</v>
      </c>
      <c r="O26" s="11"/>
      <c r="P26" s="2">
        <v>-25024.34</v>
      </c>
      <c r="Q26" s="2"/>
      <c r="R26" s="21">
        <f t="shared" si="8"/>
        <v>-4.7489388522272101E-2</v>
      </c>
      <c r="S26" s="2"/>
      <c r="T26" s="2">
        <v>-30810.25</v>
      </c>
      <c r="U26" s="2"/>
      <c r="V26" s="21">
        <f t="shared" si="9"/>
        <v>-5.3384996283266553E-2</v>
      </c>
      <c r="W26" s="2"/>
      <c r="X26" s="2">
        <f t="shared" si="10"/>
        <v>5785.91</v>
      </c>
      <c r="Y26" s="2"/>
      <c r="Z26" s="21">
        <f t="shared" si="11"/>
        <v>-0.18779172515640086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6</v>
      </c>
      <c r="C28" s="26"/>
      <c r="D28" s="20">
        <f>D12-D24</f>
        <v>238642.5100000001</v>
      </c>
      <c r="E28" s="13"/>
      <c r="F28" s="19">
        <f>IF(D$12=0,0,D28/D$12)</f>
        <v>0.68678036526408281</v>
      </c>
      <c r="G28" s="13"/>
      <c r="H28" s="20">
        <f>H12-H24</f>
        <v>242008.65999999997</v>
      </c>
      <c r="I28" s="13"/>
      <c r="J28" s="19">
        <f>IF(H$12=0,0,H28/H$12)</f>
        <v>0.68903864725029029</v>
      </c>
      <c r="K28" s="15"/>
      <c r="L28" s="20">
        <f>+D28-H28</f>
        <v>-3366.1499999998778</v>
      </c>
      <c r="M28" s="15"/>
      <c r="N28" s="19">
        <f>IF(H28=0,0,L28/H28)</f>
        <v>-1.3909213000889631E-2</v>
      </c>
      <c r="O28" s="25"/>
      <c r="P28" s="20">
        <f>P12-P24</f>
        <v>348487.11000000004</v>
      </c>
      <c r="Q28" s="13"/>
      <c r="R28" s="19">
        <f>IF(P$12=0,0,P28/P$12)</f>
        <v>0.66133371596588664</v>
      </c>
      <c r="S28" s="13"/>
      <c r="T28" s="20">
        <f>T12-T24</f>
        <v>395832.50000000012</v>
      </c>
      <c r="U28" s="13"/>
      <c r="V28" s="19">
        <f>IF(T$12=0,0,T28/T$12)</f>
        <v>0.68585995054555271</v>
      </c>
      <c r="W28" s="15"/>
      <c r="X28" s="20">
        <f>+P28-T28</f>
        <v>-47345.390000000072</v>
      </c>
      <c r="Y28" s="15"/>
      <c r="Z28" s="19">
        <f>IF(T28=0,0,X28/T28)</f>
        <v>-0.11960965812559621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9</v>
      </c>
      <c r="C30" s="10"/>
      <c r="D30" s="22">
        <f>SUM(OSRRefD22x_0)</f>
        <v>390908.52000000014</v>
      </c>
      <c r="E30" s="22"/>
      <c r="F30" s="33">
        <f t="shared" ref="F30:F40" si="12">IF(D$12=0,0,D30/D$12)</f>
        <v>1.1249810276905068</v>
      </c>
      <c r="G30" s="22"/>
      <c r="H30" s="22">
        <f>SUM(OSRRefH22x_0)</f>
        <v>402352.5400000001</v>
      </c>
      <c r="I30" s="22"/>
      <c r="J30" s="33">
        <f t="shared" ref="J30:J40" si="13">IF(H$12=0,0,H30/H$12)</f>
        <v>1.1455641706347137</v>
      </c>
      <c r="K30" s="4"/>
      <c r="L30" s="22">
        <f t="shared" ref="L30:L40" si="14">+D30-H30</f>
        <v>-11444.01999999996</v>
      </c>
      <c r="M30" s="4"/>
      <c r="N30" s="33">
        <f t="shared" ref="N30:N40" si="15">IF(H30=0,0,L30/H30)</f>
        <v>-2.8442768125683904E-2</v>
      </c>
      <c r="O30" s="10"/>
      <c r="P30" s="22">
        <f>SUM(OSRRefP22x_0)</f>
        <v>794668.4800000001</v>
      </c>
      <c r="Q30" s="22"/>
      <c r="R30" s="33">
        <f t="shared" ref="R30:R40" si="16">IF(P$12=0,0,P30/P$12)</f>
        <v>1.508064556073144</v>
      </c>
      <c r="S30" s="22"/>
      <c r="T30" s="22">
        <f>SUM(OSRRefT22x_0)</f>
        <v>782179.86999999988</v>
      </c>
      <c r="U30" s="22"/>
      <c r="V30" s="33">
        <f t="shared" ref="V30:V40" si="17">IF(T$12=0,0,T30/T$12)</f>
        <v>1.3552849929096944</v>
      </c>
      <c r="W30" s="4"/>
      <c r="X30" s="22">
        <f t="shared" ref="X30:X40" si="18">+P30-T30</f>
        <v>12488.610000000219</v>
      </c>
      <c r="Y30" s="4"/>
      <c r="Z30" s="33">
        <f t="shared" ref="Z30:Z40" si="19">IF(T30=0,0,X30/T30)</f>
        <v>1.5966417033974833E-2</v>
      </c>
    </row>
    <row r="31" spans="1:26" s="27" customFormat="1" outlineLevel="1" collapsed="1" x14ac:dyDescent="0.25">
      <c r="A31" s="28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58225.58</v>
      </c>
      <c r="E31" s="1"/>
      <c r="F31" s="5">
        <f t="shared" si="12"/>
        <v>0.16756522172061072</v>
      </c>
      <c r="G31" s="1"/>
      <c r="H31" s="1">
        <f>SUM(OSRRefH22_0x_0)</f>
        <v>58873.090000000004</v>
      </c>
      <c r="I31" s="1"/>
      <c r="J31" s="5">
        <f t="shared" si="13"/>
        <v>0.16762141608091463</v>
      </c>
      <c r="K31" s="1"/>
      <c r="L31" s="1">
        <f t="shared" si="14"/>
        <v>-647.51000000000204</v>
      </c>
      <c r="M31" s="1"/>
      <c r="N31" s="5">
        <f t="shared" si="15"/>
        <v>-1.0998403515086469E-2</v>
      </c>
      <c r="O31" s="14"/>
      <c r="P31" s="1">
        <f>SUM(OSRRefP22_0x_0)</f>
        <v>124407.06</v>
      </c>
      <c r="Q31" s="1"/>
      <c r="R31" s="5">
        <f t="shared" si="16"/>
        <v>0.23609075033561791</v>
      </c>
      <c r="S31" s="1"/>
      <c r="T31" s="1">
        <f>SUM(OSRRefT22_0x_0)</f>
        <v>115874.12999999999</v>
      </c>
      <c r="U31" s="1"/>
      <c r="V31" s="5">
        <f t="shared" si="17"/>
        <v>0.20077539128623575</v>
      </c>
      <c r="W31" s="1"/>
      <c r="X31" s="1">
        <f t="shared" si="18"/>
        <v>8532.9300000000076</v>
      </c>
      <c r="Y31" s="1"/>
      <c r="Z31" s="5">
        <f t="shared" si="19"/>
        <v>7.3639646744273368E-2</v>
      </c>
    </row>
    <row r="32" spans="1:26" s="24" customFormat="1" hidden="1" outlineLevel="2" x14ac:dyDescent="0.25">
      <c r="A32" s="29"/>
      <c r="B32" s="11" t="str">
        <f>CONCATENATE("          ", "6111", " - ", "F.I.C.A.")</f>
        <v xml:space="preserve">          6111 - F.I.C.A.</v>
      </c>
      <c r="C32" s="11"/>
      <c r="D32" s="7">
        <v>12778.57</v>
      </c>
      <c r="E32" s="2"/>
      <c r="F32" s="6">
        <f t="shared" si="12"/>
        <v>3.6774969271621584E-2</v>
      </c>
      <c r="G32" s="2"/>
      <c r="H32" s="7">
        <v>12014.96</v>
      </c>
      <c r="I32" s="2"/>
      <c r="J32" s="6">
        <f t="shared" si="13"/>
        <v>3.420857660699559E-2</v>
      </c>
      <c r="K32" s="2"/>
      <c r="L32" s="7">
        <f t="shared" si="14"/>
        <v>763.61000000000058</v>
      </c>
      <c r="M32" s="2"/>
      <c r="N32" s="6">
        <f t="shared" si="15"/>
        <v>6.3554934847889683E-2</v>
      </c>
      <c r="O32" s="11"/>
      <c r="P32" s="7">
        <v>23234.76</v>
      </c>
      <c r="Q32" s="2"/>
      <c r="R32" s="6">
        <f t="shared" si="16"/>
        <v>4.4093252603734874E-2</v>
      </c>
      <c r="S32" s="2"/>
      <c r="T32" s="7">
        <v>21525.919999999998</v>
      </c>
      <c r="U32" s="2"/>
      <c r="V32" s="6">
        <f t="shared" si="17"/>
        <v>3.7298014757877432E-2</v>
      </c>
      <c r="W32" s="2"/>
      <c r="X32" s="7">
        <f t="shared" si="18"/>
        <v>1708.8400000000001</v>
      </c>
      <c r="Y32" s="2"/>
      <c r="Z32" s="6">
        <f t="shared" si="19"/>
        <v>7.9385224882374372E-2</v>
      </c>
    </row>
    <row r="33" spans="1:26" s="24" customFormat="1" hidden="1" outlineLevel="2" x14ac:dyDescent="0.25">
      <c r="A33" s="29"/>
      <c r="B33" s="11" t="str">
        <f>CONCATENATE("          ", "6112", " - ", "COMPENSATION INSURANCE")</f>
        <v xml:space="preserve">          6112 - COMPENSATION INSURANCE</v>
      </c>
      <c r="C33" s="11"/>
      <c r="D33" s="7">
        <v>6238.95</v>
      </c>
      <c r="E33" s="2"/>
      <c r="F33" s="6">
        <f t="shared" si="12"/>
        <v>1.795484115493232E-2</v>
      </c>
      <c r="G33" s="2"/>
      <c r="H33" s="7">
        <v>5214.1099999999997</v>
      </c>
      <c r="I33" s="2"/>
      <c r="J33" s="6">
        <f t="shared" si="13"/>
        <v>1.4845432808124353E-2</v>
      </c>
      <c r="K33" s="2"/>
      <c r="L33" s="7">
        <f t="shared" si="14"/>
        <v>1024.8400000000001</v>
      </c>
      <c r="M33" s="2"/>
      <c r="N33" s="6">
        <f t="shared" si="15"/>
        <v>0.19655128104316943</v>
      </c>
      <c r="O33" s="11"/>
      <c r="P33" s="7">
        <v>11187.75</v>
      </c>
      <c r="Q33" s="2"/>
      <c r="R33" s="6">
        <f t="shared" si="16"/>
        <v>2.1231305458607488E-2</v>
      </c>
      <c r="S33" s="2"/>
      <c r="T33" s="7">
        <v>11295.92</v>
      </c>
      <c r="U33" s="2"/>
      <c r="V33" s="6">
        <f t="shared" si="17"/>
        <v>1.9572468487470122E-2</v>
      </c>
      <c r="W33" s="2"/>
      <c r="X33" s="7">
        <f t="shared" si="18"/>
        <v>-108.17000000000007</v>
      </c>
      <c r="Y33" s="2"/>
      <c r="Z33" s="6">
        <f t="shared" si="19"/>
        <v>-9.57602390951778E-3</v>
      </c>
    </row>
    <row r="34" spans="1:26" s="24" customFormat="1" hidden="1" outlineLevel="2" x14ac:dyDescent="0.25">
      <c r="A34" s="29"/>
      <c r="B34" s="11" t="str">
        <f>CONCATENATE("          ", "6113", " - ", "GROUP INSURANCE")</f>
        <v xml:space="preserve">          6113 - GROUP INSURANCE</v>
      </c>
      <c r="C34" s="11"/>
      <c r="D34" s="7">
        <v>20602.48</v>
      </c>
      <c r="E34" s="2"/>
      <c r="F34" s="6">
        <f t="shared" si="12"/>
        <v>5.9291107605874388E-2</v>
      </c>
      <c r="G34" s="2"/>
      <c r="H34" s="7">
        <v>23497.510000000002</v>
      </c>
      <c r="I34" s="2"/>
      <c r="J34" s="6">
        <f t="shared" si="13"/>
        <v>6.6901293962580405E-2</v>
      </c>
      <c r="K34" s="2"/>
      <c r="L34" s="7">
        <f t="shared" si="14"/>
        <v>-2895.0300000000025</v>
      </c>
      <c r="M34" s="2"/>
      <c r="N34" s="6">
        <f t="shared" si="15"/>
        <v>-0.12320582053162238</v>
      </c>
      <c r="O34" s="11"/>
      <c r="P34" s="7">
        <v>41205.040000000001</v>
      </c>
      <c r="Q34" s="2"/>
      <c r="R34" s="6">
        <f t="shared" si="16"/>
        <v>7.8195954564066944E-2</v>
      </c>
      <c r="S34" s="2"/>
      <c r="T34" s="7">
        <v>32333.939999999995</v>
      </c>
      <c r="U34" s="2"/>
      <c r="V34" s="6">
        <f t="shared" si="17"/>
        <v>5.6025097710124504E-2</v>
      </c>
      <c r="W34" s="2"/>
      <c r="X34" s="7">
        <f t="shared" si="18"/>
        <v>8871.1000000000058</v>
      </c>
      <c r="Y34" s="2"/>
      <c r="Z34" s="6">
        <f t="shared" si="19"/>
        <v>0.27435876976328921</v>
      </c>
    </row>
    <row r="35" spans="1:26" s="24" customFormat="1" hidden="1" outlineLevel="2" x14ac:dyDescent="0.25">
      <c r="A35" s="29"/>
      <c r="B35" s="11" t="str">
        <f>CONCATENATE("          ", "6114", " - ", "STATE UNEMPLOYMENT INSURANCE")</f>
        <v xml:space="preserve">          6114 - STATE UNEMPLOYMENT INSURANCE</v>
      </c>
      <c r="C35" s="11"/>
      <c r="D35" s="7">
        <v>435.89</v>
      </c>
      <c r="E35" s="2"/>
      <c r="F35" s="6">
        <f t="shared" si="12"/>
        <v>1.2544315487419276E-3</v>
      </c>
      <c r="G35" s="2"/>
      <c r="H35" s="7">
        <v>399.29</v>
      </c>
      <c r="I35" s="2"/>
      <c r="J35" s="6">
        <f t="shared" si="13"/>
        <v>1.136844613166192E-3</v>
      </c>
      <c r="K35" s="2"/>
      <c r="L35" s="7">
        <f t="shared" si="14"/>
        <v>36.599999999999966</v>
      </c>
      <c r="M35" s="2"/>
      <c r="N35" s="6">
        <f t="shared" si="15"/>
        <v>9.1662701294798171E-2</v>
      </c>
      <c r="O35" s="11"/>
      <c r="P35" s="7">
        <v>785.34</v>
      </c>
      <c r="Q35" s="2"/>
      <c r="R35" s="6">
        <f t="shared" si="16"/>
        <v>1.4903616391913302E-3</v>
      </c>
      <c r="S35" s="2"/>
      <c r="T35" s="7">
        <v>865.98</v>
      </c>
      <c r="U35" s="2"/>
      <c r="V35" s="6">
        <f t="shared" si="17"/>
        <v>1.5004856851659164E-3</v>
      </c>
      <c r="W35" s="2"/>
      <c r="X35" s="7">
        <f t="shared" si="18"/>
        <v>-80.639999999999986</v>
      </c>
      <c r="Y35" s="2"/>
      <c r="Z35" s="6">
        <f t="shared" si="19"/>
        <v>-9.311993348576178E-2</v>
      </c>
    </row>
    <row r="36" spans="1:26" s="24" customFormat="1" hidden="1" outlineLevel="2" x14ac:dyDescent="0.25">
      <c r="A36" s="29"/>
      <c r="B36" s="11" t="str">
        <f>CONCATENATE("          ", "6115", " - ", "P.E.R.S.")</f>
        <v xml:space="preserve">          6115 - P.E.R.S.</v>
      </c>
      <c r="C36" s="11"/>
      <c r="D36" s="7">
        <v>5779.58</v>
      </c>
      <c r="E36" s="2"/>
      <c r="F36" s="6">
        <f t="shared" si="12"/>
        <v>1.6632837391263554E-2</v>
      </c>
      <c r="G36" s="2"/>
      <c r="H36" s="7">
        <v>5818.75</v>
      </c>
      <c r="I36" s="2"/>
      <c r="J36" s="6">
        <f t="shared" si="13"/>
        <v>1.6566942805631944E-2</v>
      </c>
      <c r="K36" s="2"/>
      <c r="L36" s="7">
        <f t="shared" si="14"/>
        <v>-39.170000000000073</v>
      </c>
      <c r="M36" s="2"/>
      <c r="N36" s="6">
        <f t="shared" si="15"/>
        <v>-6.7316863587540401E-3</v>
      </c>
      <c r="O36" s="11"/>
      <c r="P36" s="7">
        <v>11559.16</v>
      </c>
      <c r="Q36" s="2"/>
      <c r="R36" s="6">
        <f t="shared" si="16"/>
        <v>2.1936140582772882E-2</v>
      </c>
      <c r="S36" s="2"/>
      <c r="T36" s="7">
        <v>14438.05</v>
      </c>
      <c r="U36" s="2"/>
      <c r="V36" s="6">
        <f t="shared" si="17"/>
        <v>2.501684490023991E-2</v>
      </c>
      <c r="W36" s="2"/>
      <c r="X36" s="7">
        <f t="shared" si="18"/>
        <v>-2878.8899999999994</v>
      </c>
      <c r="Y36" s="2"/>
      <c r="Z36" s="6">
        <f t="shared" si="19"/>
        <v>-0.19939604032400493</v>
      </c>
    </row>
    <row r="37" spans="1:26" s="24" customFormat="1" hidden="1" outlineLevel="2" x14ac:dyDescent="0.25">
      <c r="A37" s="29"/>
      <c r="B37" s="11" t="str">
        <f>CONCATENATE("          ", "6117", " - ", "RETIREMENT STAFF HOURLY")</f>
        <v xml:space="preserve">          6117 - RETIREMENT STAFF HOURLY</v>
      </c>
      <c r="C37" s="11"/>
      <c r="D37" s="7">
        <v>56</v>
      </c>
      <c r="E37" s="2"/>
      <c r="F37" s="6">
        <f t="shared" si="12"/>
        <v>1.6116030817304354E-4</v>
      </c>
      <c r="G37" s="2"/>
      <c r="H37" s="7">
        <v>56</v>
      </c>
      <c r="I37" s="2"/>
      <c r="J37" s="6">
        <f t="shared" si="13"/>
        <v>1.5944125406923976E-4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>
        <v>112</v>
      </c>
      <c r="Q37" s="2"/>
      <c r="R37" s="6">
        <f t="shared" si="16"/>
        <v>2.1254552625541673E-4</v>
      </c>
      <c r="S37" s="2"/>
      <c r="T37" s="7">
        <v>112</v>
      </c>
      <c r="U37" s="2"/>
      <c r="V37" s="6">
        <f t="shared" si="17"/>
        <v>1.9406267666526088E-4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9"/>
      <c r="B38" s="11" t="str">
        <f>CONCATENATE("          ", "6118", " - ", "VACATION")</f>
        <v xml:space="preserve">          6118 - VACATION</v>
      </c>
      <c r="C38" s="11"/>
      <c r="D38" s="7">
        <v>5591.88</v>
      </c>
      <c r="E38" s="2"/>
      <c r="F38" s="6">
        <f t="shared" si="12"/>
        <v>1.6092662572619262E-2</v>
      </c>
      <c r="G38" s="2"/>
      <c r="H38" s="7">
        <v>5236.1499999999996</v>
      </c>
      <c r="I38" s="2"/>
      <c r="J38" s="6">
        <f t="shared" si="13"/>
        <v>1.4908184330261602E-2</v>
      </c>
      <c r="K38" s="2"/>
      <c r="L38" s="7">
        <f t="shared" si="14"/>
        <v>355.73000000000047</v>
      </c>
      <c r="M38" s="2"/>
      <c r="N38" s="6">
        <f t="shared" si="15"/>
        <v>6.7937320359424486E-2</v>
      </c>
      <c r="O38" s="11"/>
      <c r="P38" s="7">
        <v>14109.58</v>
      </c>
      <c r="Q38" s="2"/>
      <c r="R38" s="6">
        <f t="shared" si="16"/>
        <v>2.6776143806633061E-2</v>
      </c>
      <c r="S38" s="2"/>
      <c r="T38" s="7">
        <v>13694.46</v>
      </c>
      <c r="U38" s="2"/>
      <c r="V38" s="6">
        <f t="shared" si="17"/>
        <v>2.3728424670404896E-2</v>
      </c>
      <c r="W38" s="2"/>
      <c r="X38" s="7">
        <f t="shared" si="18"/>
        <v>415.1200000000008</v>
      </c>
      <c r="Y38" s="2"/>
      <c r="Z38" s="6">
        <f t="shared" si="19"/>
        <v>3.0312987879770419E-2</v>
      </c>
    </row>
    <row r="39" spans="1:26" s="24" customFormat="1" hidden="1" outlineLevel="2" x14ac:dyDescent="0.25">
      <c r="A39" s="29"/>
      <c r="B39" s="11" t="str">
        <f>CONCATENATE("          ", "6119", " - ", "SICK LEAVE")</f>
        <v xml:space="preserve">          6119 - SICK LEAVE</v>
      </c>
      <c r="C39" s="11"/>
      <c r="D39" s="7">
        <v>4044.8</v>
      </c>
      <c r="E39" s="2"/>
      <c r="F39" s="6">
        <f t="shared" si="12"/>
        <v>1.164037883032726E-2</v>
      </c>
      <c r="G39" s="2"/>
      <c r="H39" s="7">
        <v>3874.24</v>
      </c>
      <c r="I39" s="2"/>
      <c r="J39" s="6">
        <f t="shared" si="13"/>
        <v>1.1030601502950205E-2</v>
      </c>
      <c r="K39" s="2"/>
      <c r="L39" s="7">
        <f t="shared" si="14"/>
        <v>170.5600000000004</v>
      </c>
      <c r="M39" s="2"/>
      <c r="N39" s="6">
        <f t="shared" si="15"/>
        <v>4.4024118278681863E-2</v>
      </c>
      <c r="O39" s="11"/>
      <c r="P39" s="7">
        <v>17435.68</v>
      </c>
      <c r="Q39" s="2"/>
      <c r="R39" s="6">
        <f t="shared" si="16"/>
        <v>3.3088176618045043E-2</v>
      </c>
      <c r="S39" s="2"/>
      <c r="T39" s="7">
        <v>16508.52</v>
      </c>
      <c r="U39" s="2"/>
      <c r="V39" s="6">
        <f t="shared" si="17"/>
        <v>2.8604353383767791E-2</v>
      </c>
      <c r="W39" s="2"/>
      <c r="X39" s="7">
        <f t="shared" si="18"/>
        <v>927.15999999999985</v>
      </c>
      <c r="Y39" s="2"/>
      <c r="Z39" s="6">
        <f t="shared" si="19"/>
        <v>5.6162514871108966E-2</v>
      </c>
    </row>
    <row r="40" spans="1:26" s="24" customFormat="1" hidden="1" outlineLevel="2" x14ac:dyDescent="0.25">
      <c r="A40" s="29"/>
      <c r="B40" s="11" t="str">
        <f>CONCATENATE("          ", "6156", " - ", "EMPLOYEE MEALS")</f>
        <v xml:space="preserve">          6156 - EMPLOYEE MEALS</v>
      </c>
      <c r="C40" s="11"/>
      <c r="D40" s="7">
        <v>2697.43</v>
      </c>
      <c r="E40" s="2"/>
      <c r="F40" s="6">
        <f t="shared" si="12"/>
        <v>7.7628330370573713E-3</v>
      </c>
      <c r="G40" s="2"/>
      <c r="H40" s="7">
        <v>2762.08</v>
      </c>
      <c r="I40" s="2"/>
      <c r="J40" s="6">
        <f t="shared" si="13"/>
        <v>7.8640981971351033E-3</v>
      </c>
      <c r="K40" s="2"/>
      <c r="L40" s="7">
        <f t="shared" si="14"/>
        <v>-64.650000000000091</v>
      </c>
      <c r="M40" s="2"/>
      <c r="N40" s="6">
        <f t="shared" si="15"/>
        <v>-2.3406273532989665E-2</v>
      </c>
      <c r="O40" s="11"/>
      <c r="P40" s="7">
        <v>4777.75</v>
      </c>
      <c r="Q40" s="2"/>
      <c r="R40" s="6">
        <f t="shared" si="16"/>
        <v>9.0668695363108689E-3</v>
      </c>
      <c r="S40" s="2"/>
      <c r="T40" s="7">
        <v>5099.34</v>
      </c>
      <c r="U40" s="2"/>
      <c r="V40" s="6">
        <f t="shared" si="17"/>
        <v>8.8356390145199245E-3</v>
      </c>
      <c r="W40" s="2"/>
      <c r="X40" s="7">
        <f t="shared" si="18"/>
        <v>-321.59000000000015</v>
      </c>
      <c r="Y40" s="2"/>
      <c r="Z40" s="6">
        <f t="shared" si="19"/>
        <v>-6.3065024101158218E-2</v>
      </c>
    </row>
    <row r="41" spans="1:26" s="27" customFormat="1" outlineLevel="1" collapsed="1" x14ac:dyDescent="0.25">
      <c r="A41" s="28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183875.58000000002</v>
      </c>
      <c r="E41" s="1"/>
      <c r="F41" s="5">
        <f t="shared" ref="F41:F48" si="20">IF(D$12=0,0,D41/D$12)</f>
        <v>0.52916866318387723</v>
      </c>
      <c r="G41" s="1"/>
      <c r="H41" s="1">
        <f>SUM(OSRRefH22_1x_0)</f>
        <v>170049.43000000002</v>
      </c>
      <c r="I41" s="1"/>
      <c r="J41" s="5">
        <f t="shared" ref="J41:J48" si="21">IF(H$12=0,0,H41/H$12)</f>
        <v>0.48415882808856081</v>
      </c>
      <c r="K41" s="1"/>
      <c r="L41" s="1">
        <f t="shared" ref="L41:L48" si="22">+D41-H41</f>
        <v>13826.149999999994</v>
      </c>
      <c r="M41" s="1"/>
      <c r="N41" s="5">
        <f t="shared" ref="N41:N48" si="23">IF(H41=0,0,L41/H41)</f>
        <v>8.1306653012597527E-2</v>
      </c>
      <c r="O41" s="14"/>
      <c r="P41" s="1">
        <f>SUM(OSRRefP22_1x_0)</f>
        <v>344230.86999999994</v>
      </c>
      <c r="Q41" s="1"/>
      <c r="R41" s="5">
        <f t="shared" ref="R41:R48" si="24">IF(P$12=0,0,P41/P$12)</f>
        <v>0.65325653051348154</v>
      </c>
      <c r="S41" s="1"/>
      <c r="T41" s="1">
        <f>SUM(OSRRefT22_1x_0)</f>
        <v>313175.75000000006</v>
      </c>
      <c r="U41" s="1"/>
      <c r="V41" s="5">
        <f t="shared" ref="V41:V48" si="25">IF(T$12=0,0,T41/T$12)</f>
        <v>0.54264039563973743</v>
      </c>
      <c r="W41" s="1"/>
      <c r="X41" s="1">
        <f t="shared" ref="X41:X48" si="26">+P41-T41</f>
        <v>31055.119999999879</v>
      </c>
      <c r="Y41" s="1"/>
      <c r="Z41" s="5">
        <f t="shared" ref="Z41:Z48" si="27">IF(T41=0,0,X41/T41)</f>
        <v>9.9161956185943118E-2</v>
      </c>
    </row>
    <row r="42" spans="1:26" s="24" customFormat="1" hidden="1" outlineLevel="2" x14ac:dyDescent="0.25">
      <c r="A42" s="29"/>
      <c r="B42" s="11" t="str">
        <f>CONCATENATE("          ", "6001", " - ", "ADMINISTRATIVE SALARIES")</f>
        <v xml:space="preserve">          6001 - ADMINISTRATIVE SALARIES</v>
      </c>
      <c r="C42" s="11"/>
      <c r="D42" s="7">
        <v>15056.230000000001</v>
      </c>
      <c r="E42" s="2"/>
      <c r="F42" s="6">
        <f t="shared" si="20"/>
        <v>4.3329761905789708E-2</v>
      </c>
      <c r="G42" s="2"/>
      <c r="H42" s="7">
        <v>15662.54</v>
      </c>
      <c r="I42" s="2"/>
      <c r="J42" s="6">
        <f t="shared" si="21"/>
        <v>4.4593839634100546E-2</v>
      </c>
      <c r="K42" s="2"/>
      <c r="L42" s="7">
        <f t="shared" si="22"/>
        <v>-606.30999999999949</v>
      </c>
      <c r="M42" s="2"/>
      <c r="N42" s="6">
        <f t="shared" si="23"/>
        <v>-3.8710834896511004E-2</v>
      </c>
      <c r="O42" s="11"/>
      <c r="P42" s="7">
        <v>35482.899999999994</v>
      </c>
      <c r="Q42" s="2"/>
      <c r="R42" s="6">
        <f t="shared" si="24"/>
        <v>6.73368897640029E-2</v>
      </c>
      <c r="S42" s="2"/>
      <c r="T42" s="7">
        <v>33100.700000000004</v>
      </c>
      <c r="U42" s="2"/>
      <c r="V42" s="6">
        <f t="shared" si="25"/>
        <v>5.735366465619466E-2</v>
      </c>
      <c r="W42" s="2"/>
      <c r="X42" s="7">
        <f t="shared" si="26"/>
        <v>2382.1999999999898</v>
      </c>
      <c r="Y42" s="2"/>
      <c r="Z42" s="6">
        <f t="shared" si="27"/>
        <v>7.1968266532127401E-2</v>
      </c>
    </row>
    <row r="43" spans="1:26" s="24" customFormat="1" hidden="1" outlineLevel="2" x14ac:dyDescent="0.25">
      <c r="A43" s="29"/>
      <c r="B43" s="11" t="str">
        <f>CONCATENATE("          ", "6002", " - ", "STAFF SALARIES")</f>
        <v xml:space="preserve">          6002 - STAFF SALARIES</v>
      </c>
      <c r="C43" s="11"/>
      <c r="D43" s="7">
        <v>49996.060000000005</v>
      </c>
      <c r="E43" s="2"/>
      <c r="F43" s="6">
        <f t="shared" si="20"/>
        <v>0.14388179351853528</v>
      </c>
      <c r="G43" s="2"/>
      <c r="H43" s="7">
        <v>51572.04</v>
      </c>
      <c r="I43" s="2"/>
      <c r="J43" s="6">
        <f t="shared" si="21"/>
        <v>0.14683412022337494</v>
      </c>
      <c r="K43" s="2"/>
      <c r="L43" s="7">
        <f t="shared" si="22"/>
        <v>-1575.9799999999959</v>
      </c>
      <c r="M43" s="2"/>
      <c r="N43" s="6">
        <f t="shared" si="23"/>
        <v>-3.0558806671211684E-2</v>
      </c>
      <c r="O43" s="11"/>
      <c r="P43" s="7">
        <v>108022.37000000001</v>
      </c>
      <c r="Q43" s="2"/>
      <c r="R43" s="6">
        <f t="shared" si="24"/>
        <v>0.20499706677685128</v>
      </c>
      <c r="S43" s="2"/>
      <c r="T43" s="7">
        <v>112157.66</v>
      </c>
      <c r="U43" s="2"/>
      <c r="V43" s="6">
        <f t="shared" si="25"/>
        <v>0.19433585453671665</v>
      </c>
      <c r="W43" s="2"/>
      <c r="X43" s="7">
        <f t="shared" si="26"/>
        <v>-4135.2899999999936</v>
      </c>
      <c r="Y43" s="2"/>
      <c r="Z43" s="6">
        <f t="shared" si="27"/>
        <v>-3.6870330568594185E-2</v>
      </c>
    </row>
    <row r="44" spans="1:26" s="24" customFormat="1" hidden="1" outlineLevel="2" x14ac:dyDescent="0.25">
      <c r="A44" s="29"/>
      <c r="B44" s="11" t="str">
        <f>CONCATENATE("          ", "6004", " - ", "STAFF HOURLY")</f>
        <v xml:space="preserve">          6004 - STAFF HOURLY</v>
      </c>
      <c r="C44" s="11"/>
      <c r="D44" s="7">
        <v>17600.66</v>
      </c>
      <c r="E44" s="2"/>
      <c r="F44" s="6">
        <f t="shared" si="20"/>
        <v>5.0652281958017152E-2</v>
      </c>
      <c r="G44" s="2"/>
      <c r="H44" s="7">
        <v>13784.05</v>
      </c>
      <c r="I44" s="2"/>
      <c r="J44" s="6">
        <f t="shared" si="21"/>
        <v>3.9245468181305435E-2</v>
      </c>
      <c r="K44" s="2"/>
      <c r="L44" s="7">
        <f t="shared" si="22"/>
        <v>3816.6100000000006</v>
      </c>
      <c r="M44" s="2"/>
      <c r="N44" s="6">
        <f t="shared" si="23"/>
        <v>0.27688596602595034</v>
      </c>
      <c r="O44" s="11"/>
      <c r="P44" s="7">
        <v>32910.67</v>
      </c>
      <c r="Q44" s="2"/>
      <c r="R44" s="6">
        <f t="shared" si="24"/>
        <v>6.2455497094360317E-2</v>
      </c>
      <c r="S44" s="2"/>
      <c r="T44" s="7">
        <v>21831.98</v>
      </c>
      <c r="U44" s="2"/>
      <c r="V44" s="6">
        <f t="shared" si="25"/>
        <v>3.782832567591466E-2</v>
      </c>
      <c r="W44" s="2"/>
      <c r="X44" s="7">
        <f t="shared" si="26"/>
        <v>11078.689999999999</v>
      </c>
      <c r="Y44" s="2"/>
      <c r="Z44" s="6">
        <f t="shared" si="27"/>
        <v>0.50745237033013035</v>
      </c>
    </row>
    <row r="45" spans="1:26" s="24" customFormat="1" hidden="1" outlineLevel="2" x14ac:dyDescent="0.25">
      <c r="A45" s="29"/>
      <c r="B45" s="11" t="str">
        <f>CONCATENATE("          ", "6005", " - ", "TEMPORARY WAGES-HOURLY")</f>
        <v xml:space="preserve">          6005 - TEMPORARY WAGES-HOURLY</v>
      </c>
      <c r="C45" s="11"/>
      <c r="D45" s="7">
        <v>36041.340000000004</v>
      </c>
      <c r="E45" s="2"/>
      <c r="F45" s="6">
        <f t="shared" si="20"/>
        <v>0.10372202609588288</v>
      </c>
      <c r="G45" s="2"/>
      <c r="H45" s="7">
        <v>30735.820000000003</v>
      </c>
      <c r="I45" s="2"/>
      <c r="J45" s="6">
        <f t="shared" si="21"/>
        <v>8.7509958672257526E-2</v>
      </c>
      <c r="K45" s="2"/>
      <c r="L45" s="7">
        <f t="shared" si="22"/>
        <v>5305.52</v>
      </c>
      <c r="M45" s="2"/>
      <c r="N45" s="6">
        <f t="shared" si="23"/>
        <v>0.17261683599136121</v>
      </c>
      <c r="O45" s="11"/>
      <c r="P45" s="7">
        <v>63364.18</v>
      </c>
      <c r="Q45" s="2"/>
      <c r="R45" s="6">
        <f t="shared" si="24"/>
        <v>0.12024797307002635</v>
      </c>
      <c r="S45" s="2"/>
      <c r="T45" s="7">
        <v>52738.16</v>
      </c>
      <c r="U45" s="2"/>
      <c r="V45" s="6">
        <f t="shared" si="25"/>
        <v>9.1379540107149965E-2</v>
      </c>
      <c r="W45" s="2"/>
      <c r="X45" s="7">
        <f t="shared" si="26"/>
        <v>10626.019999999997</v>
      </c>
      <c r="Y45" s="2"/>
      <c r="Z45" s="6">
        <f t="shared" si="27"/>
        <v>0.20148636205737924</v>
      </c>
    </row>
    <row r="46" spans="1:26" s="24" customFormat="1" hidden="1" outlineLevel="2" x14ac:dyDescent="0.25">
      <c r="A46" s="29"/>
      <c r="B46" s="11" t="str">
        <f>CONCATENATE("          ", "6006", " - ", "TEMPORARY PART TIME")</f>
        <v xml:space="preserve">          6006 - TEMPORARY PART TIME</v>
      </c>
      <c r="C46" s="11"/>
      <c r="D46" s="7">
        <v>2152.38</v>
      </c>
      <c r="E46" s="2"/>
      <c r="F46" s="6">
        <f t="shared" si="20"/>
        <v>6.1942540018838478E-3</v>
      </c>
      <c r="G46" s="2"/>
      <c r="H46" s="7">
        <v>654.5</v>
      </c>
      <c r="I46" s="2"/>
      <c r="J46" s="6">
        <f t="shared" si="21"/>
        <v>1.8634696569342398E-3</v>
      </c>
      <c r="K46" s="2"/>
      <c r="L46" s="7">
        <f t="shared" si="22"/>
        <v>1497.88</v>
      </c>
      <c r="M46" s="2"/>
      <c r="N46" s="6">
        <f t="shared" si="23"/>
        <v>2.2885867074102371</v>
      </c>
      <c r="O46" s="11"/>
      <c r="P46" s="7">
        <v>4403.0200000000004</v>
      </c>
      <c r="Q46" s="2"/>
      <c r="R46" s="6">
        <f t="shared" si="24"/>
        <v>8.3557339554743305E-3</v>
      </c>
      <c r="S46" s="2"/>
      <c r="T46" s="7">
        <v>1001</v>
      </c>
      <c r="U46" s="2"/>
      <c r="V46" s="6">
        <f t="shared" si="25"/>
        <v>1.7344351726957692E-3</v>
      </c>
      <c r="W46" s="2"/>
      <c r="X46" s="7">
        <f t="shared" si="26"/>
        <v>3402.0200000000004</v>
      </c>
      <c r="Y46" s="2"/>
      <c r="Z46" s="6">
        <f t="shared" si="27"/>
        <v>3.398621378621379</v>
      </c>
    </row>
    <row r="47" spans="1:26" s="24" customFormat="1" hidden="1" outlineLevel="2" x14ac:dyDescent="0.25">
      <c r="A47" s="29"/>
      <c r="B47" s="11" t="str">
        <f>CONCATENATE("          ", "6007", " - ", "STUDENT HOURLY")</f>
        <v xml:space="preserve">          6007 - STUDENT HOURLY</v>
      </c>
      <c r="C47" s="11"/>
      <c r="D47" s="7">
        <v>59916.17</v>
      </c>
      <c r="E47" s="2"/>
      <c r="F47" s="6">
        <f t="shared" si="20"/>
        <v>0.1724305075312226</v>
      </c>
      <c r="G47" s="2"/>
      <c r="H47" s="7">
        <v>53466.25</v>
      </c>
      <c r="I47" s="2"/>
      <c r="J47" s="6">
        <f t="shared" si="21"/>
        <v>0.15222724911391947</v>
      </c>
      <c r="K47" s="2"/>
      <c r="L47" s="7">
        <f t="shared" si="22"/>
        <v>6449.9199999999983</v>
      </c>
      <c r="M47" s="2"/>
      <c r="N47" s="6">
        <f t="shared" si="23"/>
        <v>0.12063535407850744</v>
      </c>
      <c r="O47" s="11"/>
      <c r="P47" s="7">
        <v>96201.57</v>
      </c>
      <c r="Q47" s="2"/>
      <c r="R47" s="6">
        <f t="shared" si="24"/>
        <v>0.18256440466292242</v>
      </c>
      <c r="S47" s="2"/>
      <c r="T47" s="7">
        <v>85808.19</v>
      </c>
      <c r="U47" s="2"/>
      <c r="V47" s="6">
        <f t="shared" si="25"/>
        <v>0.14868006277858278</v>
      </c>
      <c r="W47" s="2"/>
      <c r="X47" s="7">
        <f t="shared" si="26"/>
        <v>10393.380000000005</v>
      </c>
      <c r="Y47" s="2"/>
      <c r="Z47" s="6">
        <f t="shared" si="27"/>
        <v>0.12112340325556342</v>
      </c>
    </row>
    <row r="48" spans="1:26" s="24" customFormat="1" hidden="1" outlineLevel="2" x14ac:dyDescent="0.25">
      <c r="A48" s="29"/>
      <c r="B48" s="11" t="str">
        <f>CONCATENATE("          ", "6008", " - ", "STUDENT HOURLY-FICA EXEMPT")</f>
        <v xml:space="preserve">          6008 - STUDENT HOURLY-FICA EXEMPT</v>
      </c>
      <c r="C48" s="11"/>
      <c r="D48" s="7">
        <v>3112.74</v>
      </c>
      <c r="E48" s="2"/>
      <c r="F48" s="6">
        <f t="shared" si="20"/>
        <v>8.9580381725457049E-3</v>
      </c>
      <c r="G48" s="2"/>
      <c r="H48" s="7">
        <v>4174.2299999999996</v>
      </c>
      <c r="I48" s="2"/>
      <c r="J48" s="6">
        <f t="shared" si="21"/>
        <v>1.1884722606668618E-2</v>
      </c>
      <c r="K48" s="2"/>
      <c r="L48" s="7">
        <f t="shared" si="22"/>
        <v>-1061.4899999999998</v>
      </c>
      <c r="M48" s="2"/>
      <c r="N48" s="6">
        <f t="shared" si="23"/>
        <v>-0.25429600189735591</v>
      </c>
      <c r="O48" s="11"/>
      <c r="P48" s="7">
        <v>3846.16</v>
      </c>
      <c r="Q48" s="2"/>
      <c r="R48" s="6">
        <f t="shared" si="24"/>
        <v>7.2989651898440503E-3</v>
      </c>
      <c r="S48" s="2"/>
      <c r="T48" s="7">
        <v>6538.06</v>
      </c>
      <c r="U48" s="2"/>
      <c r="V48" s="6">
        <f t="shared" si="25"/>
        <v>1.1328512712482818E-2</v>
      </c>
      <c r="W48" s="2"/>
      <c r="X48" s="7">
        <f t="shared" si="26"/>
        <v>-2691.9000000000005</v>
      </c>
      <c r="Y48" s="2"/>
      <c r="Z48" s="6">
        <f t="shared" si="27"/>
        <v>-0.41172763786199584</v>
      </c>
    </row>
    <row r="49" spans="1:26" s="27" customFormat="1" outlineLevel="1" collapsed="1" x14ac:dyDescent="0.25">
      <c r="A49" s="28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2532.71</v>
      </c>
      <c r="E49" s="1"/>
      <c r="F49" s="5">
        <f t="shared" ref="F49:F58" si="28">IF(D$12=0,0,D49/D$12)</f>
        <v>7.2887915020169482E-3</v>
      </c>
      <c r="G49" s="1"/>
      <c r="H49" s="1">
        <f>SUM(OSRRefH22_2x_0)</f>
        <v>1984.31</v>
      </c>
      <c r="I49" s="1"/>
      <c r="J49" s="5">
        <f t="shared" ref="J49:J58" si="29">IF(H$12=0,0,H49/H$12)</f>
        <v>5.6496584796809487E-3</v>
      </c>
      <c r="K49" s="1"/>
      <c r="L49" s="1">
        <f t="shared" ref="L49:L58" si="30">+D49-H49</f>
        <v>548.40000000000009</v>
      </c>
      <c r="M49" s="1"/>
      <c r="N49" s="5">
        <f t="shared" ref="N49:N58" si="31">IF(H49=0,0,L49/H49)</f>
        <v>0.27636810780573606</v>
      </c>
      <c r="O49" s="14"/>
      <c r="P49" s="1">
        <f>SUM(OSRRefP22_2x_0)</f>
        <v>5181.54</v>
      </c>
      <c r="Q49" s="1"/>
      <c r="R49" s="5">
        <f t="shared" ref="R49:R58" si="32">IF(P$12=0,0,P49/P$12)</f>
        <v>9.8331530902990363E-3</v>
      </c>
      <c r="S49" s="1"/>
      <c r="T49" s="1">
        <f>SUM(OSRRefT22_2x_0)</f>
        <v>4060.88</v>
      </c>
      <c r="U49" s="1"/>
      <c r="V49" s="5">
        <f t="shared" ref="V49:V58" si="33">IF(T$12=0,0,T49/T$12)</f>
        <v>7.0362968072895061E-3</v>
      </c>
      <c r="W49" s="1"/>
      <c r="X49" s="1">
        <f t="shared" ref="X49:X58" si="34">+P49-T49</f>
        <v>1120.6599999999999</v>
      </c>
      <c r="Y49" s="1"/>
      <c r="Z49" s="5">
        <f t="shared" ref="Z49:Z58" si="35">IF(T49=0,0,X49/T49)</f>
        <v>0.2759648155079687</v>
      </c>
    </row>
    <row r="50" spans="1:26" s="24" customFormat="1" hidden="1" outlineLevel="2" x14ac:dyDescent="0.25">
      <c r="A50" s="29"/>
      <c r="B50" s="11" t="str">
        <f>CONCATENATE("          ", "6362", " - ", "ADVERTISING EXPENSE")</f>
        <v xml:space="preserve">          6362 - ADVERTISING EXPENSE</v>
      </c>
      <c r="C50" s="11"/>
      <c r="D50" s="7">
        <v>2532.71</v>
      </c>
      <c r="E50" s="2"/>
      <c r="F50" s="6">
        <f t="shared" si="28"/>
        <v>7.2887915020169482E-3</v>
      </c>
      <c r="G50" s="2"/>
      <c r="H50" s="7">
        <v>1984.31</v>
      </c>
      <c r="I50" s="2"/>
      <c r="J50" s="6">
        <f t="shared" si="29"/>
        <v>5.6496584796809487E-3</v>
      </c>
      <c r="K50" s="2"/>
      <c r="L50" s="7">
        <f t="shared" si="30"/>
        <v>548.40000000000009</v>
      </c>
      <c r="M50" s="2"/>
      <c r="N50" s="6">
        <f t="shared" si="31"/>
        <v>0.27636810780573606</v>
      </c>
      <c r="O50" s="11"/>
      <c r="P50" s="7">
        <v>5181.54</v>
      </c>
      <c r="Q50" s="2"/>
      <c r="R50" s="6">
        <f t="shared" si="32"/>
        <v>9.8331530902990363E-3</v>
      </c>
      <c r="S50" s="2"/>
      <c r="T50" s="7">
        <v>4060.88</v>
      </c>
      <c r="U50" s="2"/>
      <c r="V50" s="6">
        <f t="shared" si="33"/>
        <v>7.0362968072895061E-3</v>
      </c>
      <c r="W50" s="2"/>
      <c r="X50" s="7">
        <f t="shared" si="34"/>
        <v>1120.6599999999999</v>
      </c>
      <c r="Y50" s="2"/>
      <c r="Z50" s="6">
        <f t="shared" si="35"/>
        <v>0.2759648155079687</v>
      </c>
    </row>
    <row r="51" spans="1:26" s="27" customFormat="1" outlineLevel="1" collapsed="1" x14ac:dyDescent="0.25">
      <c r="A51" s="28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5.84</v>
      </c>
      <c r="E51" s="1"/>
      <c r="F51" s="5">
        <f t="shared" si="28"/>
        <v>1.6806717852331683E-5</v>
      </c>
      <c r="G51" s="1"/>
      <c r="H51" s="1">
        <f>SUM(OSRRefH22_3x_0)</f>
        <v>251.21</v>
      </c>
      <c r="I51" s="1"/>
      <c r="J51" s="5">
        <f t="shared" si="29"/>
        <v>7.152363827631022E-4</v>
      </c>
      <c r="K51" s="1"/>
      <c r="L51" s="1">
        <f t="shared" si="30"/>
        <v>-245.37</v>
      </c>
      <c r="M51" s="1"/>
      <c r="N51" s="5">
        <f t="shared" si="31"/>
        <v>-0.97675251781378125</v>
      </c>
      <c r="O51" s="14"/>
      <c r="P51" s="1">
        <f>SUM(OSRRefP22_3x_0)</f>
        <v>-12.74</v>
      </c>
      <c r="Q51" s="1"/>
      <c r="R51" s="5">
        <f t="shared" si="32"/>
        <v>-2.4177053611553655E-5</v>
      </c>
      <c r="S51" s="1"/>
      <c r="T51" s="1">
        <f>SUM(OSRRefT22_3x_0)</f>
        <v>254.89</v>
      </c>
      <c r="U51" s="1"/>
      <c r="V51" s="5">
        <f t="shared" si="33"/>
        <v>4.4164853263578877E-4</v>
      </c>
      <c r="W51" s="1"/>
      <c r="X51" s="1">
        <f t="shared" si="34"/>
        <v>-267.63</v>
      </c>
      <c r="Y51" s="1"/>
      <c r="Z51" s="5">
        <f t="shared" si="35"/>
        <v>-1.0499823453254344</v>
      </c>
    </row>
    <row r="52" spans="1:26" s="24" customFormat="1" hidden="1" outlineLevel="2" x14ac:dyDescent="0.25">
      <c r="A52" s="29"/>
      <c r="B52" s="11" t="str">
        <f>CONCATENATE("          ", "6272", " - ", "CASH (OVER/SHORT)")</f>
        <v xml:space="preserve">          6272 - CASH (OVER/SHORT)</v>
      </c>
      <c r="C52" s="11"/>
      <c r="D52" s="7">
        <v>5.84</v>
      </c>
      <c r="E52" s="2"/>
      <c r="F52" s="6">
        <f t="shared" si="28"/>
        <v>1.6806717852331683E-5</v>
      </c>
      <c r="G52" s="2"/>
      <c r="H52" s="7">
        <v>251.21</v>
      </c>
      <c r="I52" s="2"/>
      <c r="J52" s="6">
        <f t="shared" si="29"/>
        <v>7.152363827631022E-4</v>
      </c>
      <c r="K52" s="2"/>
      <c r="L52" s="7">
        <f t="shared" si="30"/>
        <v>-245.37</v>
      </c>
      <c r="M52" s="2"/>
      <c r="N52" s="6">
        <f t="shared" si="31"/>
        <v>-0.97675251781378125</v>
      </c>
      <c r="O52" s="11"/>
      <c r="P52" s="7">
        <v>-12.74</v>
      </c>
      <c r="Q52" s="2"/>
      <c r="R52" s="6">
        <f t="shared" si="32"/>
        <v>-2.4177053611553655E-5</v>
      </c>
      <c r="S52" s="2"/>
      <c r="T52" s="7">
        <v>254.89</v>
      </c>
      <c r="U52" s="2"/>
      <c r="V52" s="6">
        <f t="shared" si="33"/>
        <v>4.4164853263578877E-4</v>
      </c>
      <c r="W52" s="2"/>
      <c r="X52" s="7">
        <f t="shared" si="34"/>
        <v>-267.63</v>
      </c>
      <c r="Y52" s="2"/>
      <c r="Z52" s="6">
        <f t="shared" si="35"/>
        <v>-1.0499823453254344</v>
      </c>
    </row>
    <row r="53" spans="1:26" s="27" customFormat="1" outlineLevel="1" collapsed="1" x14ac:dyDescent="0.25">
      <c r="A53" s="28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8836.69</v>
      </c>
      <c r="E53" s="1"/>
      <c r="F53" s="5">
        <f t="shared" si="28"/>
        <v>2.5430780064815216E-2</v>
      </c>
      <c r="G53" s="1"/>
      <c r="H53" s="1">
        <f>SUM(OSRRefH22_4x_0)</f>
        <v>7527.22</v>
      </c>
      <c r="I53" s="1"/>
      <c r="J53" s="5">
        <f t="shared" si="29"/>
        <v>2.143123922241184E-2</v>
      </c>
      <c r="K53" s="1"/>
      <c r="L53" s="1">
        <f t="shared" si="30"/>
        <v>1309.4700000000003</v>
      </c>
      <c r="M53" s="1"/>
      <c r="N53" s="5">
        <f t="shared" si="31"/>
        <v>0.17396462438988103</v>
      </c>
      <c r="O53" s="14"/>
      <c r="P53" s="1">
        <f>SUM(OSRRefP22_4x_0)</f>
        <v>13005.95</v>
      </c>
      <c r="Q53" s="1"/>
      <c r="R53" s="5">
        <f t="shared" si="32"/>
        <v>2.4681754350014622E-2</v>
      </c>
      <c r="S53" s="1"/>
      <c r="T53" s="1">
        <f>SUM(OSRRefT22_4x_0)</f>
        <v>12154.32</v>
      </c>
      <c r="U53" s="1"/>
      <c r="V53" s="5">
        <f t="shared" si="33"/>
        <v>2.1059820287911729E-2</v>
      </c>
      <c r="W53" s="1"/>
      <c r="X53" s="1">
        <f t="shared" si="34"/>
        <v>851.63000000000102</v>
      </c>
      <c r="Y53" s="1"/>
      <c r="Z53" s="5">
        <f t="shared" si="35"/>
        <v>7.0068091016198444E-2</v>
      </c>
    </row>
    <row r="54" spans="1:26" s="24" customFormat="1" hidden="1" outlineLevel="2" x14ac:dyDescent="0.25">
      <c r="A54" s="29"/>
      <c r="B54" s="11" t="str">
        <f>CONCATENATE("          ", "6381", " - ", "BANK/CREDIT CARD FEES")</f>
        <v xml:space="preserve">          6381 - BANK/CREDIT CARD FEES</v>
      </c>
      <c r="C54" s="11"/>
      <c r="D54" s="7">
        <v>8836.69</v>
      </c>
      <c r="E54" s="2"/>
      <c r="F54" s="6">
        <f t="shared" si="28"/>
        <v>2.5430780064815216E-2</v>
      </c>
      <c r="G54" s="2"/>
      <c r="H54" s="7">
        <v>7527.22</v>
      </c>
      <c r="I54" s="2"/>
      <c r="J54" s="6">
        <f t="shared" si="29"/>
        <v>2.143123922241184E-2</v>
      </c>
      <c r="K54" s="2"/>
      <c r="L54" s="7">
        <f t="shared" si="30"/>
        <v>1309.4700000000003</v>
      </c>
      <c r="M54" s="2"/>
      <c r="N54" s="6">
        <f t="shared" si="31"/>
        <v>0.17396462438988103</v>
      </c>
      <c r="O54" s="11"/>
      <c r="P54" s="7">
        <v>13005.95</v>
      </c>
      <c r="Q54" s="2"/>
      <c r="R54" s="6">
        <f t="shared" si="32"/>
        <v>2.4681754350014622E-2</v>
      </c>
      <c r="S54" s="2"/>
      <c r="T54" s="7">
        <v>12154.32</v>
      </c>
      <c r="U54" s="2"/>
      <c r="V54" s="6">
        <f t="shared" si="33"/>
        <v>2.1059820287911729E-2</v>
      </c>
      <c r="W54" s="2"/>
      <c r="X54" s="7">
        <f t="shared" si="34"/>
        <v>851.63000000000102</v>
      </c>
      <c r="Y54" s="2"/>
      <c r="Z54" s="6">
        <f t="shared" si="35"/>
        <v>7.0068091016198444E-2</v>
      </c>
    </row>
    <row r="55" spans="1:26" s="27" customFormat="1" outlineLevel="1" collapsed="1" x14ac:dyDescent="0.25">
      <c r="A55" s="28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39571.050000000003</v>
      </c>
      <c r="E55" s="1"/>
      <c r="F55" s="5">
        <f t="shared" si="28"/>
        <v>0.1138800466559092</v>
      </c>
      <c r="G55" s="1"/>
      <c r="H55" s="1">
        <f>SUM(OSRRefH22_5x_0)</f>
        <v>41769.21</v>
      </c>
      <c r="I55" s="1"/>
      <c r="J55" s="5">
        <f t="shared" si="29"/>
        <v>0.11892384328359697</v>
      </c>
      <c r="K55" s="1"/>
      <c r="L55" s="1">
        <f t="shared" si="30"/>
        <v>-2198.1599999999962</v>
      </c>
      <c r="M55" s="1"/>
      <c r="N55" s="5">
        <f t="shared" si="31"/>
        <v>-5.2626324510327012E-2</v>
      </c>
      <c r="O55" s="14"/>
      <c r="P55" s="1">
        <f>SUM(OSRRefP22_5x_0)</f>
        <v>79142.100000000006</v>
      </c>
      <c r="Q55" s="1"/>
      <c r="R55" s="5">
        <f t="shared" si="32"/>
        <v>0.15019017226302517</v>
      </c>
      <c r="S55" s="1"/>
      <c r="T55" s="1">
        <f>SUM(OSRRefT22_5x_0)</f>
        <v>83538.42</v>
      </c>
      <c r="U55" s="1"/>
      <c r="V55" s="5">
        <f t="shared" si="33"/>
        <v>0.14474722669273896</v>
      </c>
      <c r="W55" s="1"/>
      <c r="X55" s="1">
        <f t="shared" si="34"/>
        <v>-4396.3199999999924</v>
      </c>
      <c r="Y55" s="1"/>
      <c r="Z55" s="5">
        <f t="shared" si="35"/>
        <v>-5.2626324510327012E-2</v>
      </c>
    </row>
    <row r="56" spans="1:26" s="24" customFormat="1" hidden="1" outlineLevel="2" x14ac:dyDescent="0.25">
      <c r="A56" s="29"/>
      <c r="B56" s="11" t="str">
        <f>CONCATENATE("          ", "6321", " - ", "BUILDING DEPRECIATION")</f>
        <v xml:space="preserve">          6321 - BUILDING DEPRECIATION</v>
      </c>
      <c r="C56" s="11"/>
      <c r="D56" s="7">
        <v>24042.959999999999</v>
      </c>
      <c r="E56" s="2"/>
      <c r="F56" s="6">
        <f t="shared" si="28"/>
        <v>6.9192336482002834E-2</v>
      </c>
      <c r="G56" s="2"/>
      <c r="H56" s="7">
        <v>27841.129999999997</v>
      </c>
      <c r="I56" s="2"/>
      <c r="J56" s="6">
        <f t="shared" si="29"/>
        <v>7.9268297891155942E-2</v>
      </c>
      <c r="K56" s="2"/>
      <c r="L56" s="7">
        <f t="shared" si="30"/>
        <v>-3798.1699999999983</v>
      </c>
      <c r="M56" s="2"/>
      <c r="N56" s="6">
        <f t="shared" si="31"/>
        <v>-0.13642298283151577</v>
      </c>
      <c r="O56" s="11"/>
      <c r="P56" s="7">
        <v>48085.919999999998</v>
      </c>
      <c r="Q56" s="2"/>
      <c r="R56" s="6">
        <f t="shared" si="32"/>
        <v>9.1253992606034534E-2</v>
      </c>
      <c r="S56" s="2"/>
      <c r="T56" s="7">
        <v>55682.259999999995</v>
      </c>
      <c r="U56" s="2"/>
      <c r="V56" s="6">
        <f t="shared" si="33"/>
        <v>9.6480789449740964E-2</v>
      </c>
      <c r="W56" s="2"/>
      <c r="X56" s="7">
        <f t="shared" si="34"/>
        <v>-7596.3399999999965</v>
      </c>
      <c r="Y56" s="2"/>
      <c r="Z56" s="6">
        <f t="shared" si="35"/>
        <v>-0.13642298283151577</v>
      </c>
    </row>
    <row r="57" spans="1:26" s="24" customFormat="1" hidden="1" outlineLevel="2" x14ac:dyDescent="0.25">
      <c r="A57" s="29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15103.84</v>
      </c>
      <c r="E57" s="2"/>
      <c r="F57" s="6">
        <f t="shared" si="28"/>
        <v>4.346677694636325E-2</v>
      </c>
      <c r="G57" s="2"/>
      <c r="H57" s="7">
        <v>13503.83</v>
      </c>
      <c r="I57" s="2"/>
      <c r="J57" s="6">
        <f t="shared" si="29"/>
        <v>3.8447635534603966E-2</v>
      </c>
      <c r="K57" s="2"/>
      <c r="L57" s="7">
        <f t="shared" si="30"/>
        <v>1600.0100000000002</v>
      </c>
      <c r="M57" s="2"/>
      <c r="N57" s="6">
        <f t="shared" si="31"/>
        <v>0.11848564444309505</v>
      </c>
      <c r="O57" s="11"/>
      <c r="P57" s="7">
        <v>30207.68</v>
      </c>
      <c r="Q57" s="2"/>
      <c r="R57" s="6">
        <f t="shared" si="32"/>
        <v>5.7325957522814525E-2</v>
      </c>
      <c r="S57" s="2"/>
      <c r="T57" s="7">
        <v>27007.66</v>
      </c>
      <c r="U57" s="2"/>
      <c r="V57" s="6">
        <f t="shared" si="33"/>
        <v>4.6796239197011605E-2</v>
      </c>
      <c r="W57" s="2"/>
      <c r="X57" s="7">
        <f t="shared" si="34"/>
        <v>3200.0200000000004</v>
      </c>
      <c r="Y57" s="2"/>
      <c r="Z57" s="6">
        <f t="shared" si="35"/>
        <v>0.11848564444309505</v>
      </c>
    </row>
    <row r="58" spans="1:26" s="24" customFormat="1" hidden="1" outlineLevel="2" x14ac:dyDescent="0.25">
      <c r="A58" s="29"/>
      <c r="B58" s="11" t="str">
        <f>CONCATENATE("          ", "6326", " - ", "VEHICLES DEPRECIATION EXPENSE")</f>
        <v xml:space="preserve">          6326 - VEHICLES DEPRECIATION EXPENSE</v>
      </c>
      <c r="C58" s="11"/>
      <c r="D58" s="7">
        <v>424.25</v>
      </c>
      <c r="E58" s="2"/>
      <c r="F58" s="6">
        <f t="shared" si="28"/>
        <v>1.2209332275431022E-3</v>
      </c>
      <c r="G58" s="2"/>
      <c r="H58" s="7">
        <v>424.25</v>
      </c>
      <c r="I58" s="2"/>
      <c r="J58" s="6">
        <f t="shared" si="29"/>
        <v>1.207909857837053E-3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>
        <v>848.5</v>
      </c>
      <c r="Q58" s="2"/>
      <c r="R58" s="6">
        <f t="shared" si="32"/>
        <v>1.6102221341760812E-3</v>
      </c>
      <c r="S58" s="2"/>
      <c r="T58" s="7">
        <v>848.5</v>
      </c>
      <c r="U58" s="2"/>
      <c r="V58" s="6">
        <f t="shared" si="33"/>
        <v>1.4701980459863738E-3</v>
      </c>
      <c r="W58" s="2"/>
      <c r="X58" s="7">
        <f t="shared" si="34"/>
        <v>0</v>
      </c>
      <c r="Y58" s="2"/>
      <c r="Z58" s="6">
        <f t="shared" si="35"/>
        <v>0</v>
      </c>
    </row>
    <row r="59" spans="1:26" s="27" customFormat="1" outlineLevel="1" collapsed="1" x14ac:dyDescent="0.25">
      <c r="A59" s="28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SUM(OSRRefD22_6x_0)</f>
        <v>289.95999999999998</v>
      </c>
      <c r="E59" s="1"/>
      <c r="F59" s="5">
        <f t="shared" ref="F59:F65" si="36">IF(D$12=0,0,D59/D$12)</f>
        <v>8.3446505281885178E-4</v>
      </c>
      <c r="G59" s="1"/>
      <c r="H59" s="1">
        <f>SUM(OSRRefH22_6x_0)</f>
        <v>245.84</v>
      </c>
      <c r="I59" s="1"/>
      <c r="J59" s="5">
        <f t="shared" ref="J59:J65" si="37">IF(H$12=0,0,H59/H$12)</f>
        <v>6.9994710536396259E-4</v>
      </c>
      <c r="K59" s="1"/>
      <c r="L59" s="1">
        <f t="shared" ref="L59:L65" si="38">+D59-H59</f>
        <v>44.119999999999976</v>
      </c>
      <c r="M59" s="1"/>
      <c r="N59" s="5">
        <f t="shared" ref="N59:N65" si="39">IF(H59=0,0,L59/H59)</f>
        <v>0.17946631955743564</v>
      </c>
      <c r="O59" s="14"/>
      <c r="P59" s="1">
        <f>SUM(OSRRefP22_6x_0)</f>
        <v>399.72</v>
      </c>
      <c r="Q59" s="1"/>
      <c r="R59" s="5">
        <f t="shared" ref="R59:R65" si="40">IF(P$12=0,0,P59/P$12)</f>
        <v>7.5855980138227848E-4</v>
      </c>
      <c r="S59" s="1"/>
      <c r="T59" s="1">
        <f>SUM(OSRRefT22_6x_0)</f>
        <v>245.84</v>
      </c>
      <c r="U59" s="1"/>
      <c r="V59" s="5">
        <f t="shared" ref="V59:V65" si="41">IF(T$12=0,0,T59/T$12)</f>
        <v>4.2596757528024767E-4</v>
      </c>
      <c r="W59" s="1"/>
      <c r="X59" s="1">
        <f t="shared" ref="X59:X65" si="42">+P59-T59</f>
        <v>153.88000000000002</v>
      </c>
      <c r="Y59" s="1"/>
      <c r="Z59" s="5">
        <f t="shared" ref="Z59:Z65" si="43">IF(T59=0,0,X59/T59)</f>
        <v>0.62593556784900761</v>
      </c>
    </row>
    <row r="60" spans="1:26" s="24" customFormat="1" hidden="1" outlineLevel="2" x14ac:dyDescent="0.25">
      <c r="A60" s="29"/>
      <c r="B60" s="11" t="str">
        <f>CONCATENATE("          ", "6277", " - ", "EMPLOYEE APPRECIATION")</f>
        <v xml:space="preserve">          6277 - EMPLOYEE APPRECIATION</v>
      </c>
      <c r="C60" s="11"/>
      <c r="D60" s="7">
        <v>289.95999999999998</v>
      </c>
      <c r="E60" s="2"/>
      <c r="F60" s="6">
        <f t="shared" si="36"/>
        <v>8.3446505281885178E-4</v>
      </c>
      <c r="G60" s="2"/>
      <c r="H60" s="7">
        <v>245.84</v>
      </c>
      <c r="I60" s="2"/>
      <c r="J60" s="6">
        <f t="shared" si="37"/>
        <v>6.9994710536396259E-4</v>
      </c>
      <c r="K60" s="2"/>
      <c r="L60" s="7">
        <f t="shared" si="38"/>
        <v>44.119999999999976</v>
      </c>
      <c r="M60" s="2"/>
      <c r="N60" s="6">
        <f t="shared" si="39"/>
        <v>0.17946631955743564</v>
      </c>
      <c r="O60" s="11"/>
      <c r="P60" s="7">
        <v>399.72</v>
      </c>
      <c r="Q60" s="2"/>
      <c r="R60" s="6">
        <f t="shared" si="40"/>
        <v>7.5855980138227848E-4</v>
      </c>
      <c r="S60" s="2"/>
      <c r="T60" s="7">
        <v>245.84</v>
      </c>
      <c r="U60" s="2"/>
      <c r="V60" s="6">
        <f t="shared" si="41"/>
        <v>4.2596757528024767E-4</v>
      </c>
      <c r="W60" s="2"/>
      <c r="X60" s="7">
        <f t="shared" si="42"/>
        <v>153.88000000000002</v>
      </c>
      <c r="Y60" s="2"/>
      <c r="Z60" s="6">
        <f t="shared" si="43"/>
        <v>0.62593556784900761</v>
      </c>
    </row>
    <row r="61" spans="1:26" s="27" customFormat="1" outlineLevel="1" collapsed="1" x14ac:dyDescent="0.25">
      <c r="A61" s="28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SUM(OSRRefD22_7x_0)</f>
        <v>2627.59</v>
      </c>
      <c r="E61" s="1"/>
      <c r="F61" s="5">
        <f t="shared" si="36"/>
        <v>7.5618431098644192E-3</v>
      </c>
      <c r="G61" s="1"/>
      <c r="H61" s="1">
        <f>SUM(OSRRefH22_7x_0)</f>
        <v>675.43</v>
      </c>
      <c r="I61" s="1"/>
      <c r="J61" s="5">
        <f t="shared" si="37"/>
        <v>1.9230608256426179E-3</v>
      </c>
      <c r="K61" s="1"/>
      <c r="L61" s="1">
        <f t="shared" si="38"/>
        <v>1952.1600000000003</v>
      </c>
      <c r="M61" s="1"/>
      <c r="N61" s="5">
        <f t="shared" si="39"/>
        <v>2.8902476940615616</v>
      </c>
      <c r="O61" s="14"/>
      <c r="P61" s="1">
        <f>SUM(OSRRefP22_7x_0)</f>
        <v>4165.6000000000004</v>
      </c>
      <c r="Q61" s="1"/>
      <c r="R61" s="5">
        <f t="shared" si="40"/>
        <v>7.9051753943711073E-3</v>
      </c>
      <c r="S61" s="1"/>
      <c r="T61" s="1">
        <f>SUM(OSRRefT22_7x_0)</f>
        <v>2863.43</v>
      </c>
      <c r="U61" s="1"/>
      <c r="V61" s="5">
        <f t="shared" si="41"/>
        <v>4.9614722343179277E-3</v>
      </c>
      <c r="W61" s="1"/>
      <c r="X61" s="1">
        <f t="shared" si="42"/>
        <v>1302.1700000000005</v>
      </c>
      <c r="Y61" s="1"/>
      <c r="Z61" s="5">
        <f t="shared" si="43"/>
        <v>0.45475880325344104</v>
      </c>
    </row>
    <row r="62" spans="1:26" s="24" customFormat="1" hidden="1" outlineLevel="2" x14ac:dyDescent="0.25">
      <c r="A62" s="29"/>
      <c r="B62" s="11" t="str">
        <f>CONCATENATE("          ", "6351", " - ", "EQUIPMENT RENTAL")</f>
        <v xml:space="preserve">          6351 - EQUIPMENT RENTAL</v>
      </c>
      <c r="C62" s="11"/>
      <c r="D62" s="7">
        <v>2627.59</v>
      </c>
      <c r="E62" s="2"/>
      <c r="F62" s="6">
        <f t="shared" si="36"/>
        <v>7.5618431098644192E-3</v>
      </c>
      <c r="G62" s="2"/>
      <c r="H62" s="7">
        <v>675.43</v>
      </c>
      <c r="I62" s="2"/>
      <c r="J62" s="6">
        <f t="shared" si="37"/>
        <v>1.9230608256426179E-3</v>
      </c>
      <c r="K62" s="2"/>
      <c r="L62" s="7">
        <f t="shared" si="38"/>
        <v>1952.1600000000003</v>
      </c>
      <c r="M62" s="2"/>
      <c r="N62" s="6">
        <f t="shared" si="39"/>
        <v>2.8902476940615616</v>
      </c>
      <c r="O62" s="11"/>
      <c r="P62" s="7">
        <v>4165.6000000000004</v>
      </c>
      <c r="Q62" s="2"/>
      <c r="R62" s="6">
        <f t="shared" si="40"/>
        <v>7.9051753943711073E-3</v>
      </c>
      <c r="S62" s="2"/>
      <c r="T62" s="7">
        <v>2863.43</v>
      </c>
      <c r="U62" s="2"/>
      <c r="V62" s="6">
        <f t="shared" si="41"/>
        <v>4.9614722343179277E-3</v>
      </c>
      <c r="W62" s="2"/>
      <c r="X62" s="7">
        <f t="shared" si="42"/>
        <v>1302.1700000000005</v>
      </c>
      <c r="Y62" s="2"/>
      <c r="Z62" s="6">
        <f t="shared" si="43"/>
        <v>0.45475880325344104</v>
      </c>
    </row>
    <row r="63" spans="1:26" s="27" customFormat="1" outlineLevel="1" collapsed="1" x14ac:dyDescent="0.25">
      <c r="A63" s="28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SUM(OSRRefD22_8x_0)</f>
        <v>4452.93</v>
      </c>
      <c r="E63" s="1"/>
      <c r="F63" s="5">
        <f t="shared" si="36"/>
        <v>1.2814920912017693E-2</v>
      </c>
      <c r="G63" s="1"/>
      <c r="H63" s="1">
        <f>SUM(OSRRefH22_8x_0)</f>
        <v>3039.77</v>
      </c>
      <c r="I63" s="1"/>
      <c r="J63" s="5">
        <f t="shared" si="37"/>
        <v>8.6547275157509464E-3</v>
      </c>
      <c r="K63" s="1"/>
      <c r="L63" s="1">
        <f t="shared" si="38"/>
        <v>1413.1600000000003</v>
      </c>
      <c r="M63" s="1"/>
      <c r="N63" s="5">
        <f t="shared" si="39"/>
        <v>0.46489043578954997</v>
      </c>
      <c r="O63" s="14"/>
      <c r="P63" s="1">
        <f>SUM(OSRRefP22_8x_0)</f>
        <v>22065.98</v>
      </c>
      <c r="Q63" s="1"/>
      <c r="R63" s="5">
        <f t="shared" si="40"/>
        <v>4.1875226173584829E-2</v>
      </c>
      <c r="S63" s="1"/>
      <c r="T63" s="1">
        <f>SUM(OSRRefT22_8x_0)</f>
        <v>18149.73</v>
      </c>
      <c r="U63" s="1"/>
      <c r="V63" s="5">
        <f t="shared" si="41"/>
        <v>3.1448082004926652E-2</v>
      </c>
      <c r="W63" s="1"/>
      <c r="X63" s="1">
        <f t="shared" si="42"/>
        <v>3916.25</v>
      </c>
      <c r="Y63" s="1"/>
      <c r="Z63" s="5">
        <f t="shared" si="43"/>
        <v>0.21577455973174256</v>
      </c>
    </row>
    <row r="64" spans="1:26" s="24" customFormat="1" hidden="1" outlineLevel="2" x14ac:dyDescent="0.25">
      <c r="A64" s="29"/>
      <c r="B64" s="11" t="str">
        <f>CONCATENATE("          ", "6269", " - ", "ENTERTAINMENT")</f>
        <v xml:space="preserve">          6269 - ENTERTAINMENT</v>
      </c>
      <c r="C64" s="11"/>
      <c r="D64" s="7">
        <v>2600</v>
      </c>
      <c r="E64" s="2"/>
      <c r="F64" s="6">
        <f t="shared" si="36"/>
        <v>7.4824428794627359E-3</v>
      </c>
      <c r="G64" s="2"/>
      <c r="H64" s="7">
        <v>1550</v>
      </c>
      <c r="I64" s="2"/>
      <c r="J64" s="6">
        <f t="shared" si="37"/>
        <v>4.4131061394164575E-3</v>
      </c>
      <c r="K64" s="2"/>
      <c r="L64" s="7">
        <f t="shared" si="38"/>
        <v>1050</v>
      </c>
      <c r="M64" s="2"/>
      <c r="N64" s="6">
        <f t="shared" si="39"/>
        <v>0.67741935483870963</v>
      </c>
      <c r="O64" s="11"/>
      <c r="P64" s="7">
        <v>2600</v>
      </c>
      <c r="Q64" s="2"/>
      <c r="R64" s="6">
        <f t="shared" si="40"/>
        <v>4.9340925737864604E-3</v>
      </c>
      <c r="S64" s="2"/>
      <c r="T64" s="7">
        <v>1550</v>
      </c>
      <c r="U64" s="2"/>
      <c r="V64" s="6">
        <f t="shared" si="41"/>
        <v>2.6856888288495926E-3</v>
      </c>
      <c r="W64" s="2"/>
      <c r="X64" s="7">
        <f t="shared" si="42"/>
        <v>1050</v>
      </c>
      <c r="Y64" s="2"/>
      <c r="Z64" s="6">
        <f t="shared" si="43"/>
        <v>0.67741935483870963</v>
      </c>
    </row>
    <row r="65" spans="1:26" s="24" customFormat="1" hidden="1" outlineLevel="2" x14ac:dyDescent="0.25">
      <c r="A65" s="29"/>
      <c r="B65" s="11" t="str">
        <f>CONCATENATE("          ", "6279", " - ", "GENERAL EXPENSE")</f>
        <v xml:space="preserve">          6279 - GENERAL EXPENSE</v>
      </c>
      <c r="C65" s="11"/>
      <c r="D65" s="7">
        <v>1852.93</v>
      </c>
      <c r="E65" s="2"/>
      <c r="F65" s="6">
        <f t="shared" si="36"/>
        <v>5.3324780325549569E-3</v>
      </c>
      <c r="G65" s="2"/>
      <c r="H65" s="7">
        <v>1489.77</v>
      </c>
      <c r="I65" s="2"/>
      <c r="J65" s="6">
        <f t="shared" si="37"/>
        <v>4.241621376334488E-3</v>
      </c>
      <c r="K65" s="2"/>
      <c r="L65" s="7">
        <f t="shared" si="38"/>
        <v>363.16000000000008</v>
      </c>
      <c r="M65" s="2"/>
      <c r="N65" s="6">
        <f t="shared" si="39"/>
        <v>0.24376917242258878</v>
      </c>
      <c r="O65" s="11"/>
      <c r="P65" s="7">
        <v>19465.98</v>
      </c>
      <c r="Q65" s="2"/>
      <c r="R65" s="6">
        <f t="shared" si="40"/>
        <v>3.6941133599798365E-2</v>
      </c>
      <c r="S65" s="2"/>
      <c r="T65" s="7">
        <v>16599.73</v>
      </c>
      <c r="U65" s="2"/>
      <c r="V65" s="6">
        <f t="shared" si="41"/>
        <v>2.8762393176077063E-2</v>
      </c>
      <c r="W65" s="2"/>
      <c r="X65" s="7">
        <f t="shared" si="42"/>
        <v>2866.25</v>
      </c>
      <c r="Y65" s="2"/>
      <c r="Z65" s="6">
        <f t="shared" si="43"/>
        <v>0.1726684711136868</v>
      </c>
    </row>
    <row r="66" spans="1:26" s="27" customFormat="1" outlineLevel="1" collapsed="1" x14ac:dyDescent="0.25">
      <c r="A66" s="28"/>
      <c r="B66" s="14" t="str">
        <f>CONCATENATE("     ","Insurance                                         ")</f>
        <v xml:space="preserve">     Insurance                                         </v>
      </c>
      <c r="C66" s="14"/>
      <c r="D66" s="1">
        <f>SUM(OSRRefD22_9x_0)</f>
        <v>4240.13</v>
      </c>
      <c r="E66" s="1"/>
      <c r="F66" s="5">
        <f t="shared" ref="F66:F77" si="44">IF(D$12=0,0,D66/D$12)</f>
        <v>1.2202511740960128E-2</v>
      </c>
      <c r="G66" s="1"/>
      <c r="H66" s="1">
        <f>SUM(OSRRefH22_9x_0)</f>
        <v>3993.18</v>
      </c>
      <c r="I66" s="1"/>
      <c r="J66" s="5">
        <f t="shared" ref="J66:J77" si="45">IF(H$12=0,0,H66/H$12)</f>
        <v>1.1369243337932265E-2</v>
      </c>
      <c r="K66" s="1"/>
      <c r="L66" s="1">
        <f t="shared" ref="L66:L77" si="46">+D66-H66</f>
        <v>246.95000000000027</v>
      </c>
      <c r="M66" s="1"/>
      <c r="N66" s="5">
        <f t="shared" ref="N66:N77" si="47">IF(H66=0,0,L66/H66)</f>
        <v>6.1842942216479166E-2</v>
      </c>
      <c r="O66" s="14"/>
      <c r="P66" s="1">
        <f>SUM(OSRRefP22_9x_0)</f>
        <v>8480.26</v>
      </c>
      <c r="Q66" s="1"/>
      <c r="R66" s="5">
        <f t="shared" ref="R66:R77" si="48">IF(P$12=0,0,P66/P$12)</f>
        <v>1.6093226111453217E-2</v>
      </c>
      <c r="S66" s="1"/>
      <c r="T66" s="1">
        <f>SUM(OSRRefT22_9x_0)</f>
        <v>7986.36</v>
      </c>
      <c r="U66" s="1"/>
      <c r="V66" s="5">
        <f t="shared" ref="V66:V77" si="49">IF(T$12=0,0,T66/T$12)</f>
        <v>1.3837985700110472E-2</v>
      </c>
      <c r="W66" s="1"/>
      <c r="X66" s="1">
        <f t="shared" ref="X66:X77" si="50">+P66-T66</f>
        <v>493.90000000000055</v>
      </c>
      <c r="Y66" s="1"/>
      <c r="Z66" s="5">
        <f t="shared" ref="Z66:Z77" si="51">IF(T66=0,0,X66/T66)</f>
        <v>6.1842942216479166E-2</v>
      </c>
    </row>
    <row r="67" spans="1:26" s="24" customFormat="1" hidden="1" outlineLevel="2" x14ac:dyDescent="0.25">
      <c r="A67" s="29"/>
      <c r="B67" s="11" t="str">
        <f>CONCATENATE("          ", "6314", " - ", "LIABILITY INSURANCE")</f>
        <v xml:space="preserve">          6314 - LIABILITY INSURANCE</v>
      </c>
      <c r="C67" s="11"/>
      <c r="D67" s="7">
        <v>4240.13</v>
      </c>
      <c r="E67" s="2"/>
      <c r="F67" s="6">
        <f t="shared" si="44"/>
        <v>1.2202511740960128E-2</v>
      </c>
      <c r="G67" s="2"/>
      <c r="H67" s="7">
        <v>3993.18</v>
      </c>
      <c r="I67" s="2"/>
      <c r="J67" s="6">
        <f t="shared" si="45"/>
        <v>1.1369243337932265E-2</v>
      </c>
      <c r="K67" s="2"/>
      <c r="L67" s="7">
        <f t="shared" si="46"/>
        <v>246.95000000000027</v>
      </c>
      <c r="M67" s="2"/>
      <c r="N67" s="6">
        <f t="shared" si="47"/>
        <v>6.1842942216479166E-2</v>
      </c>
      <c r="O67" s="11"/>
      <c r="P67" s="7">
        <v>8480.26</v>
      </c>
      <c r="Q67" s="2"/>
      <c r="R67" s="6">
        <f t="shared" si="48"/>
        <v>1.6093226111453217E-2</v>
      </c>
      <c r="S67" s="2"/>
      <c r="T67" s="7">
        <v>7986.36</v>
      </c>
      <c r="U67" s="2"/>
      <c r="V67" s="6">
        <f t="shared" si="49"/>
        <v>1.3837985700110472E-2</v>
      </c>
      <c r="W67" s="2"/>
      <c r="X67" s="7">
        <f t="shared" si="50"/>
        <v>493.90000000000055</v>
      </c>
      <c r="Y67" s="2"/>
      <c r="Z67" s="6">
        <f t="shared" si="51"/>
        <v>6.1842942216479166E-2</v>
      </c>
    </row>
    <row r="68" spans="1:26" s="27" customFormat="1" outlineLevel="1" collapsed="1" x14ac:dyDescent="0.25">
      <c r="A68" s="28"/>
      <c r="B68" s="14" t="str">
        <f>CONCATENATE("     ","Interest                                          ")</f>
        <v xml:space="preserve">     Interest                                          </v>
      </c>
      <c r="C68" s="14"/>
      <c r="D68" s="1">
        <f>SUM(OSRRefD22_10x_0)</f>
        <v>7630</v>
      </c>
      <c r="E68" s="1"/>
      <c r="F68" s="5">
        <f t="shared" si="44"/>
        <v>2.1958091988577181E-2</v>
      </c>
      <c r="G68" s="1"/>
      <c r="H68" s="1">
        <f>SUM(OSRRefH22_10x_0)</f>
        <v>7949</v>
      </c>
      <c r="I68" s="1"/>
      <c r="J68" s="5">
        <f t="shared" si="45"/>
        <v>2.2632116582078338E-2</v>
      </c>
      <c r="K68" s="1"/>
      <c r="L68" s="1">
        <f t="shared" si="46"/>
        <v>-319</v>
      </c>
      <c r="M68" s="1"/>
      <c r="N68" s="5">
        <f t="shared" si="47"/>
        <v>-4.013083406717826E-2</v>
      </c>
      <c r="O68" s="14"/>
      <c r="P68" s="1">
        <f>SUM(OSRRefP22_10x_0)</f>
        <v>15260</v>
      </c>
      <c r="Q68" s="1"/>
      <c r="R68" s="5">
        <f t="shared" si="48"/>
        <v>2.895932795230053E-2</v>
      </c>
      <c r="S68" s="1"/>
      <c r="T68" s="1">
        <f>SUM(OSRRefT22_10x_0)</f>
        <v>15898</v>
      </c>
      <c r="U68" s="1"/>
      <c r="V68" s="5">
        <f t="shared" si="49"/>
        <v>2.7546503871645693E-2</v>
      </c>
      <c r="W68" s="1"/>
      <c r="X68" s="1">
        <f t="shared" si="50"/>
        <v>-638</v>
      </c>
      <c r="Y68" s="1"/>
      <c r="Z68" s="5">
        <f t="shared" si="51"/>
        <v>-4.013083406717826E-2</v>
      </c>
    </row>
    <row r="69" spans="1:26" s="24" customFormat="1" hidden="1" outlineLevel="2" x14ac:dyDescent="0.25">
      <c r="A69" s="29"/>
      <c r="B69" s="11" t="str">
        <f>CONCATENATE("          ", "6401", " - ", "INTEREST EXPENSE")</f>
        <v xml:space="preserve">          6401 - INTEREST EXPENSE</v>
      </c>
      <c r="C69" s="11"/>
      <c r="D69" s="7">
        <v>7630</v>
      </c>
      <c r="E69" s="2"/>
      <c r="F69" s="6">
        <f t="shared" si="44"/>
        <v>2.1958091988577181E-2</v>
      </c>
      <c r="G69" s="2"/>
      <c r="H69" s="7">
        <v>7949</v>
      </c>
      <c r="I69" s="2"/>
      <c r="J69" s="6">
        <f t="shared" si="45"/>
        <v>2.2632116582078338E-2</v>
      </c>
      <c r="K69" s="2"/>
      <c r="L69" s="7">
        <f t="shared" si="46"/>
        <v>-319</v>
      </c>
      <c r="M69" s="2"/>
      <c r="N69" s="6">
        <f t="shared" si="47"/>
        <v>-4.013083406717826E-2</v>
      </c>
      <c r="O69" s="11"/>
      <c r="P69" s="7">
        <v>15260</v>
      </c>
      <c r="Q69" s="2"/>
      <c r="R69" s="6">
        <f t="shared" si="48"/>
        <v>2.895932795230053E-2</v>
      </c>
      <c r="S69" s="2"/>
      <c r="T69" s="7">
        <v>15898</v>
      </c>
      <c r="U69" s="2"/>
      <c r="V69" s="6">
        <f t="shared" si="49"/>
        <v>2.7546503871645693E-2</v>
      </c>
      <c r="W69" s="2"/>
      <c r="X69" s="7">
        <f t="shared" si="50"/>
        <v>-638</v>
      </c>
      <c r="Y69" s="2"/>
      <c r="Z69" s="6">
        <f t="shared" si="51"/>
        <v>-4.013083406717826E-2</v>
      </c>
    </row>
    <row r="70" spans="1:26" s="27" customFormat="1" outlineLevel="1" collapsed="1" x14ac:dyDescent="0.25">
      <c r="A70" s="28"/>
      <c r="B70" s="14" t="str">
        <f>CONCATENATE("     ","Professional Services                             ")</f>
        <v xml:space="preserve">     Professional Services                             </v>
      </c>
      <c r="C70" s="14"/>
      <c r="D70" s="1">
        <f>SUM(OSRRefD22_11x_0)</f>
        <v>125</v>
      </c>
      <c r="E70" s="1"/>
      <c r="F70" s="5">
        <f t="shared" si="44"/>
        <v>3.5973283074340075E-4</v>
      </c>
      <c r="G70" s="1"/>
      <c r="H70" s="1">
        <f>SUM(OSRRefH22_11x_0)</f>
        <v>0</v>
      </c>
      <c r="I70" s="1"/>
      <c r="J70" s="5">
        <f t="shared" si="45"/>
        <v>0</v>
      </c>
      <c r="K70" s="1"/>
      <c r="L70" s="1">
        <f t="shared" si="46"/>
        <v>125</v>
      </c>
      <c r="M70" s="1"/>
      <c r="N70" s="5">
        <f t="shared" si="47"/>
        <v>0</v>
      </c>
      <c r="O70" s="14"/>
      <c r="P70" s="1">
        <f>SUM(OSRRefP22_11x_0)</f>
        <v>125</v>
      </c>
      <c r="Q70" s="1"/>
      <c r="R70" s="5">
        <f t="shared" si="48"/>
        <v>2.3721598912434903E-4</v>
      </c>
      <c r="S70" s="1"/>
      <c r="T70" s="1">
        <f>SUM(OSRRefT22_11x_0)</f>
        <v>0</v>
      </c>
      <c r="U70" s="1"/>
      <c r="V70" s="5">
        <f t="shared" si="49"/>
        <v>0</v>
      </c>
      <c r="W70" s="1"/>
      <c r="X70" s="1">
        <f t="shared" si="50"/>
        <v>125</v>
      </c>
      <c r="Y70" s="1"/>
      <c r="Z70" s="5">
        <f t="shared" si="51"/>
        <v>0</v>
      </c>
    </row>
    <row r="71" spans="1:26" s="24" customFormat="1" hidden="1" outlineLevel="2" x14ac:dyDescent="0.25">
      <c r="A71" s="29"/>
      <c r="B71" s="11" t="str">
        <f>CONCATENATE("          ", "6336", " - ", "PROFESSIONAL SERVICES")</f>
        <v xml:space="preserve">          6336 - PROFESSIONAL SERVICES</v>
      </c>
      <c r="C71" s="11"/>
      <c r="D71" s="7">
        <v>125</v>
      </c>
      <c r="E71" s="2"/>
      <c r="F71" s="6">
        <f t="shared" si="44"/>
        <v>3.5973283074340075E-4</v>
      </c>
      <c r="G71" s="2"/>
      <c r="H71" s="7"/>
      <c r="I71" s="2"/>
      <c r="J71" s="6">
        <f t="shared" si="45"/>
        <v>0</v>
      </c>
      <c r="K71" s="2"/>
      <c r="L71" s="7">
        <f t="shared" si="46"/>
        <v>125</v>
      </c>
      <c r="M71" s="2"/>
      <c r="N71" s="6">
        <f t="shared" si="47"/>
        <v>0</v>
      </c>
      <c r="O71" s="11"/>
      <c r="P71" s="7">
        <v>125</v>
      </c>
      <c r="Q71" s="2"/>
      <c r="R71" s="6">
        <f t="shared" si="48"/>
        <v>2.3721598912434903E-4</v>
      </c>
      <c r="S71" s="2"/>
      <c r="T71" s="7"/>
      <c r="U71" s="2"/>
      <c r="V71" s="6">
        <f t="shared" si="49"/>
        <v>0</v>
      </c>
      <c r="W71" s="2"/>
      <c r="X71" s="7">
        <f t="shared" si="50"/>
        <v>125</v>
      </c>
      <c r="Y71" s="2"/>
      <c r="Z71" s="6">
        <f t="shared" si="51"/>
        <v>0</v>
      </c>
    </row>
    <row r="72" spans="1:26" s="27" customFormat="1" outlineLevel="1" collapsed="1" x14ac:dyDescent="0.25">
      <c r="A72" s="28"/>
      <c r="B72" s="14" t="str">
        <f>CONCATENATE("     ","Rent                                              ")</f>
        <v xml:space="preserve">     Rent                                              </v>
      </c>
      <c r="C72" s="14"/>
      <c r="D72" s="1">
        <f>SUM(OSRRefD22_12x_0)</f>
        <v>1850</v>
      </c>
      <c r="E72" s="1"/>
      <c r="F72" s="5">
        <f t="shared" si="44"/>
        <v>5.3240458950023313E-3</v>
      </c>
      <c r="G72" s="1"/>
      <c r="H72" s="1">
        <f>SUM(OSRRefH22_12x_0)</f>
        <v>1850</v>
      </c>
      <c r="I72" s="1"/>
      <c r="J72" s="5">
        <f t="shared" si="45"/>
        <v>5.2672557147873849E-3</v>
      </c>
      <c r="K72" s="1"/>
      <c r="L72" s="1">
        <f t="shared" si="46"/>
        <v>0</v>
      </c>
      <c r="M72" s="1"/>
      <c r="N72" s="5">
        <f t="shared" si="47"/>
        <v>0</v>
      </c>
      <c r="O72" s="14"/>
      <c r="P72" s="1">
        <f>SUM(OSRRefP22_12x_0)</f>
        <v>3700</v>
      </c>
      <c r="Q72" s="1"/>
      <c r="R72" s="5">
        <f t="shared" si="48"/>
        <v>7.0215932780807316E-3</v>
      </c>
      <c r="S72" s="1"/>
      <c r="T72" s="1">
        <f>SUM(OSRRefT22_12x_0)</f>
        <v>3700</v>
      </c>
      <c r="U72" s="1"/>
      <c r="V72" s="5">
        <f t="shared" si="49"/>
        <v>6.4109991398345117E-3</v>
      </c>
      <c r="W72" s="1"/>
      <c r="X72" s="1">
        <f t="shared" si="50"/>
        <v>0</v>
      </c>
      <c r="Y72" s="1"/>
      <c r="Z72" s="5">
        <f t="shared" si="51"/>
        <v>0</v>
      </c>
    </row>
    <row r="73" spans="1:26" s="24" customFormat="1" hidden="1" outlineLevel="2" x14ac:dyDescent="0.25">
      <c r="A73" s="29"/>
      <c r="B73" s="11" t="str">
        <f>CONCATENATE("          ", "6273", " - ", "RENT")</f>
        <v xml:space="preserve">          6273 - RENT</v>
      </c>
      <c r="C73" s="11"/>
      <c r="D73" s="7">
        <v>1850</v>
      </c>
      <c r="E73" s="2"/>
      <c r="F73" s="6">
        <f t="shared" si="44"/>
        <v>5.3240458950023313E-3</v>
      </c>
      <c r="G73" s="2"/>
      <c r="H73" s="7">
        <v>1850</v>
      </c>
      <c r="I73" s="2"/>
      <c r="J73" s="6">
        <f t="shared" si="45"/>
        <v>5.2672557147873849E-3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>
        <v>3700</v>
      </c>
      <c r="Q73" s="2"/>
      <c r="R73" s="6">
        <f t="shared" si="48"/>
        <v>7.0215932780807316E-3</v>
      </c>
      <c r="S73" s="2"/>
      <c r="T73" s="7">
        <v>3700</v>
      </c>
      <c r="U73" s="2"/>
      <c r="V73" s="6">
        <f t="shared" si="49"/>
        <v>6.4109991398345117E-3</v>
      </c>
      <c r="W73" s="2"/>
      <c r="X73" s="7">
        <f t="shared" si="50"/>
        <v>0</v>
      </c>
      <c r="Y73" s="2"/>
      <c r="Z73" s="6">
        <f t="shared" si="51"/>
        <v>0</v>
      </c>
    </row>
    <row r="74" spans="1:26" s="27" customFormat="1" outlineLevel="1" collapsed="1" x14ac:dyDescent="0.25">
      <c r="A74" s="28"/>
      <c r="B74" s="14" t="str">
        <f>CONCATENATE("     ","Repair and Maintenance                            ")</f>
        <v xml:space="preserve">     Repair and Maintenance                            </v>
      </c>
      <c r="C74" s="14"/>
      <c r="D74" s="1">
        <f>SUM(OSRRefD22_13x_0)</f>
        <v>21942.260000000002</v>
      </c>
      <c r="E74" s="1"/>
      <c r="F74" s="5">
        <f t="shared" si="44"/>
        <v>6.3146810421661551E-2</v>
      </c>
      <c r="G74" s="1"/>
      <c r="H74" s="1">
        <f>SUM(OSRRefH22_13x_0)</f>
        <v>25792.28</v>
      </c>
      <c r="I74" s="1"/>
      <c r="J74" s="5">
        <f t="shared" si="45"/>
        <v>7.3434883366160206E-2</v>
      </c>
      <c r="K74" s="1"/>
      <c r="L74" s="1">
        <f t="shared" si="46"/>
        <v>-3850.0199999999968</v>
      </c>
      <c r="M74" s="1"/>
      <c r="N74" s="5">
        <f t="shared" si="47"/>
        <v>-0.14927024675600595</v>
      </c>
      <c r="O74" s="14"/>
      <c r="P74" s="1">
        <f>SUM(OSRRefP22_13x_0)</f>
        <v>47809.81</v>
      </c>
      <c r="Q74" s="1"/>
      <c r="R74" s="5">
        <f t="shared" si="48"/>
        <v>9.0730010951977552E-2</v>
      </c>
      <c r="S74" s="1"/>
      <c r="T74" s="1">
        <f>SUM(OSRRefT22_13x_0)</f>
        <v>50826.79</v>
      </c>
      <c r="U74" s="1"/>
      <c r="V74" s="5">
        <f t="shared" si="49"/>
        <v>8.8067704586634959E-2</v>
      </c>
      <c r="W74" s="1"/>
      <c r="X74" s="1">
        <f t="shared" si="50"/>
        <v>-3016.9800000000032</v>
      </c>
      <c r="Y74" s="1"/>
      <c r="Z74" s="5">
        <f t="shared" si="51"/>
        <v>-5.9358066877723402E-2</v>
      </c>
    </row>
    <row r="75" spans="1:26" s="24" customFormat="1" hidden="1" outlineLevel="2" x14ac:dyDescent="0.25">
      <c r="A75" s="29"/>
      <c r="B75" s="11" t="str">
        <f>CONCATENATE("          ", "6371", " - ", "COMPUTER SOFTWARE MAINTENANCE")</f>
        <v xml:space="preserve">          6371 - COMPUTER SOFTWARE MAINTENANCE</v>
      </c>
      <c r="C75" s="11"/>
      <c r="D75" s="7"/>
      <c r="E75" s="2"/>
      <c r="F75" s="6">
        <f t="shared" si="44"/>
        <v>0</v>
      </c>
      <c r="G75" s="2"/>
      <c r="H75" s="7">
        <v>249</v>
      </c>
      <c r="I75" s="2"/>
      <c r="J75" s="6">
        <f t="shared" si="45"/>
        <v>7.0894414755786966E-4</v>
      </c>
      <c r="K75" s="2"/>
      <c r="L75" s="7">
        <f t="shared" si="46"/>
        <v>-249</v>
      </c>
      <c r="M75" s="2"/>
      <c r="N75" s="6">
        <f t="shared" si="47"/>
        <v>-1</v>
      </c>
      <c r="O75" s="11"/>
      <c r="P75" s="7"/>
      <c r="Q75" s="2"/>
      <c r="R75" s="6">
        <f t="shared" si="48"/>
        <v>0</v>
      </c>
      <c r="S75" s="2"/>
      <c r="T75" s="7">
        <v>249</v>
      </c>
      <c r="U75" s="2"/>
      <c r="V75" s="6">
        <f t="shared" si="49"/>
        <v>4.3144291508616036E-4</v>
      </c>
      <c r="W75" s="2"/>
      <c r="X75" s="7">
        <f t="shared" si="50"/>
        <v>-249</v>
      </c>
      <c r="Y75" s="2"/>
      <c r="Z75" s="6">
        <f t="shared" si="51"/>
        <v>-1</v>
      </c>
    </row>
    <row r="76" spans="1:26" s="24" customFormat="1" hidden="1" outlineLevel="2" x14ac:dyDescent="0.25">
      <c r="A76" s="29"/>
      <c r="B76" s="11" t="str">
        <f>CONCATENATE("          ", "6373", " - ", "MAINTENANCE CONTRACTS")</f>
        <v xml:space="preserve">          6373 - MAINTENANCE CONTRACTS</v>
      </c>
      <c r="C76" s="11"/>
      <c r="D76" s="7">
        <v>10062.32</v>
      </c>
      <c r="E76" s="2"/>
      <c r="F76" s="6">
        <f t="shared" si="44"/>
        <v>2.8957974859567488E-2</v>
      </c>
      <c r="G76" s="2"/>
      <c r="H76" s="7">
        <v>15478.2</v>
      </c>
      <c r="I76" s="2"/>
      <c r="J76" s="6">
        <f t="shared" si="45"/>
        <v>4.4068993191687625E-2</v>
      </c>
      <c r="K76" s="2"/>
      <c r="L76" s="7">
        <f t="shared" si="46"/>
        <v>-5415.880000000001</v>
      </c>
      <c r="M76" s="2"/>
      <c r="N76" s="6">
        <f t="shared" si="47"/>
        <v>-0.3499037355764883</v>
      </c>
      <c r="O76" s="11"/>
      <c r="P76" s="7">
        <v>16091.2</v>
      </c>
      <c r="Q76" s="2"/>
      <c r="R76" s="6">
        <f t="shared" si="48"/>
        <v>3.0536719393581803E-2</v>
      </c>
      <c r="S76" s="2"/>
      <c r="T76" s="7">
        <v>22317.21</v>
      </c>
      <c r="U76" s="2"/>
      <c r="V76" s="6">
        <f t="shared" si="49"/>
        <v>3.8669084895542202E-2</v>
      </c>
      <c r="W76" s="2"/>
      <c r="X76" s="7">
        <f t="shared" si="50"/>
        <v>-6226.0099999999984</v>
      </c>
      <c r="Y76" s="2"/>
      <c r="Z76" s="6">
        <f t="shared" si="51"/>
        <v>-0.27897797260499851</v>
      </c>
    </row>
    <row r="77" spans="1:26" s="24" customFormat="1" hidden="1" outlineLevel="2" x14ac:dyDescent="0.25">
      <c r="A77" s="29"/>
      <c r="B77" s="11" t="str">
        <f>CONCATENATE("          ", "6375", " - ", "OUTSIDE REPAIRS &amp; MAINTENANCE")</f>
        <v xml:space="preserve">          6375 - OUTSIDE REPAIRS &amp; MAINTENANCE</v>
      </c>
      <c r="C77" s="11"/>
      <c r="D77" s="7">
        <v>11879.94</v>
      </c>
      <c r="E77" s="2"/>
      <c r="F77" s="6">
        <f t="shared" si="44"/>
        <v>3.4188835562094053E-2</v>
      </c>
      <c r="G77" s="2"/>
      <c r="H77" s="7">
        <v>10065.08</v>
      </c>
      <c r="I77" s="2"/>
      <c r="J77" s="6">
        <f t="shared" si="45"/>
        <v>2.8656946026914709E-2</v>
      </c>
      <c r="K77" s="2"/>
      <c r="L77" s="7">
        <f t="shared" si="46"/>
        <v>1814.8600000000006</v>
      </c>
      <c r="M77" s="2"/>
      <c r="N77" s="6">
        <f t="shared" si="47"/>
        <v>0.18031252608026965</v>
      </c>
      <c r="O77" s="11"/>
      <c r="P77" s="7">
        <v>31718.609999999997</v>
      </c>
      <c r="Q77" s="2"/>
      <c r="R77" s="6">
        <f t="shared" si="48"/>
        <v>6.0193291558395742E-2</v>
      </c>
      <c r="S77" s="2"/>
      <c r="T77" s="7">
        <v>28260.58</v>
      </c>
      <c r="U77" s="2"/>
      <c r="V77" s="6">
        <f t="shared" si="49"/>
        <v>4.8967176776006593E-2</v>
      </c>
      <c r="W77" s="2"/>
      <c r="X77" s="7">
        <f t="shared" si="50"/>
        <v>3458.0299999999952</v>
      </c>
      <c r="Y77" s="2"/>
      <c r="Z77" s="6">
        <f t="shared" si="51"/>
        <v>0.12236231528156871</v>
      </c>
    </row>
    <row r="78" spans="1:26" s="27" customFormat="1" outlineLevel="1" collapsed="1" x14ac:dyDescent="0.25">
      <c r="A78" s="28"/>
      <c r="B78" s="14" t="str">
        <f>CONCATENATE("     ","Royalty &amp; Commissions                             ")</f>
        <v xml:space="preserve">     Royalty &amp; Commissions                             </v>
      </c>
      <c r="C78" s="14"/>
      <c r="D78" s="1">
        <f>SUM(OSRRefD22_14x_0)</f>
        <v>16843.939999999999</v>
      </c>
      <c r="E78" s="1"/>
      <c r="F78" s="5">
        <f t="shared" ref="F78:F80" si="52">IF(D$12=0,0,D78/D$12)</f>
        <v>4.8474545736575975E-2</v>
      </c>
      <c r="G78" s="1"/>
      <c r="H78" s="1">
        <f>SUM(OSRRefH22_14x_0)</f>
        <v>20656.689999999999</v>
      </c>
      <c r="I78" s="1"/>
      <c r="J78" s="5">
        <f t="shared" ref="J78:J80" si="53">IF(H$12=0,0,H78/H$12)</f>
        <v>5.8813009973562931E-2</v>
      </c>
      <c r="K78" s="1"/>
      <c r="L78" s="1">
        <f t="shared" ref="L78:L80" si="54">+D78-H78</f>
        <v>-3812.75</v>
      </c>
      <c r="M78" s="1"/>
      <c r="N78" s="5">
        <f t="shared" ref="N78:N80" si="55">IF(H78=0,0,L78/H78)</f>
        <v>-0.1845770062870673</v>
      </c>
      <c r="O78" s="14"/>
      <c r="P78" s="1">
        <f>SUM(OSRRefP22_14x_0)</f>
        <v>33702.04</v>
      </c>
      <c r="Q78" s="1"/>
      <c r="R78" s="5">
        <f t="shared" ref="R78:R80" si="56">IF(P$12=0,0,P78/P$12)</f>
        <v>6.3957302032867008E-2</v>
      </c>
      <c r="S78" s="1"/>
      <c r="T78" s="1">
        <f>SUM(OSRRefT22_14x_0)</f>
        <v>35643.449999999997</v>
      </c>
      <c r="U78" s="1"/>
      <c r="V78" s="5">
        <f t="shared" ref="V78:V80" si="57">IF(T$12=0,0,T78/T$12)</f>
        <v>6.1759493862360647E-2</v>
      </c>
      <c r="W78" s="1"/>
      <c r="X78" s="1">
        <f t="shared" ref="X78:X80" si="58">+P78-T78</f>
        <v>-1941.4099999999962</v>
      </c>
      <c r="Y78" s="1"/>
      <c r="Z78" s="5">
        <f t="shared" ref="Z78:Z80" si="59">IF(T78=0,0,X78/T78)</f>
        <v>-5.4467510861041686E-2</v>
      </c>
    </row>
    <row r="79" spans="1:26" s="24" customFormat="1" hidden="1" outlineLevel="2" x14ac:dyDescent="0.25">
      <c r="A79" s="29"/>
      <c r="B79" s="11" t="str">
        <f>CONCATENATE("          ", "6254", " - ", "ROYALTY &amp; COMMISSIONS")</f>
        <v xml:space="preserve">          6254 - ROYALTY &amp; COMMISSIONS</v>
      </c>
      <c r="C79" s="11"/>
      <c r="D79" s="7">
        <v>10870.98</v>
      </c>
      <c r="E79" s="2"/>
      <c r="F79" s="6">
        <f t="shared" si="52"/>
        <v>3.1285187266839154E-2</v>
      </c>
      <c r="G79" s="2"/>
      <c r="H79" s="7">
        <v>15174.369999999999</v>
      </c>
      <c r="I79" s="2"/>
      <c r="J79" s="6">
        <f t="shared" si="53"/>
        <v>4.3203938973404458E-2</v>
      </c>
      <c r="K79" s="2"/>
      <c r="L79" s="7">
        <f t="shared" si="54"/>
        <v>-4303.3899999999994</v>
      </c>
      <c r="M79" s="2"/>
      <c r="N79" s="6">
        <f t="shared" si="55"/>
        <v>-0.28359595818475491</v>
      </c>
      <c r="O79" s="11"/>
      <c r="P79" s="7">
        <v>24843.64</v>
      </c>
      <c r="Q79" s="2"/>
      <c r="R79" s="6">
        <f t="shared" si="56"/>
        <v>4.7146469088393941E-2</v>
      </c>
      <c r="S79" s="2"/>
      <c r="T79" s="7">
        <v>27153.37</v>
      </c>
      <c r="U79" s="2"/>
      <c r="V79" s="6">
        <f t="shared" si="57"/>
        <v>4.704871127394817E-2</v>
      </c>
      <c r="W79" s="2"/>
      <c r="X79" s="7">
        <f t="shared" si="58"/>
        <v>-2309.7299999999996</v>
      </c>
      <c r="Y79" s="2"/>
      <c r="Z79" s="6">
        <f t="shared" si="59"/>
        <v>-8.5062369790563738E-2</v>
      </c>
    </row>
    <row r="80" spans="1:26" s="24" customFormat="1" hidden="1" outlineLevel="2" x14ac:dyDescent="0.25">
      <c r="A80" s="29"/>
      <c r="B80" s="11" t="str">
        <f>CONCATENATE("          ", "6259", " - ", "ROYALTY &amp; COMMISSIONS")</f>
        <v xml:space="preserve">          6259 - ROYALTY &amp; COMMISSIONS</v>
      </c>
      <c r="C80" s="11"/>
      <c r="D80" s="7">
        <v>5972.96</v>
      </c>
      <c r="E80" s="2"/>
      <c r="F80" s="6">
        <f t="shared" si="52"/>
        <v>1.7189358469736824E-2</v>
      </c>
      <c r="G80" s="2"/>
      <c r="H80" s="7">
        <v>5482.32</v>
      </c>
      <c r="I80" s="2"/>
      <c r="J80" s="6">
        <f t="shared" si="53"/>
        <v>1.5609071000158473E-2</v>
      </c>
      <c r="K80" s="2"/>
      <c r="L80" s="7">
        <f t="shared" si="54"/>
        <v>490.64000000000033</v>
      </c>
      <c r="M80" s="2"/>
      <c r="N80" s="6">
        <f t="shared" si="55"/>
        <v>8.9494958338805539E-2</v>
      </c>
      <c r="O80" s="11"/>
      <c r="P80" s="7">
        <v>8858.4</v>
      </c>
      <c r="Q80" s="2"/>
      <c r="R80" s="6">
        <f t="shared" si="56"/>
        <v>1.6810832944473067E-2</v>
      </c>
      <c r="S80" s="2"/>
      <c r="T80" s="7">
        <v>8490.08</v>
      </c>
      <c r="U80" s="2"/>
      <c r="V80" s="6">
        <f t="shared" si="57"/>
        <v>1.4710782588412484E-2</v>
      </c>
      <c r="W80" s="2"/>
      <c r="X80" s="7">
        <f t="shared" si="58"/>
        <v>368.31999999999971</v>
      </c>
      <c r="Y80" s="2"/>
      <c r="Z80" s="6">
        <f t="shared" si="59"/>
        <v>4.3382394512183599E-2</v>
      </c>
    </row>
    <row r="81" spans="1:26" s="27" customFormat="1" outlineLevel="1" collapsed="1" x14ac:dyDescent="0.25">
      <c r="A81" s="28"/>
      <c r="B81" s="14" t="str">
        <f>CONCATENATE("     ","Services                                          ")</f>
        <v xml:space="preserve">     Services                                          </v>
      </c>
      <c r="C81" s="14"/>
      <c r="D81" s="1">
        <f>SUM(OSRRefD22_15x_0)</f>
        <v>17396.48</v>
      </c>
      <c r="E81" s="1"/>
      <c r="F81" s="5">
        <f t="shared" ref="F81:F86" si="60">IF(D$12=0,0,D81/D$12)</f>
        <v>5.0064679962967651E-2</v>
      </c>
      <c r="G81" s="1"/>
      <c r="H81" s="1">
        <f>SUM(OSRRefH22_15x_0)</f>
        <v>18950.280000000002</v>
      </c>
      <c r="I81" s="1"/>
      <c r="J81" s="5">
        <f t="shared" ref="J81:J86" si="61">IF(H$12=0,0,H81/H$12)</f>
        <v>5.3954578717200594E-2</v>
      </c>
      <c r="K81" s="1"/>
      <c r="L81" s="1">
        <f t="shared" ref="L81:L86" si="62">+D81-H81</f>
        <v>-1553.8000000000029</v>
      </c>
      <c r="M81" s="1"/>
      <c r="N81" s="5">
        <f t="shared" ref="N81:N86" si="63">IF(H81=0,0,L81/H81)</f>
        <v>-8.1993511441519742E-2</v>
      </c>
      <c r="O81" s="14"/>
      <c r="P81" s="1">
        <f>SUM(OSRRefP22_15x_0)</f>
        <v>39071.78</v>
      </c>
      <c r="Q81" s="1"/>
      <c r="R81" s="5">
        <f t="shared" ref="R81:R86" si="64">IF(P$12=0,0,P81/P$12)</f>
        <v>7.414760751639167E-2</v>
      </c>
      <c r="S81" s="1"/>
      <c r="T81" s="1">
        <f>SUM(OSRRefT22_15x_0)</f>
        <v>39661.409999999996</v>
      </c>
      <c r="U81" s="1"/>
      <c r="V81" s="5">
        <f t="shared" ref="V81:V86" si="65">IF(T$12=0,0,T81/T$12)</f>
        <v>6.8721423079628072E-2</v>
      </c>
      <c r="W81" s="1"/>
      <c r="X81" s="1">
        <f t="shared" ref="X81:X86" si="66">+P81-T81</f>
        <v>-589.62999999999738</v>
      </c>
      <c r="Y81" s="1"/>
      <c r="Z81" s="5">
        <f t="shared" ref="Z81:Z86" si="67">IF(T81=0,0,X81/T81)</f>
        <v>-1.4866591984500738E-2</v>
      </c>
    </row>
    <row r="82" spans="1:26" s="24" customFormat="1" hidden="1" outlineLevel="2" x14ac:dyDescent="0.25">
      <c r="A82" s="29"/>
      <c r="B82" s="11" t="str">
        <f>CONCATENATE("          ", "6282", " - ", "JANITORIAL/EXTERMINATOR EXPENS")</f>
        <v xml:space="preserve">          6282 - JANITORIAL/EXTERMINATOR EXPENS</v>
      </c>
      <c r="C82" s="11"/>
      <c r="D82" s="7">
        <v>1277.57</v>
      </c>
      <c r="E82" s="2"/>
      <c r="F82" s="6">
        <f t="shared" si="60"/>
        <v>3.6766709805827716E-3</v>
      </c>
      <c r="G82" s="2"/>
      <c r="H82" s="7">
        <v>1180.6099999999999</v>
      </c>
      <c r="I82" s="2"/>
      <c r="J82" s="6">
        <f t="shared" si="61"/>
        <v>3.3613917672622347E-3</v>
      </c>
      <c r="K82" s="2"/>
      <c r="L82" s="7">
        <f t="shared" si="62"/>
        <v>96.960000000000036</v>
      </c>
      <c r="M82" s="2"/>
      <c r="N82" s="6">
        <f t="shared" si="63"/>
        <v>8.2127036023750474E-2</v>
      </c>
      <c r="O82" s="11"/>
      <c r="P82" s="7">
        <v>2555.14</v>
      </c>
      <c r="Q82" s="2"/>
      <c r="R82" s="6">
        <f t="shared" si="64"/>
        <v>4.8489604996095137E-3</v>
      </c>
      <c r="S82" s="2"/>
      <c r="T82" s="7">
        <v>2361.2199999999998</v>
      </c>
      <c r="U82" s="2"/>
      <c r="V82" s="6">
        <f t="shared" si="65"/>
        <v>4.0912917267459581E-3</v>
      </c>
      <c r="W82" s="2"/>
      <c r="X82" s="7">
        <f t="shared" si="66"/>
        <v>193.92000000000007</v>
      </c>
      <c r="Y82" s="2"/>
      <c r="Z82" s="6">
        <f t="shared" si="67"/>
        <v>8.2127036023750474E-2</v>
      </c>
    </row>
    <row r="83" spans="1:26" s="24" customFormat="1" hidden="1" outlineLevel="2" x14ac:dyDescent="0.25">
      <c r="A83" s="29"/>
      <c r="B83" s="11" t="str">
        <f>CONCATENATE("          ", "6283", " - ", "PLANT SERVICE")</f>
        <v xml:space="preserve">          6283 - PLANT SERVICE</v>
      </c>
      <c r="C83" s="11"/>
      <c r="D83" s="7">
        <v>199.78</v>
      </c>
      <c r="E83" s="2"/>
      <c r="F83" s="6">
        <f t="shared" si="60"/>
        <v>5.7493939940733284E-4</v>
      </c>
      <c r="G83" s="2"/>
      <c r="H83" s="7">
        <v>176</v>
      </c>
      <c r="I83" s="2"/>
      <c r="J83" s="6">
        <f t="shared" si="61"/>
        <v>5.0110108421761064E-4</v>
      </c>
      <c r="K83" s="2"/>
      <c r="L83" s="7">
        <f t="shared" si="62"/>
        <v>23.78</v>
      </c>
      <c r="M83" s="2"/>
      <c r="N83" s="6">
        <f t="shared" si="63"/>
        <v>0.13511363636363638</v>
      </c>
      <c r="O83" s="11"/>
      <c r="P83" s="7">
        <v>399.56</v>
      </c>
      <c r="Q83" s="2"/>
      <c r="R83" s="6">
        <f t="shared" si="64"/>
        <v>7.582561649161992E-4</v>
      </c>
      <c r="S83" s="2"/>
      <c r="T83" s="7">
        <v>352</v>
      </c>
      <c r="U83" s="2"/>
      <c r="V83" s="6">
        <f t="shared" si="65"/>
        <v>6.0991126951939138E-4</v>
      </c>
      <c r="W83" s="2"/>
      <c r="X83" s="7">
        <f t="shared" si="66"/>
        <v>47.56</v>
      </c>
      <c r="Y83" s="2"/>
      <c r="Z83" s="6">
        <f t="shared" si="67"/>
        <v>0.13511363636363638</v>
      </c>
    </row>
    <row r="84" spans="1:26" s="24" customFormat="1" hidden="1" outlineLevel="2" x14ac:dyDescent="0.25">
      <c r="A84" s="29"/>
      <c r="B84" s="11" t="str">
        <f>CONCATENATE("          ", "6284", " - ", "TRASH REMOVAL EXPENSE")</f>
        <v xml:space="preserve">          6284 - TRASH REMOVAL EXPENSE</v>
      </c>
      <c r="C84" s="11"/>
      <c r="D84" s="7"/>
      <c r="E84" s="2"/>
      <c r="F84" s="6">
        <f t="shared" si="60"/>
        <v>0</v>
      </c>
      <c r="G84" s="2"/>
      <c r="H84" s="7">
        <v>3193</v>
      </c>
      <c r="I84" s="2"/>
      <c r="J84" s="6">
        <f t="shared" si="61"/>
        <v>9.0909986471979023E-3</v>
      </c>
      <c r="K84" s="2"/>
      <c r="L84" s="7">
        <f t="shared" si="62"/>
        <v>-3193</v>
      </c>
      <c r="M84" s="2"/>
      <c r="N84" s="6">
        <f t="shared" si="63"/>
        <v>-1</v>
      </c>
      <c r="O84" s="11"/>
      <c r="P84" s="7">
        <v>4199</v>
      </c>
      <c r="Q84" s="2"/>
      <c r="R84" s="6">
        <f t="shared" si="64"/>
        <v>7.9685595066651335E-3</v>
      </c>
      <c r="S84" s="2"/>
      <c r="T84" s="7">
        <v>6386</v>
      </c>
      <c r="U84" s="2"/>
      <c r="V84" s="6">
        <f t="shared" si="65"/>
        <v>1.1065037974860321E-2</v>
      </c>
      <c r="W84" s="2"/>
      <c r="X84" s="7">
        <f t="shared" si="66"/>
        <v>-2187</v>
      </c>
      <c r="Y84" s="2"/>
      <c r="Z84" s="6">
        <f t="shared" si="67"/>
        <v>-0.34246789852803006</v>
      </c>
    </row>
    <row r="85" spans="1:26" s="24" customFormat="1" hidden="1" outlineLevel="2" x14ac:dyDescent="0.25">
      <c r="A85" s="29"/>
      <c r="B85" s="11" t="str">
        <f>CONCATENATE("          ", "6285", " - ", "JANITORIAL SERVICES")</f>
        <v xml:space="preserve">          6285 - JANITORIAL SERVICES</v>
      </c>
      <c r="C85" s="11"/>
      <c r="D85" s="7">
        <v>13244.46</v>
      </c>
      <c r="E85" s="2"/>
      <c r="F85" s="6">
        <f t="shared" si="60"/>
        <v>3.8115736699741928E-2</v>
      </c>
      <c r="G85" s="2"/>
      <c r="H85" s="7">
        <v>11969.54</v>
      </c>
      <c r="I85" s="2"/>
      <c r="J85" s="6">
        <f t="shared" si="61"/>
        <v>3.4079258361284434E-2</v>
      </c>
      <c r="K85" s="2"/>
      <c r="L85" s="7">
        <f t="shared" si="62"/>
        <v>1274.9199999999983</v>
      </c>
      <c r="M85" s="2"/>
      <c r="N85" s="6">
        <f t="shared" si="63"/>
        <v>0.10651370061004835</v>
      </c>
      <c r="O85" s="11"/>
      <c r="P85" s="7">
        <v>26138.92</v>
      </c>
      <c r="Q85" s="2"/>
      <c r="R85" s="6">
        <f t="shared" si="64"/>
        <v>4.9604558099537829E-2</v>
      </c>
      <c r="S85" s="2"/>
      <c r="T85" s="7">
        <v>24376.3</v>
      </c>
      <c r="U85" s="2"/>
      <c r="V85" s="6">
        <f t="shared" si="65"/>
        <v>4.223687522495892E-2</v>
      </c>
      <c r="W85" s="2"/>
      <c r="X85" s="7">
        <f t="shared" si="66"/>
        <v>1762.619999999999</v>
      </c>
      <c r="Y85" s="2"/>
      <c r="Z85" s="6">
        <f t="shared" si="67"/>
        <v>7.2308758917473084E-2</v>
      </c>
    </row>
    <row r="86" spans="1:26" s="24" customFormat="1" hidden="1" outlineLevel="2" x14ac:dyDescent="0.25">
      <c r="A86" s="29"/>
      <c r="B86" s="11" t="str">
        <f>CONCATENATE("          ", "6286", " - ", "LAUNDRY EXPENSE")</f>
        <v xml:space="preserve">          6286 - LAUNDRY EXPENSE</v>
      </c>
      <c r="C86" s="11"/>
      <c r="D86" s="7">
        <v>2674.67</v>
      </c>
      <c r="E86" s="2"/>
      <c r="F86" s="6">
        <f t="shared" si="60"/>
        <v>7.6973328832356134E-3</v>
      </c>
      <c r="G86" s="2"/>
      <c r="H86" s="7">
        <v>2431.13</v>
      </c>
      <c r="I86" s="2"/>
      <c r="J86" s="6">
        <f t="shared" si="61"/>
        <v>6.9218288572384084E-3</v>
      </c>
      <c r="K86" s="2"/>
      <c r="L86" s="7">
        <f t="shared" si="62"/>
        <v>243.53999999999996</v>
      </c>
      <c r="M86" s="2"/>
      <c r="N86" s="6">
        <f t="shared" si="63"/>
        <v>0.10017563848909765</v>
      </c>
      <c r="O86" s="11"/>
      <c r="P86" s="7">
        <v>5779.16</v>
      </c>
      <c r="Q86" s="2"/>
      <c r="R86" s="6">
        <f t="shared" si="64"/>
        <v>1.0967273245662983E-2</v>
      </c>
      <c r="S86" s="2"/>
      <c r="T86" s="7">
        <v>6185.89</v>
      </c>
      <c r="U86" s="2"/>
      <c r="V86" s="6">
        <f t="shared" si="65"/>
        <v>1.0718306883543489E-2</v>
      </c>
      <c r="W86" s="2"/>
      <c r="X86" s="7">
        <f t="shared" si="66"/>
        <v>-406.73000000000047</v>
      </c>
      <c r="Y86" s="2"/>
      <c r="Z86" s="6">
        <f t="shared" si="67"/>
        <v>-6.5751250022228078E-2</v>
      </c>
    </row>
    <row r="87" spans="1:26" s="27" customFormat="1" outlineLevel="1" collapsed="1" x14ac:dyDescent="0.25">
      <c r="A87" s="28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SUM(OSRRefD22_16x_0)</f>
        <v>454.78</v>
      </c>
      <c r="E87" s="1"/>
      <c r="F87" s="5">
        <f t="shared" ref="F87:F97" si="68">IF(D$12=0,0,D87/D$12)</f>
        <v>1.3087943741238702E-3</v>
      </c>
      <c r="G87" s="1"/>
      <c r="H87" s="1">
        <f>SUM(OSRRefH22_16x_0)</f>
        <v>223.03</v>
      </c>
      <c r="I87" s="1"/>
      <c r="J87" s="5">
        <f t="shared" ref="J87:J97" si="69">IF(H$12=0,0,H87/H$12)</f>
        <v>6.350032659832597E-4</v>
      </c>
      <c r="K87" s="1"/>
      <c r="L87" s="1">
        <f t="shared" ref="L87:L97" si="70">+D87-H87</f>
        <v>231.74999999999997</v>
      </c>
      <c r="M87" s="1"/>
      <c r="N87" s="5">
        <f t="shared" ref="N87:N97" si="71">IF(H87=0,0,L87/H87)</f>
        <v>1.0390978792090748</v>
      </c>
      <c r="O87" s="14"/>
      <c r="P87" s="1">
        <f>SUM(OSRRefP22_16x_0)</f>
        <v>848.2</v>
      </c>
      <c r="Q87" s="1"/>
      <c r="R87" s="5">
        <f t="shared" ref="R87:R97" si="72">IF(P$12=0,0,P87/P$12)</f>
        <v>1.6096528158021828E-3</v>
      </c>
      <c r="S87" s="1"/>
      <c r="T87" s="1">
        <f>SUM(OSRRefT22_16x_0)</f>
        <v>284.39</v>
      </c>
      <c r="U87" s="1"/>
      <c r="V87" s="5">
        <f t="shared" ref="V87:V97" si="73">IF(T$12=0,0,T87/T$12)</f>
        <v>4.9276325550744236E-4</v>
      </c>
      <c r="W87" s="1"/>
      <c r="X87" s="1">
        <f t="shared" ref="X87:X97" si="74">+P87-T87</f>
        <v>563.81000000000006</v>
      </c>
      <c r="Y87" s="1"/>
      <c r="Z87" s="5">
        <f t="shared" ref="Z87:Z97" si="75">IF(T87=0,0,X87/T87)</f>
        <v>1.982523998734133</v>
      </c>
    </row>
    <row r="88" spans="1:26" s="24" customFormat="1" hidden="1" outlineLevel="2" x14ac:dyDescent="0.25">
      <c r="A88" s="29"/>
      <c r="B88" s="11" t="str">
        <f>CONCATENATE("          ", "6275", " - ", "SUBSCRIPTIONS")</f>
        <v xml:space="preserve">          6275 - SUBSCRIPTIONS</v>
      </c>
      <c r="C88" s="11"/>
      <c r="D88" s="7">
        <v>454.78</v>
      </c>
      <c r="E88" s="2"/>
      <c r="F88" s="6">
        <f t="shared" si="68"/>
        <v>1.3087943741238702E-3</v>
      </c>
      <c r="G88" s="2"/>
      <c r="H88" s="7">
        <v>223.03</v>
      </c>
      <c r="I88" s="2"/>
      <c r="J88" s="6">
        <f t="shared" si="69"/>
        <v>6.350032659832597E-4</v>
      </c>
      <c r="K88" s="2"/>
      <c r="L88" s="7">
        <f t="shared" si="70"/>
        <v>231.74999999999997</v>
      </c>
      <c r="M88" s="2"/>
      <c r="N88" s="6">
        <f t="shared" si="71"/>
        <v>1.0390978792090748</v>
      </c>
      <c r="O88" s="11"/>
      <c r="P88" s="7">
        <v>848.2</v>
      </c>
      <c r="Q88" s="2"/>
      <c r="R88" s="6">
        <f t="shared" si="72"/>
        <v>1.6096528158021828E-3</v>
      </c>
      <c r="S88" s="2"/>
      <c r="T88" s="7">
        <v>284.39</v>
      </c>
      <c r="U88" s="2"/>
      <c r="V88" s="6">
        <f t="shared" si="73"/>
        <v>4.9276325550744236E-4</v>
      </c>
      <c r="W88" s="2"/>
      <c r="X88" s="7">
        <f t="shared" si="74"/>
        <v>563.81000000000006</v>
      </c>
      <c r="Y88" s="2"/>
      <c r="Z88" s="6">
        <f t="shared" si="75"/>
        <v>1.982523998734133</v>
      </c>
    </row>
    <row r="89" spans="1:26" s="27" customFormat="1" outlineLevel="1" collapsed="1" x14ac:dyDescent="0.25">
      <c r="A89" s="28"/>
      <c r="B89" s="14" t="str">
        <f>CONCATENATE("     ","Supplies                                          ")</f>
        <v xml:space="preserve">     Supplies                                          </v>
      </c>
      <c r="C89" s="14"/>
      <c r="D89" s="1">
        <f>SUM(OSRRefD22_17x_0)</f>
        <v>18396.62</v>
      </c>
      <c r="E89" s="1"/>
      <c r="F89" s="5">
        <f t="shared" si="68"/>
        <v>5.2942945509685285E-2</v>
      </c>
      <c r="G89" s="1"/>
      <c r="H89" s="1">
        <f>SUM(OSRRefH22_17x_0)</f>
        <v>20942.78</v>
      </c>
      <c r="I89" s="1"/>
      <c r="J89" s="5">
        <f t="shared" si="69"/>
        <v>5.9627555480289161E-2</v>
      </c>
      <c r="K89" s="1"/>
      <c r="L89" s="1">
        <f t="shared" si="70"/>
        <v>-2546.16</v>
      </c>
      <c r="M89" s="1"/>
      <c r="N89" s="5">
        <f t="shared" si="71"/>
        <v>-0.12157698261644347</v>
      </c>
      <c r="O89" s="14"/>
      <c r="P89" s="1">
        <f>SUM(OSRRefP22_17x_0)</f>
        <v>35201.42</v>
      </c>
      <c r="Q89" s="1"/>
      <c r="R89" s="5">
        <f t="shared" si="72"/>
        <v>6.6802717311053139E-2</v>
      </c>
      <c r="S89" s="1"/>
      <c r="T89" s="1">
        <f>SUM(OSRRefT22_17x_0)</f>
        <v>41719.509999999995</v>
      </c>
      <c r="U89" s="1"/>
      <c r="V89" s="5">
        <f t="shared" si="73"/>
        <v>7.2287498033599254E-2</v>
      </c>
      <c r="W89" s="1"/>
      <c r="X89" s="1">
        <f t="shared" si="74"/>
        <v>-6518.0899999999965</v>
      </c>
      <c r="Y89" s="1"/>
      <c r="Z89" s="5">
        <f t="shared" si="75"/>
        <v>-0.15623601523603697</v>
      </c>
    </row>
    <row r="90" spans="1:26" s="24" customFormat="1" hidden="1" outlineLevel="2" x14ac:dyDescent="0.25">
      <c r="A90" s="29"/>
      <c r="B90" s="11" t="str">
        <f>CONCATENATE("          ", "6234", " - ", "EXPENDABLE SUPPLIES &amp; EQUIPMEN")</f>
        <v xml:space="preserve">          6234 - EXPENDABLE SUPPLIES &amp; EQUIPMEN</v>
      </c>
      <c r="C90" s="11"/>
      <c r="D90" s="7"/>
      <c r="E90" s="2"/>
      <c r="F90" s="6">
        <f t="shared" si="68"/>
        <v>0</v>
      </c>
      <c r="G90" s="2"/>
      <c r="H90" s="7">
        <v>1950.48</v>
      </c>
      <c r="I90" s="2"/>
      <c r="J90" s="6">
        <f t="shared" si="69"/>
        <v>5.5533388792316212E-3</v>
      </c>
      <c r="K90" s="2"/>
      <c r="L90" s="7">
        <f t="shared" si="70"/>
        <v>-1950.48</v>
      </c>
      <c r="M90" s="2"/>
      <c r="N90" s="6">
        <f t="shared" si="71"/>
        <v>-1</v>
      </c>
      <c r="O90" s="11"/>
      <c r="P90" s="7"/>
      <c r="Q90" s="2"/>
      <c r="R90" s="6">
        <f t="shared" si="72"/>
        <v>0</v>
      </c>
      <c r="S90" s="2"/>
      <c r="T90" s="7">
        <v>4383.46</v>
      </c>
      <c r="U90" s="2"/>
      <c r="V90" s="6">
        <f t="shared" si="73"/>
        <v>7.5952319701348614E-3</v>
      </c>
      <c r="W90" s="2"/>
      <c r="X90" s="7">
        <f t="shared" si="74"/>
        <v>-4383.46</v>
      </c>
      <c r="Y90" s="2"/>
      <c r="Z90" s="6">
        <f t="shared" si="75"/>
        <v>-1</v>
      </c>
    </row>
    <row r="91" spans="1:26" s="24" customFormat="1" hidden="1" outlineLevel="2" x14ac:dyDescent="0.25">
      <c r="A91" s="29"/>
      <c r="B91" s="11" t="str">
        <f>CONCATENATE("          ", "6237", " - ", "JANITORIAL SUPPLIES")</f>
        <v xml:space="preserve">          6237 - JANITORIAL SUPPLIES</v>
      </c>
      <c r="C91" s="11"/>
      <c r="D91" s="7">
        <v>3466.18</v>
      </c>
      <c r="E91" s="2"/>
      <c r="F91" s="6">
        <f t="shared" si="68"/>
        <v>9.9751899461292867E-3</v>
      </c>
      <c r="G91" s="2"/>
      <c r="H91" s="7">
        <v>4160.33</v>
      </c>
      <c r="I91" s="2"/>
      <c r="J91" s="6">
        <f t="shared" si="69"/>
        <v>1.1845147009676434E-2</v>
      </c>
      <c r="K91" s="2"/>
      <c r="L91" s="7">
        <f t="shared" si="70"/>
        <v>-694.15000000000009</v>
      </c>
      <c r="M91" s="2"/>
      <c r="N91" s="6">
        <f t="shared" si="71"/>
        <v>-0.16684974509233644</v>
      </c>
      <c r="O91" s="11"/>
      <c r="P91" s="7">
        <v>7340.5</v>
      </c>
      <c r="Q91" s="2"/>
      <c r="R91" s="6">
        <f t="shared" si="72"/>
        <v>1.3930271745338273E-2</v>
      </c>
      <c r="S91" s="2"/>
      <c r="T91" s="7">
        <v>9712.48</v>
      </c>
      <c r="U91" s="2"/>
      <c r="V91" s="6">
        <f t="shared" si="73"/>
        <v>1.6828838088016187E-2</v>
      </c>
      <c r="W91" s="2"/>
      <c r="X91" s="7">
        <f t="shared" si="74"/>
        <v>-2371.9799999999996</v>
      </c>
      <c r="Y91" s="2"/>
      <c r="Z91" s="6">
        <f t="shared" si="75"/>
        <v>-0.24421980791723635</v>
      </c>
    </row>
    <row r="92" spans="1:26" s="24" customFormat="1" hidden="1" outlineLevel="2" x14ac:dyDescent="0.25">
      <c r="A92" s="29"/>
      <c r="B92" s="11" t="str">
        <f>CONCATENATE("          ", "6239", " - ", "KITCHEN SUPPLIES")</f>
        <v xml:space="preserve">          6239 - KITCHEN SUPPLIES</v>
      </c>
      <c r="C92" s="11"/>
      <c r="D92" s="7">
        <v>4005.05</v>
      </c>
      <c r="E92" s="2"/>
      <c r="F92" s="6">
        <f t="shared" si="68"/>
        <v>1.1525983790150858E-2</v>
      </c>
      <c r="G92" s="2"/>
      <c r="H92" s="7">
        <v>2053.35</v>
      </c>
      <c r="I92" s="2"/>
      <c r="J92" s="6">
        <f t="shared" si="69"/>
        <v>5.8462267686263114E-3</v>
      </c>
      <c r="K92" s="2"/>
      <c r="L92" s="7">
        <f t="shared" si="70"/>
        <v>1951.7000000000003</v>
      </c>
      <c r="M92" s="2"/>
      <c r="N92" s="6">
        <f t="shared" si="71"/>
        <v>0.95049553169211309</v>
      </c>
      <c r="O92" s="11"/>
      <c r="P92" s="7">
        <v>10424.58</v>
      </c>
      <c r="Q92" s="2"/>
      <c r="R92" s="6">
        <f t="shared" si="72"/>
        <v>1.978301644724725E-2</v>
      </c>
      <c r="S92" s="2"/>
      <c r="T92" s="7">
        <v>3674.57</v>
      </c>
      <c r="U92" s="2"/>
      <c r="V92" s="6">
        <f t="shared" si="73"/>
        <v>6.3669365160166757E-3</v>
      </c>
      <c r="W92" s="2"/>
      <c r="X92" s="7">
        <f t="shared" si="74"/>
        <v>6750.01</v>
      </c>
      <c r="Y92" s="2"/>
      <c r="Z92" s="6">
        <f t="shared" si="75"/>
        <v>1.8369523508873147</v>
      </c>
    </row>
    <row r="93" spans="1:26" s="24" customFormat="1" hidden="1" outlineLevel="2" x14ac:dyDescent="0.25">
      <c r="A93" s="29"/>
      <c r="B93" s="11" t="str">
        <f>CONCATENATE("          ", "6241", " - ", "OFFICE EXPENSE")</f>
        <v xml:space="preserve">          6241 - OFFICE EXPENSE</v>
      </c>
      <c r="C93" s="11"/>
      <c r="D93" s="7">
        <v>4183.38</v>
      </c>
      <c r="E93" s="2"/>
      <c r="F93" s="6">
        <f t="shared" si="68"/>
        <v>1.2039193035802623E-2</v>
      </c>
      <c r="G93" s="2"/>
      <c r="H93" s="7">
        <v>2385.6999999999998</v>
      </c>
      <c r="I93" s="2"/>
      <c r="J93" s="6">
        <f t="shared" si="69"/>
        <v>6.7924821398747375E-3</v>
      </c>
      <c r="K93" s="2"/>
      <c r="L93" s="7">
        <f t="shared" si="70"/>
        <v>1797.6800000000003</v>
      </c>
      <c r="M93" s="2"/>
      <c r="N93" s="6">
        <f t="shared" si="71"/>
        <v>0.75352307498847315</v>
      </c>
      <c r="O93" s="11"/>
      <c r="P93" s="7">
        <v>6928.28</v>
      </c>
      <c r="Q93" s="2"/>
      <c r="R93" s="6">
        <f t="shared" si="72"/>
        <v>1.314799034504356E-2</v>
      </c>
      <c r="S93" s="2"/>
      <c r="T93" s="7">
        <v>8538.39</v>
      </c>
      <c r="U93" s="2"/>
      <c r="V93" s="6">
        <f t="shared" si="73"/>
        <v>1.4794489444749079E-2</v>
      </c>
      <c r="W93" s="2"/>
      <c r="X93" s="7">
        <f t="shared" si="74"/>
        <v>-1610.1099999999997</v>
      </c>
      <c r="Y93" s="2"/>
      <c r="Z93" s="6">
        <f t="shared" si="75"/>
        <v>-0.18857302137756646</v>
      </c>
    </row>
    <row r="94" spans="1:26" s="24" customFormat="1" hidden="1" outlineLevel="2" x14ac:dyDescent="0.25">
      <c r="A94" s="29"/>
      <c r="B94" s="11" t="str">
        <f>CONCATENATE("          ", "6243", " - ", "PAPER SUPPLIES")</f>
        <v xml:space="preserve">          6243 - PAPER SUPPLIES</v>
      </c>
      <c r="C94" s="11"/>
      <c r="D94" s="7">
        <v>3713.48</v>
      </c>
      <c r="E94" s="2"/>
      <c r="F94" s="6">
        <f t="shared" si="68"/>
        <v>1.068688537847203E-2</v>
      </c>
      <c r="G94" s="2"/>
      <c r="H94" s="7">
        <v>3623.55</v>
      </c>
      <c r="I94" s="2"/>
      <c r="J94" s="6">
        <f t="shared" si="69"/>
        <v>1.0316845646117746E-2</v>
      </c>
      <c r="K94" s="2"/>
      <c r="L94" s="7">
        <f t="shared" si="70"/>
        <v>89.929999999999836</v>
      </c>
      <c r="M94" s="2"/>
      <c r="N94" s="6">
        <f t="shared" si="71"/>
        <v>2.4818203143326251E-2</v>
      </c>
      <c r="O94" s="11"/>
      <c r="P94" s="7">
        <v>6551.79</v>
      </c>
      <c r="Q94" s="2"/>
      <c r="R94" s="6">
        <f t="shared" si="72"/>
        <v>1.2433514763080151E-2</v>
      </c>
      <c r="S94" s="2"/>
      <c r="T94" s="7">
        <v>5402.4</v>
      </c>
      <c r="U94" s="2"/>
      <c r="V94" s="6">
        <f t="shared" si="73"/>
        <v>9.3607518251464759E-3</v>
      </c>
      <c r="W94" s="2"/>
      <c r="X94" s="7">
        <f t="shared" si="74"/>
        <v>1149.3900000000003</v>
      </c>
      <c r="Y94" s="2"/>
      <c r="Z94" s="6">
        <f t="shared" si="75"/>
        <v>0.21275544202576641</v>
      </c>
    </row>
    <row r="95" spans="1:26" s="24" customFormat="1" hidden="1" outlineLevel="2" x14ac:dyDescent="0.25">
      <c r="A95" s="29"/>
      <c r="B95" s="11" t="str">
        <f>CONCATENATE("          ", "6245", " - ", "PRINTING")</f>
        <v xml:space="preserve">          6245 - PRINTING</v>
      </c>
      <c r="C95" s="11"/>
      <c r="D95" s="7">
        <v>33.159999999999997</v>
      </c>
      <c r="E95" s="2"/>
      <c r="F95" s="6">
        <f t="shared" si="68"/>
        <v>9.5429925339609337E-5</v>
      </c>
      <c r="G95" s="2"/>
      <c r="H95" s="7"/>
      <c r="I95" s="2"/>
      <c r="J95" s="6">
        <f t="shared" si="69"/>
        <v>0</v>
      </c>
      <c r="K95" s="2"/>
      <c r="L95" s="7">
        <f t="shared" si="70"/>
        <v>33.159999999999997</v>
      </c>
      <c r="M95" s="2"/>
      <c r="N95" s="6">
        <f t="shared" si="71"/>
        <v>0</v>
      </c>
      <c r="O95" s="11"/>
      <c r="P95" s="7">
        <v>170.92</v>
      </c>
      <c r="Q95" s="2"/>
      <c r="R95" s="6">
        <f t="shared" si="72"/>
        <v>3.2435965488906987E-4</v>
      </c>
      <c r="S95" s="2"/>
      <c r="T95" s="7"/>
      <c r="U95" s="2"/>
      <c r="V95" s="6">
        <f t="shared" si="73"/>
        <v>0</v>
      </c>
      <c r="W95" s="2"/>
      <c r="X95" s="7">
        <f t="shared" si="74"/>
        <v>170.92</v>
      </c>
      <c r="Y95" s="2"/>
      <c r="Z95" s="6">
        <f t="shared" si="75"/>
        <v>0</v>
      </c>
    </row>
    <row r="96" spans="1:26" s="24" customFormat="1" hidden="1" outlineLevel="2" x14ac:dyDescent="0.25">
      <c r="A96" s="29"/>
      <c r="B96" s="11" t="str">
        <f>CONCATENATE("          ", "6247", " - ", "STORE SUPPLIES")</f>
        <v xml:space="preserve">          6247 - STORE SUPPLIES</v>
      </c>
      <c r="C96" s="11"/>
      <c r="D96" s="7">
        <v>900.33</v>
      </c>
      <c r="E96" s="2"/>
      <c r="F96" s="6">
        <f t="shared" si="68"/>
        <v>2.5910260760256482E-3</v>
      </c>
      <c r="G96" s="2"/>
      <c r="H96" s="7">
        <v>3866.78</v>
      </c>
      <c r="I96" s="2"/>
      <c r="J96" s="6">
        <f t="shared" si="69"/>
        <v>1.1009361650175981E-2</v>
      </c>
      <c r="K96" s="2"/>
      <c r="L96" s="7">
        <f t="shared" si="70"/>
        <v>-2966.4500000000003</v>
      </c>
      <c r="M96" s="2"/>
      <c r="N96" s="6">
        <f t="shared" si="71"/>
        <v>-0.76716285901964942</v>
      </c>
      <c r="O96" s="11"/>
      <c r="P96" s="7">
        <v>1110.8699999999999</v>
      </c>
      <c r="Q96" s="2"/>
      <c r="R96" s="6">
        <f t="shared" si="72"/>
        <v>2.1081290067085246E-3</v>
      </c>
      <c r="S96" s="2"/>
      <c r="T96" s="7">
        <v>4163.95</v>
      </c>
      <c r="U96" s="2"/>
      <c r="V96" s="6">
        <f t="shared" si="73"/>
        <v>7.2148864508956518E-3</v>
      </c>
      <c r="W96" s="2"/>
      <c r="X96" s="7">
        <f t="shared" si="74"/>
        <v>-3053.08</v>
      </c>
      <c r="Y96" s="2"/>
      <c r="Z96" s="6">
        <f t="shared" si="75"/>
        <v>-0.73321725765198908</v>
      </c>
    </row>
    <row r="97" spans="1:26" s="24" customFormat="1" hidden="1" outlineLevel="2" x14ac:dyDescent="0.25">
      <c r="A97" s="29"/>
      <c r="B97" s="11" t="str">
        <f>CONCATENATE("          ", "6248", " - ", "UNIFORMS")</f>
        <v xml:space="preserve">          6248 - UNIFORMS</v>
      </c>
      <c r="C97" s="11"/>
      <c r="D97" s="7">
        <v>2095.04</v>
      </c>
      <c r="E97" s="2"/>
      <c r="F97" s="6">
        <f t="shared" si="68"/>
        <v>6.0292373577652348E-3</v>
      </c>
      <c r="G97" s="2"/>
      <c r="H97" s="7">
        <v>2902.59</v>
      </c>
      <c r="I97" s="2"/>
      <c r="J97" s="6">
        <f t="shared" si="69"/>
        <v>8.2641533865863339E-3</v>
      </c>
      <c r="K97" s="2"/>
      <c r="L97" s="7">
        <f t="shared" si="70"/>
        <v>-807.55000000000018</v>
      </c>
      <c r="M97" s="2"/>
      <c r="N97" s="6">
        <f t="shared" si="71"/>
        <v>-0.278217040643012</v>
      </c>
      <c r="O97" s="11"/>
      <c r="P97" s="7">
        <v>2674.48</v>
      </c>
      <c r="Q97" s="2"/>
      <c r="R97" s="6">
        <f t="shared" si="72"/>
        <v>5.0754353487463119E-3</v>
      </c>
      <c r="S97" s="2"/>
      <c r="T97" s="7">
        <v>5844.26</v>
      </c>
      <c r="U97" s="2"/>
      <c r="V97" s="6">
        <f t="shared" si="73"/>
        <v>1.0126363738640336E-2</v>
      </c>
      <c r="W97" s="2"/>
      <c r="X97" s="7">
        <f t="shared" si="74"/>
        <v>-3169.78</v>
      </c>
      <c r="Y97" s="2"/>
      <c r="Z97" s="6">
        <f t="shared" si="75"/>
        <v>-0.54237491145157812</v>
      </c>
    </row>
    <row r="98" spans="1:26" s="27" customFormat="1" outlineLevel="1" collapsed="1" x14ac:dyDescent="0.25">
      <c r="A98" s="28"/>
      <c r="B98" s="14" t="str">
        <f>CONCATENATE("     ","Telephone/Data Lines                              ")</f>
        <v xml:space="preserve">     Telephone/Data Lines                              </v>
      </c>
      <c r="C98" s="14"/>
      <c r="D98" s="1">
        <f>SUM(OSRRefD22_18x_0)</f>
        <v>1349.34</v>
      </c>
      <c r="E98" s="1"/>
      <c r="F98" s="5">
        <f t="shared" ref="F98:F105" si="76">IF(D$12=0,0,D98/D$12)</f>
        <v>3.8832151826824028E-3</v>
      </c>
      <c r="G98" s="1"/>
      <c r="H98" s="1">
        <f>SUM(OSRRefH22_18x_0)</f>
        <v>1891.16</v>
      </c>
      <c r="I98" s="1"/>
      <c r="J98" s="5">
        <f t="shared" ref="J98:J105" si="77">IF(H$12=0,0,H98/H$12)</f>
        <v>5.3844450365282768E-3</v>
      </c>
      <c r="K98" s="1"/>
      <c r="L98" s="1">
        <f t="shared" ref="L98:L105" si="78">+D98-H98</f>
        <v>-541.82000000000016</v>
      </c>
      <c r="M98" s="1"/>
      <c r="N98" s="5">
        <f t="shared" ref="N98:N105" si="79">IF(H98=0,0,L98/H98)</f>
        <v>-0.2865014065441317</v>
      </c>
      <c r="O98" s="14"/>
      <c r="P98" s="1">
        <f>SUM(OSRRefP22_18x_0)</f>
        <v>2297.6799999999998</v>
      </c>
      <c r="Q98" s="1"/>
      <c r="R98" s="5">
        <f t="shared" ref="R98:R105" si="80">IF(P$12=0,0,P98/P$12)</f>
        <v>4.3603714711298739E-3</v>
      </c>
      <c r="S98" s="1"/>
      <c r="T98" s="1">
        <f>SUM(OSRRefT22_18x_0)</f>
        <v>3333.29</v>
      </c>
      <c r="U98" s="1"/>
      <c r="V98" s="5">
        <f t="shared" ref="V98:V105" si="81">IF(T$12=0,0,T98/T$12)</f>
        <v>5.7755998169781025E-3</v>
      </c>
      <c r="W98" s="1"/>
      <c r="X98" s="1">
        <f t="shared" ref="X98:X105" si="82">+P98-T98</f>
        <v>-1035.6100000000001</v>
      </c>
      <c r="Y98" s="1"/>
      <c r="Z98" s="5">
        <f t="shared" ref="Z98:Z105" si="83">IF(T98=0,0,X98/T98)</f>
        <v>-0.31068703893150618</v>
      </c>
    </row>
    <row r="99" spans="1:26" s="24" customFormat="1" hidden="1" outlineLevel="2" x14ac:dyDescent="0.25">
      <c r="A99" s="29"/>
      <c r="B99" s="11" t="str">
        <f>CONCATENATE("          ", "6309", " - ", "TELEPHONE")</f>
        <v xml:space="preserve">          6309 - TELEPHONE</v>
      </c>
      <c r="C99" s="11"/>
      <c r="D99" s="7">
        <v>1349.34</v>
      </c>
      <c r="E99" s="2"/>
      <c r="F99" s="6">
        <f t="shared" si="76"/>
        <v>3.8832151826824028E-3</v>
      </c>
      <c r="G99" s="2"/>
      <c r="H99" s="7">
        <v>1891.16</v>
      </c>
      <c r="I99" s="2"/>
      <c r="J99" s="6">
        <f t="shared" si="77"/>
        <v>5.3844450365282768E-3</v>
      </c>
      <c r="K99" s="2"/>
      <c r="L99" s="7">
        <f t="shared" si="78"/>
        <v>-541.82000000000016</v>
      </c>
      <c r="M99" s="2"/>
      <c r="N99" s="6">
        <f t="shared" si="79"/>
        <v>-0.2865014065441317</v>
      </c>
      <c r="O99" s="11"/>
      <c r="P99" s="7">
        <v>2297.6799999999998</v>
      </c>
      <c r="Q99" s="2"/>
      <c r="R99" s="6">
        <f t="shared" si="80"/>
        <v>4.3603714711298739E-3</v>
      </c>
      <c r="S99" s="2"/>
      <c r="T99" s="7">
        <v>3333.29</v>
      </c>
      <c r="U99" s="2"/>
      <c r="V99" s="6">
        <f t="shared" si="81"/>
        <v>5.7755998169781025E-3</v>
      </c>
      <c r="W99" s="2"/>
      <c r="X99" s="7">
        <f t="shared" si="82"/>
        <v>-1035.6100000000001</v>
      </c>
      <c r="Y99" s="2"/>
      <c r="Z99" s="6">
        <f t="shared" si="83"/>
        <v>-0.31068703893150618</v>
      </c>
    </row>
    <row r="100" spans="1:26" s="27" customFormat="1" outlineLevel="1" collapsed="1" x14ac:dyDescent="0.25">
      <c r="A100" s="28"/>
      <c r="B100" s="14" t="str">
        <f>CONCATENATE("     ","Training                                          ")</f>
        <v xml:space="preserve">     Training                                          </v>
      </c>
      <c r="C100" s="14"/>
      <c r="D100" s="1">
        <f>SUM(OSRRefD22_19x_0)</f>
        <v>175</v>
      </c>
      <c r="E100" s="1"/>
      <c r="F100" s="5">
        <f t="shared" si="76"/>
        <v>5.0362596304076102E-4</v>
      </c>
      <c r="G100" s="1"/>
      <c r="H100" s="1">
        <f>SUM(OSRRefH22_19x_0)</f>
        <v>190.32</v>
      </c>
      <c r="I100" s="1"/>
      <c r="J100" s="5">
        <f t="shared" si="77"/>
        <v>5.4187249061531627E-4</v>
      </c>
      <c r="K100" s="1"/>
      <c r="L100" s="1">
        <f t="shared" si="78"/>
        <v>-15.319999999999993</v>
      </c>
      <c r="M100" s="1"/>
      <c r="N100" s="5">
        <f t="shared" si="79"/>
        <v>-8.0496006725514893E-2</v>
      </c>
      <c r="O100" s="14"/>
      <c r="P100" s="1">
        <f>SUM(OSRRefP22_19x_0)</f>
        <v>1043.8499999999999</v>
      </c>
      <c r="Q100" s="1"/>
      <c r="R100" s="5">
        <f t="shared" si="80"/>
        <v>1.9809432819796139E-3</v>
      </c>
      <c r="S100" s="1"/>
      <c r="T100" s="1">
        <f>SUM(OSRRefT22_19x_0)</f>
        <v>387.98</v>
      </c>
      <c r="U100" s="1"/>
      <c r="V100" s="5">
        <f t="shared" si="81"/>
        <v>6.7225390439810647E-4</v>
      </c>
      <c r="W100" s="1"/>
      <c r="X100" s="1">
        <f t="shared" si="82"/>
        <v>655.86999999999989</v>
      </c>
      <c r="Y100" s="1"/>
      <c r="Z100" s="5">
        <f t="shared" si="83"/>
        <v>1.6904737357595749</v>
      </c>
    </row>
    <row r="101" spans="1:26" s="24" customFormat="1" hidden="1" outlineLevel="2" x14ac:dyDescent="0.25">
      <c r="A101" s="29"/>
      <c r="B101" s="11" t="str">
        <f>CONCATENATE("          ", "6376", " - ", "TRAINING")</f>
        <v xml:space="preserve">          6376 - TRAINING</v>
      </c>
      <c r="C101" s="11"/>
      <c r="D101" s="7">
        <v>175</v>
      </c>
      <c r="E101" s="2"/>
      <c r="F101" s="6">
        <f t="shared" si="76"/>
        <v>5.0362596304076102E-4</v>
      </c>
      <c r="G101" s="2"/>
      <c r="H101" s="7">
        <v>190.32</v>
      </c>
      <c r="I101" s="2"/>
      <c r="J101" s="6">
        <f t="shared" si="77"/>
        <v>5.4187249061531627E-4</v>
      </c>
      <c r="K101" s="2"/>
      <c r="L101" s="7">
        <f t="shared" si="78"/>
        <v>-15.319999999999993</v>
      </c>
      <c r="M101" s="2"/>
      <c r="N101" s="6">
        <f t="shared" si="79"/>
        <v>-8.0496006725514893E-2</v>
      </c>
      <c r="O101" s="11"/>
      <c r="P101" s="7">
        <v>1043.8499999999999</v>
      </c>
      <c r="Q101" s="2"/>
      <c r="R101" s="6">
        <f t="shared" si="80"/>
        <v>1.9809432819796139E-3</v>
      </c>
      <c r="S101" s="2"/>
      <c r="T101" s="7">
        <v>387.98</v>
      </c>
      <c r="U101" s="2"/>
      <c r="V101" s="6">
        <f t="shared" si="81"/>
        <v>6.7225390439810647E-4</v>
      </c>
      <c r="W101" s="2"/>
      <c r="X101" s="7">
        <f t="shared" si="82"/>
        <v>655.86999999999989</v>
      </c>
      <c r="Y101" s="2"/>
      <c r="Z101" s="6">
        <f t="shared" si="83"/>
        <v>1.6904737357595749</v>
      </c>
    </row>
    <row r="102" spans="1:26" s="27" customFormat="1" outlineLevel="1" collapsed="1" x14ac:dyDescent="0.25">
      <c r="A102" s="28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SUM(OSRRefD22_20x_0)</f>
        <v>87.039999999999992</v>
      </c>
      <c r="E102" s="1"/>
      <c r="F102" s="5">
        <f t="shared" si="76"/>
        <v>2.5048916470324481E-4</v>
      </c>
      <c r="G102" s="1"/>
      <c r="H102" s="1">
        <f>SUM(OSRRefH22_20x_0)</f>
        <v>82.31</v>
      </c>
      <c r="I102" s="1"/>
      <c r="J102" s="5">
        <f t="shared" si="77"/>
        <v>2.3435017182927011E-4</v>
      </c>
      <c r="K102" s="1"/>
      <c r="L102" s="1">
        <f t="shared" si="78"/>
        <v>4.7299999999999898</v>
      </c>
      <c r="M102" s="1"/>
      <c r="N102" s="5">
        <f t="shared" si="79"/>
        <v>5.7465678532377468E-2</v>
      </c>
      <c r="O102" s="14"/>
      <c r="P102" s="1">
        <f>SUM(OSRRefP22_20x_0)</f>
        <v>851.36000000000013</v>
      </c>
      <c r="Q102" s="1"/>
      <c r="R102" s="5">
        <f t="shared" si="80"/>
        <v>1.6156496360072467E-3</v>
      </c>
      <c r="S102" s="1"/>
      <c r="T102" s="1">
        <f>SUM(OSRRefT22_20x_0)</f>
        <v>1589.3000000000002</v>
      </c>
      <c r="U102" s="1"/>
      <c r="V102" s="5">
        <f t="shared" si="81"/>
        <v>2.7537840359294569E-3</v>
      </c>
      <c r="W102" s="1"/>
      <c r="X102" s="1">
        <f t="shared" si="82"/>
        <v>-737.94</v>
      </c>
      <c r="Y102" s="1"/>
      <c r="Z102" s="5">
        <f t="shared" si="83"/>
        <v>-0.46431762411124394</v>
      </c>
    </row>
    <row r="103" spans="1:26" s="24" customFormat="1" hidden="1" outlineLevel="2" x14ac:dyDescent="0.25">
      <c r="A103" s="29"/>
      <c r="B103" s="11" t="str">
        <f>CONCATENATE("          ", "6292", " - ", "TRAVEL/CONFERENCE")</f>
        <v xml:space="preserve">          6292 - TRAVEL/CONFERENCE</v>
      </c>
      <c r="C103" s="11"/>
      <c r="D103" s="7">
        <v>40.46</v>
      </c>
      <c r="E103" s="2"/>
      <c r="F103" s="6">
        <f t="shared" si="76"/>
        <v>1.1643832265502395E-4</v>
      </c>
      <c r="G103" s="2"/>
      <c r="H103" s="7"/>
      <c r="I103" s="2"/>
      <c r="J103" s="6">
        <f t="shared" si="77"/>
        <v>0</v>
      </c>
      <c r="K103" s="2"/>
      <c r="L103" s="7">
        <f t="shared" si="78"/>
        <v>40.46</v>
      </c>
      <c r="M103" s="2"/>
      <c r="N103" s="6">
        <f t="shared" si="79"/>
        <v>0</v>
      </c>
      <c r="O103" s="11"/>
      <c r="P103" s="7">
        <v>545.69000000000005</v>
      </c>
      <c r="Q103" s="2"/>
      <c r="R103" s="6">
        <f t="shared" si="80"/>
        <v>1.0355711448421282E-3</v>
      </c>
      <c r="S103" s="2"/>
      <c r="T103" s="7">
        <v>178.03</v>
      </c>
      <c r="U103" s="2"/>
      <c r="V103" s="6">
        <f t="shared" si="81"/>
        <v>3.0847302077425355E-4</v>
      </c>
      <c r="W103" s="2"/>
      <c r="X103" s="7">
        <f t="shared" si="82"/>
        <v>367.66000000000008</v>
      </c>
      <c r="Y103" s="2"/>
      <c r="Z103" s="6">
        <f t="shared" si="83"/>
        <v>2.0651575577149921</v>
      </c>
    </row>
    <row r="104" spans="1:26" s="24" customFormat="1" hidden="1" outlineLevel="2" x14ac:dyDescent="0.25">
      <c r="A104" s="29"/>
      <c r="B104" s="11" t="str">
        <f>CONCATENATE("          ", "6294", " - ", "TRAVEL OPERATIONAL")</f>
        <v xml:space="preserve">          6294 - TRAVEL OPERATIONAL</v>
      </c>
      <c r="C104" s="11"/>
      <c r="D104" s="7"/>
      <c r="E104" s="2"/>
      <c r="F104" s="6">
        <f t="shared" si="76"/>
        <v>0</v>
      </c>
      <c r="G104" s="2"/>
      <c r="H104" s="7"/>
      <c r="I104" s="2"/>
      <c r="J104" s="6">
        <f t="shared" si="77"/>
        <v>0</v>
      </c>
      <c r="K104" s="2"/>
      <c r="L104" s="7">
        <f t="shared" si="78"/>
        <v>0</v>
      </c>
      <c r="M104" s="2"/>
      <c r="N104" s="6">
        <f t="shared" si="79"/>
        <v>0</v>
      </c>
      <c r="O104" s="11"/>
      <c r="P104" s="7">
        <v>45.49</v>
      </c>
      <c r="Q104" s="2"/>
      <c r="R104" s="6">
        <f t="shared" si="80"/>
        <v>8.6327642762133098E-5</v>
      </c>
      <c r="S104" s="2"/>
      <c r="T104" s="7">
        <v>1258.9000000000001</v>
      </c>
      <c r="U104" s="2"/>
      <c r="V104" s="6">
        <f t="shared" si="81"/>
        <v>2.181299139766937E-3</v>
      </c>
      <c r="W104" s="2"/>
      <c r="X104" s="7">
        <f t="shared" si="82"/>
        <v>-1213.4100000000001</v>
      </c>
      <c r="Y104" s="2"/>
      <c r="Z104" s="6">
        <f t="shared" si="83"/>
        <v>-0.96386527921201048</v>
      </c>
    </row>
    <row r="105" spans="1:26" s="24" customFormat="1" hidden="1" outlineLevel="2" x14ac:dyDescent="0.25">
      <c r="A105" s="29"/>
      <c r="B105" s="11" t="str">
        <f>CONCATENATE("          ", "6298", " - ", "VEHICLE MILEAGE")</f>
        <v xml:space="preserve">          6298 - VEHICLE MILEAGE</v>
      </c>
      <c r="C105" s="11"/>
      <c r="D105" s="7">
        <v>46.58</v>
      </c>
      <c r="E105" s="2"/>
      <c r="F105" s="6">
        <f t="shared" si="76"/>
        <v>1.3405084204822084E-4</v>
      </c>
      <c r="G105" s="2"/>
      <c r="H105" s="7">
        <v>82.31</v>
      </c>
      <c r="I105" s="2"/>
      <c r="J105" s="6">
        <f t="shared" si="77"/>
        <v>2.3435017182927011E-4</v>
      </c>
      <c r="K105" s="2"/>
      <c r="L105" s="7">
        <f t="shared" si="78"/>
        <v>-35.730000000000004</v>
      </c>
      <c r="M105" s="2"/>
      <c r="N105" s="6">
        <f t="shared" si="79"/>
        <v>-0.43409063297290734</v>
      </c>
      <c r="O105" s="11"/>
      <c r="P105" s="7">
        <v>260.18</v>
      </c>
      <c r="Q105" s="2"/>
      <c r="R105" s="6">
        <f t="shared" si="80"/>
        <v>4.9375084840298507E-4</v>
      </c>
      <c r="S105" s="2"/>
      <c r="T105" s="7">
        <v>152.37</v>
      </c>
      <c r="U105" s="2"/>
      <c r="V105" s="6">
        <f t="shared" si="81"/>
        <v>2.6401187538826608E-4</v>
      </c>
      <c r="W105" s="2"/>
      <c r="X105" s="7">
        <f t="shared" si="82"/>
        <v>107.81</v>
      </c>
      <c r="Y105" s="2"/>
      <c r="Z105" s="6">
        <f t="shared" si="83"/>
        <v>0.7075539804423443</v>
      </c>
    </row>
    <row r="106" spans="1:26" s="27" customFormat="1" outlineLevel="1" collapsed="1" x14ac:dyDescent="0.25">
      <c r="A106" s="28"/>
      <c r="B106" s="14" t="str">
        <f>CONCATENATE("     ","Utilities                                         ")</f>
        <v xml:space="preserve">     Utilities                                         </v>
      </c>
      <c r="C106" s="14"/>
      <c r="D106" s="1">
        <f>SUM(OSRRefD22_21x_0)</f>
        <v>0</v>
      </c>
      <c r="E106" s="1"/>
      <c r="F106" s="5">
        <f t="shared" ref="F106:F107" si="84">IF(D$12=0,0,D106/D$12)</f>
        <v>0</v>
      </c>
      <c r="G106" s="1"/>
      <c r="H106" s="1">
        <f>SUM(OSRRefH22_21x_0)</f>
        <v>15416</v>
      </c>
      <c r="I106" s="1"/>
      <c r="J106" s="5">
        <f t="shared" ref="J106:J107" si="85">IF(H$12=0,0,H106/H$12)</f>
        <v>4.3891899513060717E-2</v>
      </c>
      <c r="K106" s="1"/>
      <c r="L106" s="1">
        <f t="shared" ref="L106:L107" si="86">+D106-H106</f>
        <v>-15416</v>
      </c>
      <c r="M106" s="1"/>
      <c r="N106" s="5">
        <f t="shared" ref="N106:N107" si="87">IF(H106=0,0,L106/H106)</f>
        <v>-1</v>
      </c>
      <c r="O106" s="14"/>
      <c r="P106" s="1">
        <f>SUM(OSRRefP22_21x_0)</f>
        <v>13691</v>
      </c>
      <c r="Q106" s="1"/>
      <c r="R106" s="5">
        <f t="shared" ref="R106:R107" si="88">IF(P$12=0,0,P106/P$12)</f>
        <v>2.5981792856811702E-2</v>
      </c>
      <c r="S106" s="1"/>
      <c r="T106" s="1">
        <f>SUM(OSRRefT22_21x_0)</f>
        <v>30832</v>
      </c>
      <c r="U106" s="1"/>
      <c r="V106" s="5">
        <f t="shared" ref="V106:V107" si="89">IF(T$12=0,0,T106/T$12)</f>
        <v>5.3422682561993957E-2</v>
      </c>
      <c r="W106" s="1"/>
      <c r="X106" s="1">
        <f t="shared" ref="X106:X107" si="90">+P106-T106</f>
        <v>-17141</v>
      </c>
      <c r="Y106" s="1"/>
      <c r="Z106" s="5">
        <f t="shared" ref="Z106:Z107" si="91">IF(T106=0,0,X106/T106)</f>
        <v>-0.55594836533471714</v>
      </c>
    </row>
    <row r="107" spans="1:26" s="24" customFormat="1" hidden="1" outlineLevel="2" x14ac:dyDescent="0.25">
      <c r="A107" s="29"/>
      <c r="B107" s="11" t="str">
        <f>CONCATENATE("          ", "6274", " - ", "UTILITIES")</f>
        <v xml:space="preserve">          6274 - UTILITIES</v>
      </c>
      <c r="C107" s="11"/>
      <c r="D107" s="7"/>
      <c r="E107" s="2"/>
      <c r="F107" s="6">
        <f t="shared" si="84"/>
        <v>0</v>
      </c>
      <c r="G107" s="2"/>
      <c r="H107" s="7">
        <v>15416</v>
      </c>
      <c r="I107" s="2"/>
      <c r="J107" s="6">
        <f t="shared" si="85"/>
        <v>4.3891899513060717E-2</v>
      </c>
      <c r="K107" s="2"/>
      <c r="L107" s="7">
        <f t="shared" si="86"/>
        <v>-15416</v>
      </c>
      <c r="M107" s="2"/>
      <c r="N107" s="6">
        <f t="shared" si="87"/>
        <v>-1</v>
      </c>
      <c r="O107" s="11"/>
      <c r="P107" s="7">
        <v>13691</v>
      </c>
      <c r="Q107" s="2"/>
      <c r="R107" s="6">
        <f t="shared" si="88"/>
        <v>2.5981792856811702E-2</v>
      </c>
      <c r="S107" s="2"/>
      <c r="T107" s="7">
        <v>30832</v>
      </c>
      <c r="U107" s="2"/>
      <c r="V107" s="6">
        <f t="shared" si="89"/>
        <v>5.3422682561993957E-2</v>
      </c>
      <c r="W107" s="2"/>
      <c r="X107" s="7">
        <f t="shared" si="90"/>
        <v>-17141</v>
      </c>
      <c r="Y107" s="2"/>
      <c r="Z107" s="6">
        <f t="shared" si="91"/>
        <v>-0.55594836533471714</v>
      </c>
    </row>
    <row r="108" spans="1:26" s="62" customFormat="1" x14ac:dyDescent="0.25">
      <c r="A108" s="37"/>
      <c r="B108" s="37"/>
      <c r="C108" s="37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7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25">
      <c r="A109" s="10"/>
      <c r="B109" s="25" t="s">
        <v>0</v>
      </c>
      <c r="C109" s="10"/>
      <c r="D109" s="4">
        <f>SUM(OSRRefD25x_0)</f>
        <v>14461.25</v>
      </c>
      <c r="E109" s="4"/>
      <c r="F109" s="12">
        <f t="shared" ref="F109:F112" si="92">IF(D$12=0,0,D109/D$12)</f>
        <v>4.1617491188704031E-2</v>
      </c>
      <c r="G109" s="4"/>
      <c r="H109" s="4">
        <f>SUM(OSRRefH25x_0)</f>
        <v>16298.14</v>
      </c>
      <c r="I109" s="4"/>
      <c r="J109" s="12">
        <f t="shared" ref="J109:J112" si="93">IF(H$12=0,0,H109/H$12)</f>
        <v>4.6403497867786414E-2</v>
      </c>
      <c r="K109" s="4"/>
      <c r="L109" s="4">
        <f t="shared" ref="L109:L112" si="94">+D109-H109</f>
        <v>-1836.8899999999994</v>
      </c>
      <c r="M109" s="4"/>
      <c r="N109" s="12">
        <f t="shared" ref="N109:N112" si="95">IF(H109=0,0,L109/H109)</f>
        <v>-0.1127054989096915</v>
      </c>
      <c r="O109" s="10"/>
      <c r="P109" s="4">
        <f>SUM(OSRRefP25x_0)</f>
        <v>65394.66</v>
      </c>
      <c r="Q109" s="4"/>
      <c r="R109" s="12">
        <f t="shared" ref="R109:R112" si="96">IF(P$12=0,0,P109/P$12)</f>
        <v>0.12410127164280403</v>
      </c>
      <c r="S109" s="4"/>
      <c r="T109" s="4">
        <f>SUM(OSRRefT25x_0)</f>
        <v>33859.119999999995</v>
      </c>
      <c r="U109" s="4"/>
      <c r="V109" s="12">
        <f t="shared" ref="V109:V112" si="97">IF(T$12=0,0,T109/T$12)</f>
        <v>5.8667780863663102E-2</v>
      </c>
      <c r="W109" s="4"/>
      <c r="X109" s="4">
        <f t="shared" ref="X109:X112" si="98">+P109-T109</f>
        <v>31535.540000000008</v>
      </c>
      <c r="Y109" s="4"/>
      <c r="Z109" s="12">
        <f t="shared" ref="Z109:Z112" si="99">IF(T109=0,0,X109/T109)</f>
        <v>0.93137506231703637</v>
      </c>
    </row>
    <row r="110" spans="1:26" s="24" customFormat="1" hidden="1" outlineLevel="1" x14ac:dyDescent="0.25">
      <c r="A110" s="50"/>
      <c r="B110" s="11" t="str">
        <f>CONCATENATE("          ", "9150", " - ", "MISC. INCOME")</f>
        <v xml:space="preserve">          9150 - MISC. INCOME</v>
      </c>
      <c r="C110" s="11"/>
      <c r="D110" s="2">
        <f>--6527.69</f>
        <v>6527.69</v>
      </c>
      <c r="E110" s="2"/>
      <c r="F110" s="21">
        <f t="shared" si="92"/>
        <v>1.8785795215323114E-2</v>
      </c>
      <c r="G110" s="2"/>
      <c r="H110" s="2">
        <f>--9535.1</f>
        <v>9535.1</v>
      </c>
      <c r="I110" s="2"/>
      <c r="J110" s="21">
        <f t="shared" si="93"/>
        <v>2.7148005387064432E-2</v>
      </c>
      <c r="K110" s="2"/>
      <c r="L110" s="2">
        <f t="shared" si="94"/>
        <v>-3007.4100000000008</v>
      </c>
      <c r="M110" s="2"/>
      <c r="N110" s="21">
        <f t="shared" si="95"/>
        <v>-0.31540413839393405</v>
      </c>
      <c r="O110" s="11"/>
      <c r="P110" s="2">
        <f>--47787.95</f>
        <v>47787.95</v>
      </c>
      <c r="Q110" s="2"/>
      <c r="R110" s="21">
        <f t="shared" si="96"/>
        <v>9.0688526619799481E-2</v>
      </c>
      <c r="S110" s="2"/>
      <c r="T110" s="2">
        <f>--14516.26</f>
        <v>14516.26</v>
      </c>
      <c r="U110" s="2"/>
      <c r="V110" s="21">
        <f t="shared" si="97"/>
        <v>2.5152359560436249E-2</v>
      </c>
      <c r="W110" s="2"/>
      <c r="X110" s="2">
        <f t="shared" si="98"/>
        <v>33271.689999999995</v>
      </c>
      <c r="Y110" s="2"/>
      <c r="Z110" s="21">
        <f t="shared" si="99"/>
        <v>2.2920290763598885</v>
      </c>
    </row>
    <row r="111" spans="1:26" s="24" customFormat="1" hidden="1" outlineLevel="1" x14ac:dyDescent="0.25">
      <c r="A111" s="50"/>
      <c r="B111" s="11" t="str">
        <f>CONCATENATE("          ", "9160", " - ", "MISC. INCOME")</f>
        <v xml:space="preserve">          9160 - MISC. INCOME</v>
      </c>
      <c r="C111" s="11"/>
      <c r="D111" s="2">
        <f>--4981.17</f>
        <v>4981.17</v>
      </c>
      <c r="E111" s="2"/>
      <c r="F111" s="21">
        <f t="shared" si="92"/>
        <v>1.4335123076112843E-2</v>
      </c>
      <c r="G111" s="2"/>
      <c r="H111" s="2">
        <f>--4981.17</f>
        <v>4981.17</v>
      </c>
      <c r="I111" s="2"/>
      <c r="J111" s="21">
        <f t="shared" si="93"/>
        <v>1.4182214134501341E-2</v>
      </c>
      <c r="K111" s="2"/>
      <c r="L111" s="2">
        <f t="shared" si="94"/>
        <v>0</v>
      </c>
      <c r="M111" s="2"/>
      <c r="N111" s="21">
        <f t="shared" si="95"/>
        <v>0</v>
      </c>
      <c r="O111" s="11"/>
      <c r="P111" s="2">
        <f>--10973.27</f>
        <v>10973.27</v>
      </c>
      <c r="Q111" s="2"/>
      <c r="R111" s="21">
        <f t="shared" si="96"/>
        <v>2.0824280775828364E-2</v>
      </c>
      <c r="S111" s="2"/>
      <c r="T111" s="2">
        <f>--15442.16</f>
        <v>15442.16</v>
      </c>
      <c r="U111" s="2"/>
      <c r="V111" s="21">
        <f t="shared" si="97"/>
        <v>2.6756668777618082E-2</v>
      </c>
      <c r="W111" s="2"/>
      <c r="X111" s="2">
        <f t="shared" si="98"/>
        <v>-4468.8899999999994</v>
      </c>
      <c r="Y111" s="2"/>
      <c r="Z111" s="21">
        <f t="shared" si="99"/>
        <v>-0.28939539546281084</v>
      </c>
    </row>
    <row r="112" spans="1:26" s="24" customFormat="1" hidden="1" outlineLevel="1" x14ac:dyDescent="0.25">
      <c r="A112" s="50"/>
      <c r="B112" s="11" t="str">
        <f>CONCATENATE("          ", "9165", " - ", "OTHER INCOME")</f>
        <v xml:space="preserve">          9165 - OTHER INCOME</v>
      </c>
      <c r="C112" s="11"/>
      <c r="D112" s="2">
        <f>--2952.39</f>
        <v>2952.39</v>
      </c>
      <c r="E112" s="2"/>
      <c r="F112" s="21">
        <f t="shared" si="92"/>
        <v>8.4965728972680715E-3</v>
      </c>
      <c r="G112" s="2"/>
      <c r="H112" s="2">
        <f>--1781.87</f>
        <v>1781.87</v>
      </c>
      <c r="I112" s="2"/>
      <c r="J112" s="21">
        <f t="shared" si="93"/>
        <v>5.0732783462206473E-3</v>
      </c>
      <c r="K112" s="2"/>
      <c r="L112" s="2">
        <f t="shared" si="94"/>
        <v>1170.52</v>
      </c>
      <c r="M112" s="2"/>
      <c r="N112" s="21">
        <f t="shared" si="95"/>
        <v>0.65690538591479741</v>
      </c>
      <c r="O112" s="11"/>
      <c r="P112" s="2">
        <f>--6633.44</f>
        <v>6633.44</v>
      </c>
      <c r="Q112" s="2"/>
      <c r="R112" s="21">
        <f t="shared" si="96"/>
        <v>1.2588464247176174E-2</v>
      </c>
      <c r="S112" s="2"/>
      <c r="T112" s="2">
        <f>--3900.7</f>
        <v>3900.7</v>
      </c>
      <c r="U112" s="2"/>
      <c r="V112" s="21">
        <f t="shared" si="97"/>
        <v>6.7587525256087777E-3</v>
      </c>
      <c r="W112" s="2"/>
      <c r="X112" s="2">
        <f t="shared" si="98"/>
        <v>2732.74</v>
      </c>
      <c r="Y112" s="2"/>
      <c r="Z112" s="21">
        <f t="shared" si="99"/>
        <v>0.70057681954520978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6" t="s">
        <v>3</v>
      </c>
      <c r="C114" s="26"/>
      <c r="D114" s="20">
        <f>+D28-D30+D109</f>
        <v>-137804.76000000004</v>
      </c>
      <c r="E114" s="13"/>
      <c r="F114" s="19">
        <f>IF(D$12=0,0,D114/D$12)</f>
        <v>-0.3965831712377198</v>
      </c>
      <c r="G114" s="13"/>
      <c r="H114" s="20">
        <f>+H28-H30+H109</f>
        <v>-144045.74000000011</v>
      </c>
      <c r="I114" s="13"/>
      <c r="J114" s="19">
        <f>IF(H$12=0,0,H114/H$12)</f>
        <v>-0.41012202551663696</v>
      </c>
      <c r="K114" s="15"/>
      <c r="L114" s="20">
        <f>+D114-H114</f>
        <v>6240.9800000000687</v>
      </c>
      <c r="M114" s="15"/>
      <c r="N114" s="19">
        <f>IF(H114=0,0,L114/H114)</f>
        <v>-4.3326376746719922E-2</v>
      </c>
      <c r="O114" s="25"/>
      <c r="P114" s="20">
        <f>+P28-P30+P109</f>
        <v>-380786.71000000008</v>
      </c>
      <c r="Q114" s="13"/>
      <c r="R114" s="19">
        <f>IF(P$12=0,0,P114/P$12)</f>
        <v>-0.72262956846445336</v>
      </c>
      <c r="S114" s="13"/>
      <c r="T114" s="20">
        <f>+T28-T30+T109</f>
        <v>-352488.24999999977</v>
      </c>
      <c r="U114" s="13"/>
      <c r="V114" s="19">
        <f>IF(T$12=0,0,T114/T$12)</f>
        <v>-0.6107572615004786</v>
      </c>
      <c r="W114" s="15"/>
      <c r="X114" s="20">
        <f>+P114-T114</f>
        <v>-28298.460000000312</v>
      </c>
      <c r="Y114" s="15"/>
      <c r="Z114" s="19">
        <f>IF(T114=0,0,X114/T114)</f>
        <v>8.0281995215444296E-2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1"/>
      <c r="B116" s="10" t="s">
        <v>13</v>
      </c>
      <c r="C116" s="10"/>
      <c r="D116" s="4">
        <v>28384.32</v>
      </c>
      <c r="E116" s="4"/>
      <c r="F116" s="12">
        <f>IF(D$12=0,0,D116/D$12)</f>
        <v>8.1686174258612201E-2</v>
      </c>
      <c r="G116" s="4"/>
      <c r="H116" s="4">
        <v>12543.81</v>
      </c>
      <c r="I116" s="4"/>
      <c r="J116" s="12">
        <f>IF(H$12=0,0,H116/H$12)</f>
        <v>3.5714299950111973E-2</v>
      </c>
      <c r="K116" s="4"/>
      <c r="L116" s="4">
        <f>+D116-H116</f>
        <v>15840.51</v>
      </c>
      <c r="M116" s="4"/>
      <c r="N116" s="12">
        <f>IF(H116=0,0,L116/H116)</f>
        <v>1.2628148863861937</v>
      </c>
      <c r="O116" s="10"/>
      <c r="P116" s="4">
        <v>65700.55</v>
      </c>
      <c r="Q116" s="4"/>
      <c r="R116" s="12">
        <f>IF(P$12=0,0,P116/P$12)</f>
        <v>0.12468176763411</v>
      </c>
      <c r="S116" s="4"/>
      <c r="T116" s="4">
        <v>58922.579999999994</v>
      </c>
      <c r="U116" s="4"/>
      <c r="V116" s="12">
        <f>IF(T$12=0,0,T116/T$12)</f>
        <v>0.1020952999180622</v>
      </c>
      <c r="W116" s="4"/>
      <c r="X116" s="4">
        <f>+P116-T116</f>
        <v>6777.9700000000084</v>
      </c>
      <c r="Y116" s="4"/>
      <c r="Z116" s="12">
        <f>IF(T116=0,0,X116/T116)</f>
        <v>0.11503179256577035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6" t="s">
        <v>4</v>
      </c>
      <c r="C118" s="26"/>
      <c r="D118" s="31">
        <f>+D114-D116</f>
        <v>-166189.08000000005</v>
      </c>
      <c r="E118" s="13"/>
      <c r="F118" s="36">
        <f>IF(D$12=0,0,D118/D$12)</f>
        <v>-0.47826934549633204</v>
      </c>
      <c r="G118" s="13"/>
      <c r="H118" s="31">
        <f>+H114-H116</f>
        <v>-156589.5500000001</v>
      </c>
      <c r="I118" s="13"/>
      <c r="J118" s="36">
        <f>IF(H$12=0,0,H118/H$12)</f>
        <v>-0.44583632546674895</v>
      </c>
      <c r="K118" s="15"/>
      <c r="L118" s="31">
        <f>D118-H118</f>
        <v>-9599.5299999999406</v>
      </c>
      <c r="M118" s="15"/>
      <c r="N118" s="36">
        <f>IF(H118=0,0,L118/H118)</f>
        <v>6.130377154797325E-2</v>
      </c>
      <c r="O118" s="25"/>
      <c r="P118" s="31">
        <f>+P114-P116</f>
        <v>-446487.26000000007</v>
      </c>
      <c r="Q118" s="13"/>
      <c r="R118" s="36">
        <f>IF(P$12=0,0,P118/P$12)</f>
        <v>-0.84731133609856335</v>
      </c>
      <c r="S118" s="13"/>
      <c r="T118" s="31">
        <f>+T114-T116</f>
        <v>-411410.82999999978</v>
      </c>
      <c r="U118" s="13"/>
      <c r="V118" s="36">
        <f>IF(T$12=0,0,T118/T$12)</f>
        <v>-0.71285256141854081</v>
      </c>
      <c r="W118" s="15"/>
      <c r="X118" s="31">
        <f>P118-T118</f>
        <v>-35076.430000000284</v>
      </c>
      <c r="Y118" s="15"/>
      <c r="Z118" s="36">
        <f>IF(T118=0,0,X118/T118)</f>
        <v>8.525888829907638E-2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6" t="s">
        <v>5</v>
      </c>
      <c r="C121" s="26"/>
      <c r="D121" s="32">
        <f>SUM(D118:D120)</f>
        <v>-166189.08000000005</v>
      </c>
      <c r="E121" s="13"/>
      <c r="F121" s="30">
        <f>IF(D$12=0,0,D121/D$12)</f>
        <v>-0.47826934549633204</v>
      </c>
      <c r="G121" s="13"/>
      <c r="H121" s="32">
        <f>SUM(H118:H120)</f>
        <v>-156589.5500000001</v>
      </c>
      <c r="I121" s="13"/>
      <c r="J121" s="30">
        <f>IF(H$12=0,0,H121/H$12)</f>
        <v>-0.44583632546674895</v>
      </c>
      <c r="K121" s="15"/>
      <c r="L121" s="32">
        <f>+D121-H121</f>
        <v>-9599.5299999999406</v>
      </c>
      <c r="M121" s="15"/>
      <c r="N121" s="30">
        <f>IF(H121=0,0,L121/H121)</f>
        <v>6.130377154797325E-2</v>
      </c>
      <c r="O121" s="25"/>
      <c r="P121" s="32">
        <f>SUM(P118:P120)</f>
        <v>-446487.26000000007</v>
      </c>
      <c r="Q121" s="13"/>
      <c r="R121" s="30">
        <f>IF(P$12=0,0,P121/P$12)</f>
        <v>-0.84731133609856335</v>
      </c>
      <c r="S121" s="13"/>
      <c r="T121" s="32">
        <f>SUM(T118:T120)</f>
        <v>-411410.82999999978</v>
      </c>
      <c r="U121" s="13"/>
      <c r="V121" s="30">
        <f>IF(T$12=0,0,T121/T$12)</f>
        <v>-0.71285256141854081</v>
      </c>
      <c r="W121" s="15"/>
      <c r="X121" s="32">
        <f>+P121-T121</f>
        <v>-35076.430000000284</v>
      </c>
      <c r="Y121" s="15"/>
      <c r="Z121" s="30">
        <f>IF(T121=0,0,X121/T121)</f>
        <v>8.525888829907638E-2</v>
      </c>
    </row>
    <row r="122" spans="1:26" ht="15.75" thickTop="1" x14ac:dyDescent="0.25">
      <c r="A122" s="9"/>
      <c r="C122" s="9"/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A123" s="9"/>
      <c r="B123" s="57">
        <v>43732.709319293979</v>
      </c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25">
      <c r="A124" s="9"/>
      <c r="B124" s="60" t="s">
        <v>313</v>
      </c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25">
      <c r="A125" s="9"/>
      <c r="B125" s="56"/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","405", " - ", "Library Starbucks")</f>
        <v>Department 405 - Library Starbucks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34415.229999999996</v>
      </c>
      <c r="E12" s="4"/>
      <c r="F12" s="12"/>
      <c r="G12" s="4"/>
      <c r="H12" s="4">
        <f>SUM(OSRRefH13x_0)</f>
        <v>23278.46</v>
      </c>
      <c r="I12" s="4"/>
      <c r="J12" s="12"/>
      <c r="K12" s="4"/>
      <c r="L12" s="4">
        <f t="shared" ref="L12:L14" si="0">+D12-H12</f>
        <v>11136.769999999997</v>
      </c>
      <c r="M12" s="4"/>
      <c r="N12" s="12">
        <f t="shared" ref="N12:N14" si="1">IF(H12=0,0,L12/H12)</f>
        <v>0.4784152388087527</v>
      </c>
      <c r="O12" s="10"/>
      <c r="P12" s="4">
        <f>SUM(OSRRefP13x_0)</f>
        <v>52521.919999999998</v>
      </c>
      <c r="Q12" s="4"/>
      <c r="R12" s="12"/>
      <c r="S12" s="4"/>
      <c r="T12" s="4">
        <f>SUM(OSRRefT13x_0)</f>
        <v>23278.46</v>
      </c>
      <c r="U12" s="4"/>
      <c r="V12" s="12"/>
      <c r="W12" s="4"/>
      <c r="X12" s="4">
        <f t="shared" ref="X12:X14" si="2">+P12-T12</f>
        <v>29243.46</v>
      </c>
      <c r="Y12" s="4"/>
      <c r="Z12" s="12">
        <f t="shared" ref="Z12:Z14" si="3">IF(T12=0,0,X12/T12)</f>
        <v>1.2562454732830264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--8255.89</f>
        <v>8255.89</v>
      </c>
      <c r="E13" s="2"/>
      <c r="F13" s="21"/>
      <c r="G13" s="2"/>
      <c r="H13" s="2">
        <f>--4934.43</f>
        <v>4934.43</v>
      </c>
      <c r="I13" s="2"/>
      <c r="J13" s="21"/>
      <c r="K13" s="2"/>
      <c r="L13" s="2">
        <f t="shared" si="0"/>
        <v>3321.4599999999991</v>
      </c>
      <c r="M13" s="2"/>
      <c r="N13" s="21">
        <f t="shared" si="1"/>
        <v>0.67311928632081086</v>
      </c>
      <c r="O13" s="11"/>
      <c r="P13" s="2">
        <f>--13857.74</f>
        <v>13857.74</v>
      </c>
      <c r="Q13" s="2"/>
      <c r="R13" s="21"/>
      <c r="S13" s="2"/>
      <c r="T13" s="2">
        <f>--4934.43</f>
        <v>4934.43</v>
      </c>
      <c r="U13" s="2"/>
      <c r="V13" s="21"/>
      <c r="W13" s="2"/>
      <c r="X13" s="2">
        <f t="shared" si="2"/>
        <v>8923.31</v>
      </c>
      <c r="Y13" s="2"/>
      <c r="Z13" s="21">
        <f t="shared" si="3"/>
        <v>1.8083770567218502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--26159.34</f>
        <v>26159.34</v>
      </c>
      <c r="E14" s="2"/>
      <c r="F14" s="21"/>
      <c r="G14" s="2"/>
      <c r="H14" s="2">
        <f>--18344.03</f>
        <v>18344.03</v>
      </c>
      <c r="I14" s="2"/>
      <c r="J14" s="21"/>
      <c r="K14" s="2"/>
      <c r="L14" s="2">
        <f t="shared" si="0"/>
        <v>7815.3100000000013</v>
      </c>
      <c r="M14" s="2"/>
      <c r="N14" s="21">
        <f t="shared" si="1"/>
        <v>0.42604106077017984</v>
      </c>
      <c r="O14" s="11"/>
      <c r="P14" s="2">
        <f>--38664.18</f>
        <v>38664.18</v>
      </c>
      <c r="Q14" s="2"/>
      <c r="R14" s="21"/>
      <c r="S14" s="2"/>
      <c r="T14" s="2">
        <f>--18344.03</f>
        <v>18344.03</v>
      </c>
      <c r="U14" s="2"/>
      <c r="V14" s="21"/>
      <c r="W14" s="2"/>
      <c r="X14" s="2">
        <f t="shared" si="2"/>
        <v>20320.150000000001</v>
      </c>
      <c r="Y14" s="2"/>
      <c r="Z14" s="21">
        <f t="shared" si="3"/>
        <v>1.1077255106974859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11013.169999999998</v>
      </c>
      <c r="E16" s="4"/>
      <c r="F16" s="12">
        <f t="shared" ref="F16:F18" si="4">IF(D$12=0,0,D16/D$12)</f>
        <v>0.32000861246605061</v>
      </c>
      <c r="G16" s="4"/>
      <c r="H16" s="4">
        <f>SUM(OSRRefH16x_0)</f>
        <v>5818.8700000000026</v>
      </c>
      <c r="I16" s="4"/>
      <c r="J16" s="12">
        <f t="shared" ref="J16:J18" si="5">IF(H$12=0,0,H16/H$12)</f>
        <v>0.24996799616469487</v>
      </c>
      <c r="K16" s="4"/>
      <c r="L16" s="4">
        <f t="shared" ref="L16:L18" si="6">+D16-H16</f>
        <v>5194.2999999999956</v>
      </c>
      <c r="M16" s="4"/>
      <c r="N16" s="12">
        <f t="shared" ref="N16:N18" si="7">IF(H16=0,0,L16/H16)</f>
        <v>0.89266472700025834</v>
      </c>
      <c r="O16" s="10"/>
      <c r="P16" s="4">
        <f>SUM(OSRRefP16x_0)</f>
        <v>21248.52</v>
      </c>
      <c r="Q16" s="4"/>
      <c r="R16" s="12">
        <f t="shared" ref="R16:R18" si="8">IF(P$12=0,0,P16/P$12)</f>
        <v>0.40456479884969937</v>
      </c>
      <c r="S16" s="4"/>
      <c r="T16" s="4">
        <f>SUM(OSRRefT16x_0)</f>
        <v>5818.8700000000026</v>
      </c>
      <c r="U16" s="4"/>
      <c r="V16" s="12">
        <f t="shared" ref="V16:V18" si="9">IF(T$12=0,0,T16/T$12)</f>
        <v>0.24996799616469487</v>
      </c>
      <c r="W16" s="4"/>
      <c r="X16" s="4">
        <f t="shared" ref="X16:X18" si="10">+P16-T16</f>
        <v>15429.649999999998</v>
      </c>
      <c r="Y16" s="4"/>
      <c r="Z16" s="12">
        <f t="shared" ref="Z16:Z18" si="11">IF(T16=0,0,X16/T16)</f>
        <v>2.6516574523919578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14927.169999999998</v>
      </c>
      <c r="E17" s="2"/>
      <c r="F17" s="21">
        <f t="shared" si="4"/>
        <v>0.4337373308270786</v>
      </c>
      <c r="G17" s="2"/>
      <c r="H17" s="2">
        <v>25221.870000000003</v>
      </c>
      <c r="I17" s="2"/>
      <c r="J17" s="21">
        <f t="shared" si="5"/>
        <v>1.0834853336517967</v>
      </c>
      <c r="K17" s="2"/>
      <c r="L17" s="2">
        <f t="shared" si="6"/>
        <v>-10294.700000000004</v>
      </c>
      <c r="M17" s="2"/>
      <c r="N17" s="21">
        <f t="shared" si="7"/>
        <v>-0.4081656118281477</v>
      </c>
      <c r="O17" s="11"/>
      <c r="P17" s="2">
        <v>23780.52</v>
      </c>
      <c r="Q17" s="2"/>
      <c r="R17" s="21">
        <f t="shared" si="8"/>
        <v>0.45277324210539144</v>
      </c>
      <c r="S17" s="2"/>
      <c r="T17" s="2">
        <v>25221.870000000003</v>
      </c>
      <c r="U17" s="2"/>
      <c r="V17" s="21">
        <f t="shared" si="9"/>
        <v>1.0834853336517967</v>
      </c>
      <c r="W17" s="2"/>
      <c r="X17" s="2">
        <f t="shared" si="10"/>
        <v>-1441.3500000000022</v>
      </c>
      <c r="Y17" s="2"/>
      <c r="Z17" s="21">
        <f t="shared" si="11"/>
        <v>-5.7146833283971493E-2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-3914</v>
      </c>
      <c r="E18" s="2"/>
      <c r="F18" s="21">
        <f t="shared" si="4"/>
        <v>-0.11372871836102796</v>
      </c>
      <c r="G18" s="2"/>
      <c r="H18" s="2">
        <v>-19403</v>
      </c>
      <c r="I18" s="2"/>
      <c r="J18" s="21">
        <f t="shared" si="5"/>
        <v>-0.83351733748710188</v>
      </c>
      <c r="K18" s="2"/>
      <c r="L18" s="2">
        <f t="shared" si="6"/>
        <v>15489</v>
      </c>
      <c r="M18" s="2"/>
      <c r="N18" s="21">
        <f t="shared" si="7"/>
        <v>-0.79827861670875633</v>
      </c>
      <c r="O18" s="11"/>
      <c r="P18" s="2">
        <v>-2532</v>
      </c>
      <c r="Q18" s="2"/>
      <c r="R18" s="21">
        <f t="shared" si="8"/>
        <v>-4.8208443255692103E-2</v>
      </c>
      <c r="S18" s="2"/>
      <c r="T18" s="2">
        <v>-19403</v>
      </c>
      <c r="U18" s="2"/>
      <c r="V18" s="21">
        <f t="shared" si="9"/>
        <v>-0.83351733748710188</v>
      </c>
      <c r="W18" s="2"/>
      <c r="X18" s="2">
        <f t="shared" si="10"/>
        <v>16871</v>
      </c>
      <c r="Y18" s="2"/>
      <c r="Z18" s="21">
        <f t="shared" si="11"/>
        <v>-0.86950471576560329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23402.059999999998</v>
      </c>
      <c r="E20" s="13"/>
      <c r="F20" s="19">
        <f>IF(D$12=0,0,D20/D$12)</f>
        <v>0.67999138753394939</v>
      </c>
      <c r="G20" s="13"/>
      <c r="H20" s="20">
        <f>H12-H16</f>
        <v>17459.589999999997</v>
      </c>
      <c r="I20" s="13"/>
      <c r="J20" s="19">
        <f>IF(H$12=0,0,H20/H$12)</f>
        <v>0.75003200383530511</v>
      </c>
      <c r="K20" s="15"/>
      <c r="L20" s="20">
        <f>+D20-H20</f>
        <v>5942.4700000000012</v>
      </c>
      <c r="M20" s="15"/>
      <c r="N20" s="19">
        <f>IF(H20=0,0,L20/H20)</f>
        <v>0.34035564409015345</v>
      </c>
      <c r="O20" s="25"/>
      <c r="P20" s="20">
        <f>P12-P16</f>
        <v>31273.399999999998</v>
      </c>
      <c r="Q20" s="13"/>
      <c r="R20" s="19">
        <f>IF(P$12=0,0,P20/P$12)</f>
        <v>0.59543520115030069</v>
      </c>
      <c r="S20" s="13"/>
      <c r="T20" s="20">
        <f>T12-T16</f>
        <v>17459.589999999997</v>
      </c>
      <c r="U20" s="13"/>
      <c r="V20" s="19">
        <f>IF(T$12=0,0,T20/T$12)</f>
        <v>0.75003200383530511</v>
      </c>
      <c r="W20" s="15"/>
      <c r="X20" s="20">
        <f>+P20-T20</f>
        <v>13813.810000000001</v>
      </c>
      <c r="Y20" s="15"/>
      <c r="Z20" s="19">
        <f>IF(T20=0,0,X20/T20)</f>
        <v>0.79118753647708817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44775.119999999995</v>
      </c>
      <c r="E22" s="22"/>
      <c r="F22" s="33">
        <f t="shared" ref="F22:F31" si="12">IF(D$12=0,0,D22/D$12)</f>
        <v>1.3010263188710347</v>
      </c>
      <c r="G22" s="22"/>
      <c r="H22" s="22">
        <f>SUM(OSRRefH22x_0)</f>
        <v>35853.430000000008</v>
      </c>
      <c r="I22" s="22"/>
      <c r="J22" s="33">
        <f t="shared" ref="J22:J31" si="13">IF(H$12=0,0,H22/H$12)</f>
        <v>1.5401976763067664</v>
      </c>
      <c r="K22" s="4"/>
      <c r="L22" s="22">
        <f t="shared" ref="L22:L31" si="14">+D22-H22</f>
        <v>8921.6899999999878</v>
      </c>
      <c r="M22" s="4"/>
      <c r="N22" s="33">
        <f t="shared" ref="N22:N31" si="15">IF(H22=0,0,L22/H22)</f>
        <v>0.24883783783029925</v>
      </c>
      <c r="O22" s="10"/>
      <c r="P22" s="22">
        <f>SUM(OSRRefP22x_0)</f>
        <v>85623.91</v>
      </c>
      <c r="Q22" s="22"/>
      <c r="R22" s="33">
        <f t="shared" ref="R22:R31" si="16">IF(P$12=0,0,P22/P$12)</f>
        <v>1.6302509504603031</v>
      </c>
      <c r="S22" s="22"/>
      <c r="T22" s="22">
        <f>SUM(OSRRefT22x_0)</f>
        <v>56093.380000000005</v>
      </c>
      <c r="U22" s="22"/>
      <c r="V22" s="33">
        <f t="shared" ref="V22:V31" si="17">IF(T$12=0,0,T22/T$12)</f>
        <v>2.4096688526646526</v>
      </c>
      <c r="W22" s="4"/>
      <c r="X22" s="22">
        <f t="shared" ref="X22:X31" si="18">+P22-T22</f>
        <v>29530.53</v>
      </c>
      <c r="Y22" s="4"/>
      <c r="Z22" s="33">
        <f t="shared" ref="Z22:Z31" si="19">IF(T22=0,0,X22/T22)</f>
        <v>0.52645303242557318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5191.7700000000004</v>
      </c>
      <c r="E23" s="1"/>
      <c r="F23" s="5">
        <f t="shared" si="12"/>
        <v>0.15085675731354989</v>
      </c>
      <c r="G23" s="1"/>
      <c r="H23" s="1">
        <f>SUM(OSRRefH22_0x_0)</f>
        <v>4712.5599999999995</v>
      </c>
      <c r="I23" s="1"/>
      <c r="J23" s="5">
        <f t="shared" si="13"/>
        <v>0.20244294510891184</v>
      </c>
      <c r="K23" s="1"/>
      <c r="L23" s="1">
        <f t="shared" si="14"/>
        <v>479.21000000000095</v>
      </c>
      <c r="M23" s="1"/>
      <c r="N23" s="5">
        <f t="shared" si="15"/>
        <v>0.10168782996927381</v>
      </c>
      <c r="O23" s="14"/>
      <c r="P23" s="1">
        <f>SUM(OSRRefP22_0x_0)</f>
        <v>10026.880000000001</v>
      </c>
      <c r="Q23" s="1"/>
      <c r="R23" s="5">
        <f t="shared" si="16"/>
        <v>0.19090848163966589</v>
      </c>
      <c r="S23" s="1"/>
      <c r="T23" s="1">
        <f>SUM(OSRRefT22_0x_0)</f>
        <v>8646.98</v>
      </c>
      <c r="U23" s="1"/>
      <c r="V23" s="5">
        <f t="shared" si="17"/>
        <v>0.37145842121858574</v>
      </c>
      <c r="W23" s="1"/>
      <c r="X23" s="1">
        <f t="shared" si="18"/>
        <v>1379.9000000000015</v>
      </c>
      <c r="Y23" s="1"/>
      <c r="Z23" s="5">
        <f t="shared" si="19"/>
        <v>0.15958172679941454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1311.72</v>
      </c>
      <c r="E24" s="2"/>
      <c r="F24" s="6">
        <f t="shared" si="12"/>
        <v>3.8114520809536943E-2</v>
      </c>
      <c r="G24" s="2"/>
      <c r="H24" s="7">
        <v>1131.83</v>
      </c>
      <c r="I24" s="2"/>
      <c r="J24" s="6">
        <f t="shared" si="13"/>
        <v>4.8621343508118663E-2</v>
      </c>
      <c r="K24" s="2"/>
      <c r="L24" s="7">
        <f t="shared" si="14"/>
        <v>179.8900000000001</v>
      </c>
      <c r="M24" s="2"/>
      <c r="N24" s="6">
        <f t="shared" si="15"/>
        <v>0.15893729623706751</v>
      </c>
      <c r="O24" s="11"/>
      <c r="P24" s="7">
        <v>2377.16</v>
      </c>
      <c r="Q24" s="2"/>
      <c r="R24" s="6">
        <f t="shared" si="16"/>
        <v>4.526034082531636E-2</v>
      </c>
      <c r="S24" s="2"/>
      <c r="T24" s="7">
        <v>1751.15</v>
      </c>
      <c r="U24" s="2"/>
      <c r="V24" s="6">
        <f t="shared" si="17"/>
        <v>7.5226196234630643E-2</v>
      </c>
      <c r="W24" s="2"/>
      <c r="X24" s="7">
        <f t="shared" si="18"/>
        <v>626.00999999999976</v>
      </c>
      <c r="Y24" s="2"/>
      <c r="Z24" s="6">
        <f t="shared" si="19"/>
        <v>0.35748508123233286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651.69000000000005</v>
      </c>
      <c r="E25" s="2"/>
      <c r="F25" s="6">
        <f t="shared" si="12"/>
        <v>1.89360931192382E-2</v>
      </c>
      <c r="G25" s="2"/>
      <c r="H25" s="7">
        <v>527.26</v>
      </c>
      <c r="I25" s="2"/>
      <c r="J25" s="6">
        <f t="shared" si="13"/>
        <v>2.2650123762482571E-2</v>
      </c>
      <c r="K25" s="2"/>
      <c r="L25" s="7">
        <f t="shared" si="14"/>
        <v>124.43000000000006</v>
      </c>
      <c r="M25" s="2"/>
      <c r="N25" s="6">
        <f t="shared" si="15"/>
        <v>0.23599362743238642</v>
      </c>
      <c r="O25" s="11"/>
      <c r="P25" s="7">
        <v>1184.3</v>
      </c>
      <c r="Q25" s="2"/>
      <c r="R25" s="6">
        <f t="shared" si="16"/>
        <v>2.2548680627060093E-2</v>
      </c>
      <c r="S25" s="2"/>
      <c r="T25" s="7">
        <v>946.64</v>
      </c>
      <c r="U25" s="2"/>
      <c r="V25" s="6">
        <f t="shared" si="17"/>
        <v>4.0665920340091227E-2</v>
      </c>
      <c r="W25" s="2"/>
      <c r="X25" s="7">
        <f t="shared" si="18"/>
        <v>237.65999999999997</v>
      </c>
      <c r="Y25" s="2"/>
      <c r="Z25" s="6">
        <f t="shared" si="19"/>
        <v>0.25105636778500801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1376.23</v>
      </c>
      <c r="E26" s="2"/>
      <c r="F26" s="6">
        <f t="shared" si="12"/>
        <v>3.9988981622380564E-2</v>
      </c>
      <c r="G26" s="2"/>
      <c r="H26" s="7">
        <v>1389.3</v>
      </c>
      <c r="I26" s="2"/>
      <c r="J26" s="6">
        <f t="shared" si="13"/>
        <v>5.9681783073278906E-2</v>
      </c>
      <c r="K26" s="2"/>
      <c r="L26" s="7">
        <f t="shared" si="14"/>
        <v>-13.069999999999936</v>
      </c>
      <c r="M26" s="2"/>
      <c r="N26" s="6">
        <f t="shared" si="15"/>
        <v>-9.4076153458575798E-3</v>
      </c>
      <c r="O26" s="11"/>
      <c r="P26" s="7">
        <v>2752.46</v>
      </c>
      <c r="Q26" s="2"/>
      <c r="R26" s="6">
        <f t="shared" si="16"/>
        <v>5.2405928800774992E-2</v>
      </c>
      <c r="S26" s="2"/>
      <c r="T26" s="7">
        <v>1925.96</v>
      </c>
      <c r="U26" s="2"/>
      <c r="V26" s="6">
        <f t="shared" si="17"/>
        <v>8.2735713616794243E-2</v>
      </c>
      <c r="W26" s="2"/>
      <c r="X26" s="7">
        <f t="shared" si="18"/>
        <v>826.5</v>
      </c>
      <c r="Y26" s="2"/>
      <c r="Z26" s="6">
        <f t="shared" si="19"/>
        <v>0.42913663835178301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44.74</v>
      </c>
      <c r="E27" s="2"/>
      <c r="F27" s="6">
        <f t="shared" si="12"/>
        <v>1.3000058404375042E-3</v>
      </c>
      <c r="G27" s="2"/>
      <c r="H27" s="7">
        <v>39.17</v>
      </c>
      <c r="I27" s="2"/>
      <c r="J27" s="6">
        <f t="shared" si="13"/>
        <v>1.6826714481971746E-3</v>
      </c>
      <c r="K27" s="2"/>
      <c r="L27" s="7">
        <f t="shared" si="14"/>
        <v>5.57</v>
      </c>
      <c r="M27" s="2"/>
      <c r="N27" s="6">
        <f t="shared" si="15"/>
        <v>0.1422006637732959</v>
      </c>
      <c r="O27" s="11"/>
      <c r="P27" s="7">
        <v>81.3</v>
      </c>
      <c r="Q27" s="2"/>
      <c r="R27" s="6">
        <f t="shared" si="16"/>
        <v>1.547925132973052E-3</v>
      </c>
      <c r="S27" s="2"/>
      <c r="T27" s="7">
        <v>70.319999999999993</v>
      </c>
      <c r="U27" s="2"/>
      <c r="V27" s="6">
        <f t="shared" si="17"/>
        <v>3.0208183874706486E-3</v>
      </c>
      <c r="W27" s="2"/>
      <c r="X27" s="7">
        <f t="shared" si="18"/>
        <v>10.980000000000004</v>
      </c>
      <c r="Y27" s="2"/>
      <c r="Z27" s="6">
        <f t="shared" si="19"/>
        <v>0.15614334470989769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696.67</v>
      </c>
      <c r="E28" s="2"/>
      <c r="F28" s="6">
        <f t="shared" si="12"/>
        <v>2.0243072616396868E-2</v>
      </c>
      <c r="G28" s="2"/>
      <c r="H28" s="7">
        <v>566.14</v>
      </c>
      <c r="I28" s="2"/>
      <c r="J28" s="6">
        <f t="shared" si="13"/>
        <v>2.4320337341903201E-2</v>
      </c>
      <c r="K28" s="2"/>
      <c r="L28" s="7">
        <f t="shared" si="14"/>
        <v>130.52999999999997</v>
      </c>
      <c r="M28" s="2"/>
      <c r="N28" s="6">
        <f t="shared" si="15"/>
        <v>0.2305613452502914</v>
      </c>
      <c r="O28" s="11"/>
      <c r="P28" s="7">
        <v>1393.34</v>
      </c>
      <c r="Q28" s="2"/>
      <c r="R28" s="6">
        <f t="shared" si="16"/>
        <v>2.6528733146084529E-2</v>
      </c>
      <c r="S28" s="2"/>
      <c r="T28" s="7">
        <v>1383</v>
      </c>
      <c r="U28" s="2"/>
      <c r="V28" s="6">
        <f t="shared" si="17"/>
        <v>5.9411146613650559E-2</v>
      </c>
      <c r="W28" s="2"/>
      <c r="X28" s="7">
        <f t="shared" si="18"/>
        <v>10.339999999999918</v>
      </c>
      <c r="Y28" s="2"/>
      <c r="Z28" s="6">
        <f t="shared" si="19"/>
        <v>7.4765003615328406E-3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384</v>
      </c>
      <c r="E29" s="2"/>
      <c r="F29" s="6">
        <f t="shared" si="12"/>
        <v>1.1157850753866822E-2</v>
      </c>
      <c r="G29" s="2"/>
      <c r="H29" s="7">
        <v>393.8</v>
      </c>
      <c r="I29" s="2"/>
      <c r="J29" s="6">
        <f t="shared" si="13"/>
        <v>1.6916926635181195E-2</v>
      </c>
      <c r="K29" s="2"/>
      <c r="L29" s="7">
        <f t="shared" si="14"/>
        <v>-9.8000000000000114</v>
      </c>
      <c r="M29" s="2"/>
      <c r="N29" s="6">
        <f t="shared" si="15"/>
        <v>-2.4885728796343348E-2</v>
      </c>
      <c r="O29" s="11"/>
      <c r="P29" s="7">
        <v>768</v>
      </c>
      <c r="Q29" s="2"/>
      <c r="R29" s="6">
        <f t="shared" si="16"/>
        <v>1.4622466200778646E-2</v>
      </c>
      <c r="S29" s="2"/>
      <c r="T29" s="7">
        <v>896.24</v>
      </c>
      <c r="U29" s="2"/>
      <c r="V29" s="6">
        <f t="shared" si="17"/>
        <v>3.8500828663064486E-2</v>
      </c>
      <c r="W29" s="2"/>
      <c r="X29" s="7">
        <f t="shared" si="18"/>
        <v>-128.24</v>
      </c>
      <c r="Y29" s="2"/>
      <c r="Z29" s="6">
        <f t="shared" si="19"/>
        <v>-0.14308667321253238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460.04</v>
      </c>
      <c r="E30" s="2"/>
      <c r="F30" s="6">
        <f t="shared" si="12"/>
        <v>1.3367337658356491E-2</v>
      </c>
      <c r="G30" s="2"/>
      <c r="H30" s="7">
        <v>370.74</v>
      </c>
      <c r="I30" s="2"/>
      <c r="J30" s="6">
        <f t="shared" si="13"/>
        <v>1.5926311276605067E-2</v>
      </c>
      <c r="K30" s="2"/>
      <c r="L30" s="7">
        <f t="shared" si="14"/>
        <v>89.300000000000011</v>
      </c>
      <c r="M30" s="2"/>
      <c r="N30" s="6">
        <f t="shared" si="15"/>
        <v>0.24086961212709718</v>
      </c>
      <c r="O30" s="11"/>
      <c r="P30" s="7">
        <v>920.08</v>
      </c>
      <c r="Q30" s="2"/>
      <c r="R30" s="6">
        <f t="shared" si="16"/>
        <v>1.7518019143245335E-2</v>
      </c>
      <c r="S30" s="2"/>
      <c r="T30" s="7">
        <v>1079.3599999999999</v>
      </c>
      <c r="U30" s="2"/>
      <c r="V30" s="6">
        <f t="shared" si="17"/>
        <v>4.6367328422928317E-2</v>
      </c>
      <c r="W30" s="2"/>
      <c r="X30" s="7">
        <f t="shared" si="18"/>
        <v>-159.27999999999986</v>
      </c>
      <c r="Y30" s="2"/>
      <c r="Z30" s="6">
        <f t="shared" si="19"/>
        <v>-0.14756892973613983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266.68</v>
      </c>
      <c r="E31" s="2"/>
      <c r="F31" s="6">
        <f t="shared" si="12"/>
        <v>7.7488948933364691E-3</v>
      </c>
      <c r="G31" s="2"/>
      <c r="H31" s="7">
        <v>294.32</v>
      </c>
      <c r="I31" s="2"/>
      <c r="J31" s="6">
        <f t="shared" si="13"/>
        <v>1.2643448063145071E-2</v>
      </c>
      <c r="K31" s="2"/>
      <c r="L31" s="7">
        <f t="shared" si="14"/>
        <v>-27.639999999999986</v>
      </c>
      <c r="M31" s="2"/>
      <c r="N31" s="6">
        <f t="shared" si="15"/>
        <v>-9.3911388964392453E-2</v>
      </c>
      <c r="O31" s="11"/>
      <c r="P31" s="7">
        <v>550.24</v>
      </c>
      <c r="Q31" s="2"/>
      <c r="R31" s="6">
        <f t="shared" si="16"/>
        <v>1.0476387763432867E-2</v>
      </c>
      <c r="S31" s="2"/>
      <c r="T31" s="7">
        <v>594.30999999999995</v>
      </c>
      <c r="U31" s="2"/>
      <c r="V31" s="6">
        <f t="shared" si="17"/>
        <v>2.5530468939955649E-2</v>
      </c>
      <c r="W31" s="2"/>
      <c r="X31" s="7">
        <f t="shared" si="18"/>
        <v>-44.069999999999936</v>
      </c>
      <c r="Y31" s="2"/>
      <c r="Z31" s="6">
        <f t="shared" si="19"/>
        <v>-7.4153219700156384E-2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20083.28</v>
      </c>
      <c r="E32" s="1"/>
      <c r="F32" s="5">
        <f t="shared" ref="F32:F36" si="20">IF(D$12=0,0,D32/D$12)</f>
        <v>0.58355791897947507</v>
      </c>
      <c r="G32" s="1"/>
      <c r="H32" s="1">
        <f>SUM(OSRRefH22_1x_0)</f>
        <v>18759.990000000002</v>
      </c>
      <c r="I32" s="1"/>
      <c r="J32" s="5">
        <f t="shared" ref="J32:J36" si="21">IF(H$12=0,0,H32/H$12)</f>
        <v>0.80589480575605099</v>
      </c>
      <c r="K32" s="1"/>
      <c r="L32" s="1">
        <f t="shared" ref="L32:L36" si="22">+D32-H32</f>
        <v>1323.2899999999972</v>
      </c>
      <c r="M32" s="1"/>
      <c r="N32" s="5">
        <f t="shared" ref="N32:N36" si="23">IF(H32=0,0,L32/H32)</f>
        <v>7.0537884082027602E-2</v>
      </c>
      <c r="O32" s="14"/>
      <c r="P32" s="1">
        <f>SUM(OSRRefP22_1x_0)</f>
        <v>37153.620000000003</v>
      </c>
      <c r="Q32" s="1"/>
      <c r="R32" s="5">
        <f t="shared" ref="R32:R36" si="24">IF(P$12=0,0,P32/P$12)</f>
        <v>0.70739264672730939</v>
      </c>
      <c r="S32" s="1"/>
      <c r="T32" s="1">
        <f>SUM(OSRRefT22_1x_0)</f>
        <v>28124.83</v>
      </c>
      <c r="U32" s="1"/>
      <c r="V32" s="5">
        <f t="shared" ref="V32:V36" si="25">IF(T$12=0,0,T32/T$12)</f>
        <v>1.2081911775950815</v>
      </c>
      <c r="W32" s="1"/>
      <c r="X32" s="1">
        <f t="shared" ref="X32:X36" si="26">+P32-T32</f>
        <v>9028.7900000000009</v>
      </c>
      <c r="Y32" s="1"/>
      <c r="Z32" s="5">
        <f t="shared" ref="Z32:Z36" si="27">IF(T32=0,0,X32/T32)</f>
        <v>0.32102558486575744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9766.34</v>
      </c>
      <c r="E33" s="2"/>
      <c r="F33" s="6">
        <f t="shared" si="20"/>
        <v>0.2837795940924992</v>
      </c>
      <c r="G33" s="2"/>
      <c r="H33" s="7">
        <v>6510.08</v>
      </c>
      <c r="I33" s="2"/>
      <c r="J33" s="6">
        <f t="shared" si="21"/>
        <v>0.27966111160274348</v>
      </c>
      <c r="K33" s="2"/>
      <c r="L33" s="7">
        <f t="shared" si="22"/>
        <v>3256.26</v>
      </c>
      <c r="M33" s="2"/>
      <c r="N33" s="6">
        <f t="shared" si="23"/>
        <v>0.50018740169091624</v>
      </c>
      <c r="O33" s="11"/>
      <c r="P33" s="7">
        <v>22025.68</v>
      </c>
      <c r="Q33" s="2"/>
      <c r="R33" s="6">
        <f t="shared" si="24"/>
        <v>0.41936166842339351</v>
      </c>
      <c r="S33" s="2"/>
      <c r="T33" s="7">
        <v>15786.79</v>
      </c>
      <c r="U33" s="2"/>
      <c r="V33" s="6">
        <f t="shared" si="25"/>
        <v>0.678171580078751</v>
      </c>
      <c r="W33" s="2"/>
      <c r="X33" s="7">
        <f t="shared" si="26"/>
        <v>6238.8899999999994</v>
      </c>
      <c r="Y33" s="2"/>
      <c r="Z33" s="6">
        <f t="shared" si="27"/>
        <v>0.39519687029472106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45.5</v>
      </c>
      <c r="E34" s="2"/>
      <c r="F34" s="6">
        <f t="shared" si="20"/>
        <v>1.3220890867211988E-3</v>
      </c>
      <c r="G34" s="2"/>
      <c r="H34" s="7"/>
      <c r="I34" s="2"/>
      <c r="J34" s="6">
        <f t="shared" si="21"/>
        <v>0</v>
      </c>
      <c r="K34" s="2"/>
      <c r="L34" s="7">
        <f t="shared" si="22"/>
        <v>45.5</v>
      </c>
      <c r="M34" s="2"/>
      <c r="N34" s="6">
        <f t="shared" si="23"/>
        <v>0</v>
      </c>
      <c r="O34" s="11"/>
      <c r="P34" s="7">
        <v>45.5</v>
      </c>
      <c r="Q34" s="2"/>
      <c r="R34" s="6">
        <f t="shared" si="24"/>
        <v>8.6630496371800582E-4</v>
      </c>
      <c r="S34" s="2"/>
      <c r="T34" s="7"/>
      <c r="U34" s="2"/>
      <c r="V34" s="6">
        <f t="shared" si="25"/>
        <v>0</v>
      </c>
      <c r="W34" s="2"/>
      <c r="X34" s="7">
        <f t="shared" si="26"/>
        <v>45.5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>
        <v>10271.44</v>
      </c>
      <c r="E35" s="2"/>
      <c r="F35" s="6">
        <f t="shared" si="20"/>
        <v>0.29845623580025477</v>
      </c>
      <c r="G35" s="2"/>
      <c r="H35" s="7">
        <v>11976.6</v>
      </c>
      <c r="I35" s="2"/>
      <c r="J35" s="6">
        <f t="shared" si="21"/>
        <v>0.51449279720393881</v>
      </c>
      <c r="K35" s="2"/>
      <c r="L35" s="7">
        <f t="shared" si="22"/>
        <v>-1705.1599999999999</v>
      </c>
      <c r="M35" s="2"/>
      <c r="N35" s="6">
        <f t="shared" si="23"/>
        <v>-0.14237429654492925</v>
      </c>
      <c r="O35" s="11"/>
      <c r="P35" s="7">
        <v>15082.44</v>
      </c>
      <c r="Q35" s="2"/>
      <c r="R35" s="6">
        <f t="shared" si="24"/>
        <v>0.2871646733401978</v>
      </c>
      <c r="S35" s="2"/>
      <c r="T35" s="7">
        <v>12064.73</v>
      </c>
      <c r="U35" s="2"/>
      <c r="V35" s="6">
        <f t="shared" si="25"/>
        <v>0.5182787005669619</v>
      </c>
      <c r="W35" s="2"/>
      <c r="X35" s="7">
        <f t="shared" si="26"/>
        <v>3017.7100000000009</v>
      </c>
      <c r="Y35" s="2"/>
      <c r="Z35" s="6">
        <f t="shared" si="27"/>
        <v>0.25012660871813963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0"/>
        <v>0</v>
      </c>
      <c r="G36" s="2"/>
      <c r="H36" s="7">
        <v>273.31</v>
      </c>
      <c r="I36" s="2"/>
      <c r="J36" s="6">
        <f t="shared" si="21"/>
        <v>1.1740896949368645E-2</v>
      </c>
      <c r="K36" s="2"/>
      <c r="L36" s="7">
        <f t="shared" si="22"/>
        <v>-273.31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273.31</v>
      </c>
      <c r="U36" s="2"/>
      <c r="V36" s="6">
        <f t="shared" si="25"/>
        <v>1.1740896949368645E-2</v>
      </c>
      <c r="W36" s="2"/>
      <c r="X36" s="7">
        <f t="shared" si="26"/>
        <v>-273.31</v>
      </c>
      <c r="Y36" s="2"/>
      <c r="Z36" s="6">
        <f t="shared" si="27"/>
        <v>-1</v>
      </c>
    </row>
    <row r="37" spans="1:26" s="27" customFormat="1" outlineLevel="1" collapsed="1" x14ac:dyDescent="0.25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1.87</v>
      </c>
      <c r="E37" s="1"/>
      <c r="F37" s="5">
        <f t="shared" ref="F37:F45" si="28">IF(D$12=0,0,D37/D$12)</f>
        <v>5.4336408619091034E-5</v>
      </c>
      <c r="G37" s="1"/>
      <c r="H37" s="1">
        <f>SUM(OSRRefH22_2x_0)</f>
        <v>6</v>
      </c>
      <c r="I37" s="1"/>
      <c r="J37" s="5">
        <f t="shared" ref="J37:J45" si="29">IF(H$12=0,0,H37/H$12)</f>
        <v>2.5774900916985058E-4</v>
      </c>
      <c r="K37" s="1"/>
      <c r="L37" s="1">
        <f t="shared" ref="L37:L45" si="30">+D37-H37</f>
        <v>-4.13</v>
      </c>
      <c r="M37" s="1"/>
      <c r="N37" s="5">
        <f t="shared" ref="N37:N45" si="31">IF(H37=0,0,L37/H37)</f>
        <v>-0.68833333333333335</v>
      </c>
      <c r="O37" s="14"/>
      <c r="P37" s="1">
        <f>SUM(OSRRefP22_2x_0)</f>
        <v>65.39</v>
      </c>
      <c r="Q37" s="1"/>
      <c r="R37" s="5">
        <f t="shared" ref="R37:R45" si="32">IF(P$12=0,0,P37/P$12)</f>
        <v>1.2450039907147339E-3</v>
      </c>
      <c r="S37" s="1"/>
      <c r="T37" s="1">
        <f>SUM(OSRRefT22_2x_0)</f>
        <v>246</v>
      </c>
      <c r="U37" s="1"/>
      <c r="V37" s="5">
        <f t="shared" ref="V37:V45" si="33">IF(T$12=0,0,T37/T$12)</f>
        <v>1.0567709375963874E-2</v>
      </c>
      <c r="W37" s="1"/>
      <c r="X37" s="1">
        <f t="shared" ref="X37:X45" si="34">+P37-T37</f>
        <v>-180.61</v>
      </c>
      <c r="Y37" s="1"/>
      <c r="Z37" s="5">
        <f t="shared" ref="Z37:Z45" si="35">IF(T37=0,0,X37/T37)</f>
        <v>-0.73418699186991876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7">
        <v>1.87</v>
      </c>
      <c r="E38" s="2"/>
      <c r="F38" s="6">
        <f t="shared" si="28"/>
        <v>5.4336408619091034E-5</v>
      </c>
      <c r="G38" s="2"/>
      <c r="H38" s="7">
        <v>6</v>
      </c>
      <c r="I38" s="2"/>
      <c r="J38" s="6">
        <f t="shared" si="29"/>
        <v>2.5774900916985058E-4</v>
      </c>
      <c r="K38" s="2"/>
      <c r="L38" s="7">
        <f t="shared" si="30"/>
        <v>-4.13</v>
      </c>
      <c r="M38" s="2"/>
      <c r="N38" s="6">
        <f t="shared" si="31"/>
        <v>-0.68833333333333335</v>
      </c>
      <c r="O38" s="11"/>
      <c r="P38" s="7">
        <v>65.39</v>
      </c>
      <c r="Q38" s="2"/>
      <c r="R38" s="6">
        <f t="shared" si="32"/>
        <v>1.2450039907147339E-3</v>
      </c>
      <c r="S38" s="2"/>
      <c r="T38" s="7">
        <v>246</v>
      </c>
      <c r="U38" s="2"/>
      <c r="V38" s="6">
        <f t="shared" si="33"/>
        <v>1.0567709375963874E-2</v>
      </c>
      <c r="W38" s="2"/>
      <c r="X38" s="7">
        <f t="shared" si="34"/>
        <v>-180.61</v>
      </c>
      <c r="Y38" s="2"/>
      <c r="Z38" s="6">
        <f t="shared" si="35"/>
        <v>-0.73418699186991876</v>
      </c>
    </row>
    <row r="39" spans="1:26" s="27" customFormat="1" outlineLevel="1" collapsed="1" x14ac:dyDescent="0.25">
      <c r="A39" s="28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13.71</v>
      </c>
      <c r="E39" s="1"/>
      <c r="F39" s="5">
        <f t="shared" si="28"/>
        <v>3.9837014019665138E-4</v>
      </c>
      <c r="G39" s="1"/>
      <c r="H39" s="1">
        <f>SUM(OSRRefH22_3x_0)</f>
        <v>0.25</v>
      </c>
      <c r="I39" s="1"/>
      <c r="J39" s="5">
        <f t="shared" si="29"/>
        <v>1.0739542048743774E-5</v>
      </c>
      <c r="K39" s="1"/>
      <c r="L39" s="1">
        <f t="shared" si="30"/>
        <v>13.46</v>
      </c>
      <c r="M39" s="1"/>
      <c r="N39" s="5">
        <f t="shared" si="31"/>
        <v>53.84</v>
      </c>
      <c r="O39" s="14"/>
      <c r="P39" s="1">
        <f>SUM(OSRRefP22_3x_0)</f>
        <v>6.16</v>
      </c>
      <c r="Q39" s="1"/>
      <c r="R39" s="5">
        <f t="shared" si="32"/>
        <v>1.172843643187454E-4</v>
      </c>
      <c r="S39" s="1"/>
      <c r="T39" s="1">
        <f>SUM(OSRRefT22_3x_0)</f>
        <v>0.25</v>
      </c>
      <c r="U39" s="1"/>
      <c r="V39" s="5">
        <f t="shared" si="33"/>
        <v>1.0739542048743774E-5</v>
      </c>
      <c r="W39" s="1"/>
      <c r="X39" s="1">
        <f t="shared" si="34"/>
        <v>5.91</v>
      </c>
      <c r="Y39" s="1"/>
      <c r="Z39" s="5">
        <f t="shared" si="35"/>
        <v>23.64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7">
        <v>13.71</v>
      </c>
      <c r="E40" s="2"/>
      <c r="F40" s="6">
        <f t="shared" si="28"/>
        <v>3.9837014019665138E-4</v>
      </c>
      <c r="G40" s="2"/>
      <c r="H40" s="7">
        <v>0.25</v>
      </c>
      <c r="I40" s="2"/>
      <c r="J40" s="6">
        <f t="shared" si="29"/>
        <v>1.0739542048743774E-5</v>
      </c>
      <c r="K40" s="2"/>
      <c r="L40" s="7">
        <f t="shared" si="30"/>
        <v>13.46</v>
      </c>
      <c r="M40" s="2"/>
      <c r="N40" s="6">
        <f t="shared" si="31"/>
        <v>53.84</v>
      </c>
      <c r="O40" s="11"/>
      <c r="P40" s="7">
        <v>6.16</v>
      </c>
      <c r="Q40" s="2"/>
      <c r="R40" s="6">
        <f t="shared" si="32"/>
        <v>1.172843643187454E-4</v>
      </c>
      <c r="S40" s="2"/>
      <c r="T40" s="7">
        <v>0.25</v>
      </c>
      <c r="U40" s="2"/>
      <c r="V40" s="6">
        <f t="shared" si="33"/>
        <v>1.0739542048743774E-5</v>
      </c>
      <c r="W40" s="2"/>
      <c r="X40" s="7">
        <f t="shared" si="34"/>
        <v>5.91</v>
      </c>
      <c r="Y40" s="2"/>
      <c r="Z40" s="6">
        <f t="shared" si="35"/>
        <v>23.64</v>
      </c>
    </row>
    <row r="41" spans="1:26" s="27" customFormat="1" outlineLevel="1" collapsed="1" x14ac:dyDescent="0.25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900.71</v>
      </c>
      <c r="E41" s="1"/>
      <c r="F41" s="5">
        <f t="shared" si="28"/>
        <v>2.6171843105508814E-2</v>
      </c>
      <c r="G41" s="1"/>
      <c r="H41" s="1">
        <f>SUM(OSRRefH22_4x_0)</f>
        <v>630.64</v>
      </c>
      <c r="I41" s="1"/>
      <c r="J41" s="5">
        <f t="shared" si="29"/>
        <v>2.7091139190479094E-2</v>
      </c>
      <c r="K41" s="1"/>
      <c r="L41" s="1">
        <f t="shared" si="30"/>
        <v>270.07000000000005</v>
      </c>
      <c r="M41" s="1"/>
      <c r="N41" s="5">
        <f t="shared" si="31"/>
        <v>0.42824749460865164</v>
      </c>
      <c r="O41" s="14"/>
      <c r="P41" s="1">
        <f>SUM(OSRRefP22_4x_0)</f>
        <v>1394.36</v>
      </c>
      <c r="Q41" s="1"/>
      <c r="R41" s="5">
        <f t="shared" si="32"/>
        <v>2.654815360900744E-2</v>
      </c>
      <c r="S41" s="1"/>
      <c r="T41" s="1">
        <f>SUM(OSRRefT22_4x_0)</f>
        <v>691.54</v>
      </c>
      <c r="U41" s="1"/>
      <c r="V41" s="5">
        <f t="shared" si="33"/>
        <v>2.9707291633553078E-2</v>
      </c>
      <c r="W41" s="1"/>
      <c r="X41" s="1">
        <f t="shared" si="34"/>
        <v>702.81999999999994</v>
      </c>
      <c r="Y41" s="1"/>
      <c r="Z41" s="5">
        <f t="shared" si="35"/>
        <v>1.0163114208867166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7">
        <v>900.71</v>
      </c>
      <c r="E42" s="2"/>
      <c r="F42" s="6">
        <f t="shared" si="28"/>
        <v>2.6171843105508814E-2</v>
      </c>
      <c r="G42" s="2"/>
      <c r="H42" s="7">
        <v>630.64</v>
      </c>
      <c r="I42" s="2"/>
      <c r="J42" s="6">
        <f t="shared" si="29"/>
        <v>2.7091139190479094E-2</v>
      </c>
      <c r="K42" s="2"/>
      <c r="L42" s="7">
        <f t="shared" si="30"/>
        <v>270.07000000000005</v>
      </c>
      <c r="M42" s="2"/>
      <c r="N42" s="6">
        <f t="shared" si="31"/>
        <v>0.42824749460865164</v>
      </c>
      <c r="O42" s="11"/>
      <c r="P42" s="7">
        <v>1394.36</v>
      </c>
      <c r="Q42" s="2"/>
      <c r="R42" s="6">
        <f t="shared" si="32"/>
        <v>2.654815360900744E-2</v>
      </c>
      <c r="S42" s="2"/>
      <c r="T42" s="7">
        <v>691.54</v>
      </c>
      <c r="U42" s="2"/>
      <c r="V42" s="6">
        <f t="shared" si="33"/>
        <v>2.9707291633553078E-2</v>
      </c>
      <c r="W42" s="2"/>
      <c r="X42" s="7">
        <f t="shared" si="34"/>
        <v>702.81999999999994</v>
      </c>
      <c r="Y42" s="2"/>
      <c r="Z42" s="6">
        <f t="shared" si="35"/>
        <v>1.0163114208867166</v>
      </c>
    </row>
    <row r="43" spans="1:26" s="27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5612.57</v>
      </c>
      <c r="E43" s="1"/>
      <c r="F43" s="5">
        <f t="shared" si="28"/>
        <v>0.16308390209799559</v>
      </c>
      <c r="G43" s="1"/>
      <c r="H43" s="1">
        <f>SUM(OSRRefH22_5x_0)</f>
        <v>1313</v>
      </c>
      <c r="I43" s="1"/>
      <c r="J43" s="5">
        <f t="shared" si="29"/>
        <v>5.6404074840002302E-2</v>
      </c>
      <c r="K43" s="1"/>
      <c r="L43" s="1">
        <f t="shared" si="30"/>
        <v>4299.57</v>
      </c>
      <c r="M43" s="1"/>
      <c r="N43" s="5">
        <f t="shared" si="31"/>
        <v>3.2746153846153843</v>
      </c>
      <c r="O43" s="14"/>
      <c r="P43" s="1">
        <f>SUM(OSRRefP22_5x_0)</f>
        <v>11225.14</v>
      </c>
      <c r="Q43" s="1"/>
      <c r="R43" s="5">
        <f t="shared" si="32"/>
        <v>0.21372295605339636</v>
      </c>
      <c r="S43" s="1"/>
      <c r="T43" s="1">
        <f>SUM(OSRRefT22_5x_0)</f>
        <v>2626</v>
      </c>
      <c r="U43" s="1"/>
      <c r="V43" s="5">
        <f t="shared" si="33"/>
        <v>0.1128081496800046</v>
      </c>
      <c r="W43" s="1"/>
      <c r="X43" s="1">
        <f t="shared" si="34"/>
        <v>8599.14</v>
      </c>
      <c r="Y43" s="1"/>
      <c r="Z43" s="5">
        <f t="shared" si="35"/>
        <v>3.2746153846153843</v>
      </c>
    </row>
    <row r="44" spans="1:26" s="24" customFormat="1" hidden="1" outlineLevel="2" x14ac:dyDescent="0.25">
      <c r="A44" s="29"/>
      <c r="B44" s="11" t="str">
        <f>CONCATENATE("          ", "6321", " - ", "BUILDING DEPRECIATION")</f>
        <v xml:space="preserve">          6321 - BUILDING DEPRECIATION</v>
      </c>
      <c r="C44" s="11"/>
      <c r="D44" s="7">
        <v>4626.5</v>
      </c>
      <c r="E44" s="2"/>
      <c r="F44" s="6">
        <f t="shared" si="28"/>
        <v>0.13443176175199179</v>
      </c>
      <c r="G44" s="2"/>
      <c r="H44" s="7">
        <v>326.93</v>
      </c>
      <c r="I44" s="2"/>
      <c r="J44" s="6">
        <f t="shared" si="29"/>
        <v>1.4044313927983209E-2</v>
      </c>
      <c r="K44" s="2"/>
      <c r="L44" s="7">
        <f t="shared" si="30"/>
        <v>4299.57</v>
      </c>
      <c r="M44" s="2"/>
      <c r="N44" s="6">
        <f t="shared" si="31"/>
        <v>13.151347383231883</v>
      </c>
      <c r="O44" s="11"/>
      <c r="P44" s="7">
        <v>9253</v>
      </c>
      <c r="Q44" s="2"/>
      <c r="R44" s="6">
        <f t="shared" si="32"/>
        <v>0.17617406218203752</v>
      </c>
      <c r="S44" s="2"/>
      <c r="T44" s="7">
        <v>653.86</v>
      </c>
      <c r="U44" s="2"/>
      <c r="V44" s="6">
        <f t="shared" si="33"/>
        <v>2.8088627855966417E-2</v>
      </c>
      <c r="W44" s="2"/>
      <c r="X44" s="7">
        <f t="shared" si="34"/>
        <v>8599.14</v>
      </c>
      <c r="Y44" s="2"/>
      <c r="Z44" s="6">
        <f t="shared" si="35"/>
        <v>13.151347383231883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986.07</v>
      </c>
      <c r="E45" s="2"/>
      <c r="F45" s="6">
        <f t="shared" si="28"/>
        <v>2.8652140346003795E-2</v>
      </c>
      <c r="G45" s="2"/>
      <c r="H45" s="7">
        <v>986.07</v>
      </c>
      <c r="I45" s="2"/>
      <c r="J45" s="6">
        <f t="shared" si="29"/>
        <v>4.2359760912019095E-2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>
        <v>1972.14</v>
      </c>
      <c r="Q45" s="2"/>
      <c r="R45" s="6">
        <f t="shared" si="32"/>
        <v>3.754889387135886E-2</v>
      </c>
      <c r="S45" s="2"/>
      <c r="T45" s="7">
        <v>1972.14</v>
      </c>
      <c r="U45" s="2"/>
      <c r="V45" s="6">
        <f t="shared" si="33"/>
        <v>8.4719521824038191E-2</v>
      </c>
      <c r="W45" s="2"/>
      <c r="X45" s="7">
        <f t="shared" si="34"/>
        <v>0</v>
      </c>
      <c r="Y45" s="2"/>
      <c r="Z45" s="6">
        <f t="shared" si="35"/>
        <v>0</v>
      </c>
    </row>
    <row r="46" spans="1:26" s="27" customFormat="1" outlineLevel="1" collapsed="1" x14ac:dyDescent="0.25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424.06</v>
      </c>
      <c r="E46" s="1"/>
      <c r="F46" s="5">
        <f t="shared" ref="F46:F54" si="36">IF(D$12=0,0,D46/D$12)</f>
        <v>1.2321870288241573E-2</v>
      </c>
      <c r="G46" s="1"/>
      <c r="H46" s="1">
        <f>SUM(OSRRefH22_6x_0)</f>
        <v>118.91</v>
      </c>
      <c r="I46" s="1"/>
      <c r="J46" s="5">
        <f t="shared" ref="J46:J54" si="37">IF(H$12=0,0,H46/H$12)</f>
        <v>5.1081557800644892E-3</v>
      </c>
      <c r="K46" s="1"/>
      <c r="L46" s="1">
        <f t="shared" ref="L46:L54" si="38">+D46-H46</f>
        <v>305.14999999999998</v>
      </c>
      <c r="M46" s="1"/>
      <c r="N46" s="5">
        <f t="shared" ref="N46:N54" si="39">IF(H46=0,0,L46/H46)</f>
        <v>2.5662265579009333</v>
      </c>
      <c r="O46" s="14"/>
      <c r="P46" s="1">
        <f>SUM(OSRRefP22_6x_0)</f>
        <v>832.71</v>
      </c>
      <c r="Q46" s="1"/>
      <c r="R46" s="5">
        <f t="shared" ref="R46:R54" si="40">IF(P$12=0,0,P46/P$12)</f>
        <v>1.5854523216211443E-2</v>
      </c>
      <c r="S46" s="1"/>
      <c r="T46" s="1">
        <f>SUM(OSRRefT22_6x_0)</f>
        <v>237.82</v>
      </c>
      <c r="U46" s="1"/>
      <c r="V46" s="5">
        <f t="shared" ref="V46:V54" si="41">IF(T$12=0,0,T46/T$12)</f>
        <v>1.0216311560128978E-2</v>
      </c>
      <c r="W46" s="1"/>
      <c r="X46" s="1">
        <f t="shared" ref="X46:X54" si="42">+P46-T46</f>
        <v>594.8900000000001</v>
      </c>
      <c r="Y46" s="1"/>
      <c r="Z46" s="5">
        <f t="shared" ref="Z46:Z54" si="43">IF(T46=0,0,X46/T46)</f>
        <v>2.5014296526784969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7">
        <v>424.06</v>
      </c>
      <c r="E47" s="2"/>
      <c r="F47" s="6">
        <f t="shared" si="36"/>
        <v>1.2321870288241573E-2</v>
      </c>
      <c r="G47" s="2"/>
      <c r="H47" s="7">
        <v>118.91</v>
      </c>
      <c r="I47" s="2"/>
      <c r="J47" s="6">
        <f t="shared" si="37"/>
        <v>5.1081557800644892E-3</v>
      </c>
      <c r="K47" s="2"/>
      <c r="L47" s="7">
        <f t="shared" si="38"/>
        <v>305.14999999999998</v>
      </c>
      <c r="M47" s="2"/>
      <c r="N47" s="6">
        <f t="shared" si="39"/>
        <v>2.5662265579009333</v>
      </c>
      <c r="O47" s="11"/>
      <c r="P47" s="7">
        <v>832.71</v>
      </c>
      <c r="Q47" s="2"/>
      <c r="R47" s="6">
        <f t="shared" si="40"/>
        <v>1.5854523216211443E-2</v>
      </c>
      <c r="S47" s="2"/>
      <c r="T47" s="7">
        <v>237.82</v>
      </c>
      <c r="U47" s="2"/>
      <c r="V47" s="6">
        <f t="shared" si="41"/>
        <v>1.0216311560128978E-2</v>
      </c>
      <c r="W47" s="2"/>
      <c r="X47" s="7">
        <f t="shared" si="42"/>
        <v>594.8900000000001</v>
      </c>
      <c r="Y47" s="2"/>
      <c r="Z47" s="6">
        <f t="shared" si="43"/>
        <v>2.5014296526784969</v>
      </c>
    </row>
    <row r="48" spans="1:26" s="27" customFormat="1" outlineLevel="1" collapsed="1" x14ac:dyDescent="0.25">
      <c r="A48" s="28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615.51</v>
      </c>
      <c r="E48" s="1"/>
      <c r="F48" s="5">
        <f t="shared" si="36"/>
        <v>1.7884814368522309E-2</v>
      </c>
      <c r="G48" s="1"/>
      <c r="H48" s="1">
        <f>SUM(OSRRefH22_7x_0)</f>
        <v>345.74</v>
      </c>
      <c r="I48" s="1"/>
      <c r="J48" s="5">
        <f t="shared" si="37"/>
        <v>1.4852357071730691E-2</v>
      </c>
      <c r="K48" s="1"/>
      <c r="L48" s="1">
        <f t="shared" si="38"/>
        <v>269.77</v>
      </c>
      <c r="M48" s="1"/>
      <c r="N48" s="5">
        <f t="shared" si="39"/>
        <v>0.78026840978770162</v>
      </c>
      <c r="O48" s="14"/>
      <c r="P48" s="1">
        <f>SUM(OSRRefP22_7x_0)</f>
        <v>2393.5</v>
      </c>
      <c r="Q48" s="1"/>
      <c r="R48" s="5">
        <f t="shared" si="40"/>
        <v>4.5571449025473554E-2</v>
      </c>
      <c r="S48" s="1"/>
      <c r="T48" s="1">
        <f>SUM(OSRRefT22_7x_0)</f>
        <v>1379.94</v>
      </c>
      <c r="U48" s="1"/>
      <c r="V48" s="5">
        <f t="shared" si="41"/>
        <v>5.9279694618973942E-2</v>
      </c>
      <c r="W48" s="1"/>
      <c r="X48" s="1">
        <f t="shared" si="42"/>
        <v>1013.56</v>
      </c>
      <c r="Y48" s="1"/>
      <c r="Z48" s="5">
        <f t="shared" si="43"/>
        <v>0.73449570271171205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>
        <v>615.51</v>
      </c>
      <c r="E49" s="2"/>
      <c r="F49" s="6">
        <f t="shared" si="36"/>
        <v>1.7884814368522309E-2</v>
      </c>
      <c r="G49" s="2"/>
      <c r="H49" s="7">
        <v>345.74</v>
      </c>
      <c r="I49" s="2"/>
      <c r="J49" s="6">
        <f t="shared" si="37"/>
        <v>1.4852357071730691E-2</v>
      </c>
      <c r="K49" s="2"/>
      <c r="L49" s="7">
        <f t="shared" si="38"/>
        <v>269.77</v>
      </c>
      <c r="M49" s="2"/>
      <c r="N49" s="6">
        <f t="shared" si="39"/>
        <v>0.78026840978770162</v>
      </c>
      <c r="O49" s="11"/>
      <c r="P49" s="7">
        <v>2393.5</v>
      </c>
      <c r="Q49" s="2"/>
      <c r="R49" s="6">
        <f t="shared" si="40"/>
        <v>4.5571449025473554E-2</v>
      </c>
      <c r="S49" s="2"/>
      <c r="T49" s="7">
        <v>1379.94</v>
      </c>
      <c r="U49" s="2"/>
      <c r="V49" s="6">
        <f t="shared" si="41"/>
        <v>5.9279694618973942E-2</v>
      </c>
      <c r="W49" s="2"/>
      <c r="X49" s="7">
        <f t="shared" si="42"/>
        <v>1013.56</v>
      </c>
      <c r="Y49" s="2"/>
      <c r="Z49" s="6">
        <f t="shared" si="43"/>
        <v>0.73449570271171205</v>
      </c>
    </row>
    <row r="50" spans="1:26" s="27" customFormat="1" outlineLevel="1" collapsed="1" x14ac:dyDescent="0.25">
      <c r="A50" s="28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SUM(OSRRefD22_8x_0)</f>
        <v>1850</v>
      </c>
      <c r="E50" s="1"/>
      <c r="F50" s="5">
        <f t="shared" si="36"/>
        <v>5.3755270558993803E-2</v>
      </c>
      <c r="G50" s="1"/>
      <c r="H50" s="1">
        <f>SUM(OSRRefH22_8x_0)</f>
        <v>1850</v>
      </c>
      <c r="I50" s="1"/>
      <c r="J50" s="5">
        <f t="shared" si="37"/>
        <v>7.9472611160703935E-2</v>
      </c>
      <c r="K50" s="1"/>
      <c r="L50" s="1">
        <f t="shared" si="38"/>
        <v>0</v>
      </c>
      <c r="M50" s="1"/>
      <c r="N50" s="5">
        <f t="shared" si="39"/>
        <v>0</v>
      </c>
      <c r="O50" s="14"/>
      <c r="P50" s="1">
        <f>SUM(OSRRefP22_8x_0)</f>
        <v>3700</v>
      </c>
      <c r="Q50" s="1"/>
      <c r="R50" s="5">
        <f t="shared" si="40"/>
        <v>7.0446777269376287E-2</v>
      </c>
      <c r="S50" s="1"/>
      <c r="T50" s="1">
        <f>SUM(OSRRefT22_8x_0)</f>
        <v>3700</v>
      </c>
      <c r="U50" s="1"/>
      <c r="V50" s="5">
        <f t="shared" si="41"/>
        <v>0.15894522232140787</v>
      </c>
      <c r="W50" s="1"/>
      <c r="X50" s="1">
        <f t="shared" si="42"/>
        <v>0</v>
      </c>
      <c r="Y50" s="1"/>
      <c r="Z50" s="5">
        <f t="shared" si="43"/>
        <v>0</v>
      </c>
    </row>
    <row r="51" spans="1:26" s="24" customFormat="1" hidden="1" outlineLevel="2" x14ac:dyDescent="0.25">
      <c r="A51" s="29"/>
      <c r="B51" s="11" t="str">
        <f>CONCATENATE("          ", "6273", " - ", "RENT")</f>
        <v xml:space="preserve">          6273 - RENT</v>
      </c>
      <c r="C51" s="11"/>
      <c r="D51" s="7">
        <v>1850</v>
      </c>
      <c r="E51" s="2"/>
      <c r="F51" s="6">
        <f t="shared" si="36"/>
        <v>5.3755270558993803E-2</v>
      </c>
      <c r="G51" s="2"/>
      <c r="H51" s="7">
        <v>1850</v>
      </c>
      <c r="I51" s="2"/>
      <c r="J51" s="6">
        <f t="shared" si="37"/>
        <v>7.9472611160703935E-2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>
        <v>3700</v>
      </c>
      <c r="Q51" s="2"/>
      <c r="R51" s="6">
        <f t="shared" si="40"/>
        <v>7.0446777269376287E-2</v>
      </c>
      <c r="S51" s="2"/>
      <c r="T51" s="7">
        <v>3700</v>
      </c>
      <c r="U51" s="2"/>
      <c r="V51" s="6">
        <f t="shared" si="41"/>
        <v>0.15894522232140787</v>
      </c>
      <c r="W51" s="2"/>
      <c r="X51" s="7">
        <f t="shared" si="42"/>
        <v>0</v>
      </c>
      <c r="Y51" s="2"/>
      <c r="Z51" s="6">
        <f t="shared" si="43"/>
        <v>0</v>
      </c>
    </row>
    <row r="52" spans="1:26" s="27" customFormat="1" outlineLevel="1" collapsed="1" x14ac:dyDescent="0.25">
      <c r="A52" s="28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SUM(OSRRefD22_9x_0)</f>
        <v>3395.75</v>
      </c>
      <c r="E52" s="1"/>
      <c r="F52" s="5">
        <f t="shared" si="36"/>
        <v>9.8669978378758488E-2</v>
      </c>
      <c r="G52" s="1"/>
      <c r="H52" s="1">
        <f>SUM(OSRRefH22_9x_0)</f>
        <v>3846.31</v>
      </c>
      <c r="I52" s="1"/>
      <c r="J52" s="5">
        <f t="shared" si="37"/>
        <v>0.16523043191001466</v>
      </c>
      <c r="K52" s="1"/>
      <c r="L52" s="1">
        <f t="shared" si="38"/>
        <v>-450.55999999999995</v>
      </c>
      <c r="M52" s="1"/>
      <c r="N52" s="5">
        <f t="shared" si="39"/>
        <v>-0.11714084408173027</v>
      </c>
      <c r="O52" s="14"/>
      <c r="P52" s="1">
        <f>SUM(OSRRefP22_9x_0)</f>
        <v>6159</v>
      </c>
      <c r="Q52" s="1"/>
      <c r="R52" s="5">
        <f t="shared" si="40"/>
        <v>0.11726532464921313</v>
      </c>
      <c r="S52" s="1"/>
      <c r="T52" s="1">
        <f>SUM(OSRRefT22_9x_0)</f>
        <v>5645.3099999999995</v>
      </c>
      <c r="U52" s="1"/>
      <c r="V52" s="5">
        <f t="shared" si="41"/>
        <v>0.24251217649277484</v>
      </c>
      <c r="W52" s="1"/>
      <c r="X52" s="1">
        <f t="shared" si="42"/>
        <v>513.69000000000051</v>
      </c>
      <c r="Y52" s="1"/>
      <c r="Z52" s="5">
        <f t="shared" si="43"/>
        <v>9.099411724068307E-2</v>
      </c>
    </row>
    <row r="53" spans="1:26" s="24" customFormat="1" hidden="1" outlineLevel="2" x14ac:dyDescent="0.25">
      <c r="A53" s="29"/>
      <c r="B53" s="11" t="str">
        <f>CONCATENATE("          ", "6373", " - ", "MAINTENANCE CONTRACTS")</f>
        <v xml:space="preserve">          6373 - MAINTENANCE CONTRACTS</v>
      </c>
      <c r="C53" s="11"/>
      <c r="D53" s="7">
        <v>1000</v>
      </c>
      <c r="E53" s="2"/>
      <c r="F53" s="6">
        <f t="shared" si="36"/>
        <v>2.9056903004861512E-2</v>
      </c>
      <c r="G53" s="2"/>
      <c r="H53" s="7">
        <v>1799</v>
      </c>
      <c r="I53" s="2"/>
      <c r="J53" s="6">
        <f t="shared" si="37"/>
        <v>7.7281744582760201E-2</v>
      </c>
      <c r="K53" s="2"/>
      <c r="L53" s="7">
        <f t="shared" si="38"/>
        <v>-799</v>
      </c>
      <c r="M53" s="2"/>
      <c r="N53" s="6">
        <f t="shared" si="39"/>
        <v>-0.4441356309060589</v>
      </c>
      <c r="O53" s="11"/>
      <c r="P53" s="7">
        <v>2000</v>
      </c>
      <c r="Q53" s="2"/>
      <c r="R53" s="6">
        <f t="shared" si="40"/>
        <v>3.8079339064527727E-2</v>
      </c>
      <c r="S53" s="2"/>
      <c r="T53" s="7">
        <v>3598</v>
      </c>
      <c r="U53" s="2"/>
      <c r="V53" s="6">
        <f t="shared" si="41"/>
        <v>0.1545634891655204</v>
      </c>
      <c r="W53" s="2"/>
      <c r="X53" s="7">
        <f t="shared" si="42"/>
        <v>-1598</v>
      </c>
      <c r="Y53" s="2"/>
      <c r="Z53" s="6">
        <f t="shared" si="43"/>
        <v>-0.4441356309060589</v>
      </c>
    </row>
    <row r="54" spans="1:26" s="24" customFormat="1" hidden="1" outlineLevel="2" x14ac:dyDescent="0.25">
      <c r="A54" s="29"/>
      <c r="B54" s="11" t="str">
        <f>CONCATENATE("          ", "6375", " - ", "OUTSIDE REPAIRS &amp; MAINTENANCE")</f>
        <v xml:space="preserve">          6375 - OUTSIDE REPAIRS &amp; MAINTENANCE</v>
      </c>
      <c r="C54" s="11"/>
      <c r="D54" s="7">
        <v>2395.75</v>
      </c>
      <c r="E54" s="2"/>
      <c r="F54" s="6">
        <f t="shared" si="36"/>
        <v>6.9613075373896965E-2</v>
      </c>
      <c r="G54" s="2"/>
      <c r="H54" s="7">
        <v>2047.31</v>
      </c>
      <c r="I54" s="2"/>
      <c r="J54" s="6">
        <f t="shared" si="37"/>
        <v>8.7948687327254471E-2</v>
      </c>
      <c r="K54" s="2"/>
      <c r="L54" s="7">
        <f t="shared" si="38"/>
        <v>348.44000000000005</v>
      </c>
      <c r="M54" s="2"/>
      <c r="N54" s="6">
        <f t="shared" si="39"/>
        <v>0.17019405952200695</v>
      </c>
      <c r="O54" s="11"/>
      <c r="P54" s="7">
        <v>4159</v>
      </c>
      <c r="Q54" s="2"/>
      <c r="R54" s="6">
        <f t="shared" si="40"/>
        <v>7.9185985584685412E-2</v>
      </c>
      <c r="S54" s="2"/>
      <c r="T54" s="7">
        <v>2047.31</v>
      </c>
      <c r="U54" s="2"/>
      <c r="V54" s="6">
        <f t="shared" si="41"/>
        <v>8.7948687327254471E-2</v>
      </c>
      <c r="W54" s="2"/>
      <c r="X54" s="7">
        <f t="shared" si="42"/>
        <v>2111.69</v>
      </c>
      <c r="Y54" s="2"/>
      <c r="Z54" s="6">
        <f t="shared" si="43"/>
        <v>1.0314461415222902</v>
      </c>
    </row>
    <row r="55" spans="1:26" s="27" customFormat="1" outlineLevel="1" collapsed="1" x14ac:dyDescent="0.25">
      <c r="A55" s="28"/>
      <c r="B55" s="14" t="str">
        <f>CONCATENATE("     ","Royalty &amp; Commissions                             ")</f>
        <v xml:space="preserve">     Royalty &amp; Commissions                             </v>
      </c>
      <c r="C55" s="14"/>
      <c r="D55" s="1">
        <f>SUM(OSRRefD22_10x_0)</f>
        <v>5972.96</v>
      </c>
      <c r="E55" s="1"/>
      <c r="F55" s="5">
        <f t="shared" ref="F55:F60" si="44">IF(D$12=0,0,D55/D$12)</f>
        <v>0.17355571937191763</v>
      </c>
      <c r="G55" s="1"/>
      <c r="H55" s="1">
        <f>SUM(OSRRefH22_10x_0)</f>
        <v>1862.24</v>
      </c>
      <c r="I55" s="1"/>
      <c r="J55" s="5">
        <f t="shared" ref="J55:J60" si="45">IF(H$12=0,0,H55/H$12)</f>
        <v>7.9998419139410429E-2</v>
      </c>
      <c r="K55" s="1"/>
      <c r="L55" s="1">
        <f t="shared" ref="L55:L60" si="46">+D55-H55</f>
        <v>4110.72</v>
      </c>
      <c r="M55" s="1"/>
      <c r="N55" s="5">
        <f t="shared" ref="N55:N60" si="47">IF(H55=0,0,L55/H55)</f>
        <v>2.2074061345476417</v>
      </c>
      <c r="O55" s="14"/>
      <c r="P55" s="1">
        <f>SUM(OSRRefP22_10x_0)</f>
        <v>7421.52</v>
      </c>
      <c r="Q55" s="1"/>
      <c r="R55" s="5">
        <f t="shared" ref="R55:R60" si="48">IF(P$12=0,0,P55/P$12)</f>
        <v>0.1413032882270869</v>
      </c>
      <c r="S55" s="1"/>
      <c r="T55" s="1">
        <f>SUM(OSRRefT22_10x_0)</f>
        <v>1862.24</v>
      </c>
      <c r="U55" s="1"/>
      <c r="V55" s="5">
        <f t="shared" ref="V55:V60" si="49">IF(T$12=0,0,T55/T$12)</f>
        <v>7.9998419139410429E-2</v>
      </c>
      <c r="W55" s="1"/>
      <c r="X55" s="1">
        <f t="shared" ref="X55:X60" si="50">+P55-T55</f>
        <v>5559.2800000000007</v>
      </c>
      <c r="Y55" s="1"/>
      <c r="Z55" s="5">
        <f t="shared" ref="Z55:Z60" si="51">IF(T55=0,0,X55/T55)</f>
        <v>2.9852650571354933</v>
      </c>
    </row>
    <row r="56" spans="1:26" s="24" customFormat="1" hidden="1" outlineLevel="2" x14ac:dyDescent="0.25">
      <c r="A56" s="29"/>
      <c r="B56" s="11" t="str">
        <f>CONCATENATE("          ", "6259", " - ", "ROYALTY &amp; COMMISSIONS")</f>
        <v xml:space="preserve">          6259 - ROYALTY &amp; COMMISSIONS</v>
      </c>
      <c r="C56" s="11"/>
      <c r="D56" s="7">
        <v>5972.96</v>
      </c>
      <c r="E56" s="2"/>
      <c r="F56" s="6">
        <f t="shared" si="44"/>
        <v>0.17355571937191763</v>
      </c>
      <c r="G56" s="2"/>
      <c r="H56" s="7">
        <v>1862.24</v>
      </c>
      <c r="I56" s="2"/>
      <c r="J56" s="6">
        <f t="shared" si="45"/>
        <v>7.9998419139410429E-2</v>
      </c>
      <c r="K56" s="2"/>
      <c r="L56" s="7">
        <f t="shared" si="46"/>
        <v>4110.72</v>
      </c>
      <c r="M56" s="2"/>
      <c r="N56" s="6">
        <f t="shared" si="47"/>
        <v>2.2074061345476417</v>
      </c>
      <c r="O56" s="11"/>
      <c r="P56" s="7">
        <v>7421.52</v>
      </c>
      <c r="Q56" s="2"/>
      <c r="R56" s="6">
        <f t="shared" si="48"/>
        <v>0.1413032882270869</v>
      </c>
      <c r="S56" s="2"/>
      <c r="T56" s="7">
        <v>1862.24</v>
      </c>
      <c r="U56" s="2"/>
      <c r="V56" s="6">
        <f t="shared" si="49"/>
        <v>7.9998419139410429E-2</v>
      </c>
      <c r="W56" s="2"/>
      <c r="X56" s="7">
        <f t="shared" si="50"/>
        <v>5559.2800000000007</v>
      </c>
      <c r="Y56" s="2"/>
      <c r="Z56" s="6">
        <f t="shared" si="51"/>
        <v>2.9852650571354933</v>
      </c>
    </row>
    <row r="57" spans="1:26" s="27" customFormat="1" outlineLevel="1" collapsed="1" x14ac:dyDescent="0.25">
      <c r="A57" s="28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308.96999999999997</v>
      </c>
      <c r="E57" s="1"/>
      <c r="F57" s="5">
        <f t="shared" si="44"/>
        <v>8.9777113214120612E-3</v>
      </c>
      <c r="G57" s="1"/>
      <c r="H57" s="1">
        <f>SUM(OSRRefH22_11x_0)</f>
        <v>194.11</v>
      </c>
      <c r="I57" s="1"/>
      <c r="J57" s="5">
        <f t="shared" si="45"/>
        <v>8.3386100283266169E-3</v>
      </c>
      <c r="K57" s="1"/>
      <c r="L57" s="1">
        <f t="shared" si="46"/>
        <v>114.85999999999996</v>
      </c>
      <c r="M57" s="1"/>
      <c r="N57" s="5">
        <f t="shared" si="47"/>
        <v>0.5917263407346347</v>
      </c>
      <c r="O57" s="14"/>
      <c r="P57" s="1">
        <f>SUM(OSRRefP22_11x_0)</f>
        <v>711.93999999999994</v>
      </c>
      <c r="Q57" s="1"/>
      <c r="R57" s="5">
        <f t="shared" si="48"/>
        <v>1.3555102326799934E-2</v>
      </c>
      <c r="S57" s="1"/>
      <c r="T57" s="1">
        <f>SUM(OSRRefT22_11x_0)</f>
        <v>265.11</v>
      </c>
      <c r="U57" s="1"/>
      <c r="V57" s="5">
        <f t="shared" si="49"/>
        <v>1.138863997016985E-2</v>
      </c>
      <c r="W57" s="1"/>
      <c r="X57" s="1">
        <f t="shared" si="50"/>
        <v>446.82999999999993</v>
      </c>
      <c r="Y57" s="1"/>
      <c r="Z57" s="5">
        <f t="shared" si="51"/>
        <v>1.6854513220927159</v>
      </c>
    </row>
    <row r="58" spans="1:26" s="24" customFormat="1" hidden="1" outlineLevel="2" x14ac:dyDescent="0.25">
      <c r="A58" s="29"/>
      <c r="B58" s="11" t="str">
        <f>CONCATENATE("          ", "6282", " - ", "JANITORIAL/EXTERMINATOR EXPENS")</f>
        <v xml:space="preserve">          6282 - JANITORIAL/EXTERMINATOR EXPENS</v>
      </c>
      <c r="C58" s="11"/>
      <c r="D58" s="7">
        <v>96.96</v>
      </c>
      <c r="E58" s="2"/>
      <c r="F58" s="6">
        <f t="shared" si="44"/>
        <v>2.8173573153513721E-3</v>
      </c>
      <c r="G58" s="2"/>
      <c r="H58" s="7"/>
      <c r="I58" s="2"/>
      <c r="J58" s="6">
        <f t="shared" si="45"/>
        <v>0</v>
      </c>
      <c r="K58" s="2"/>
      <c r="L58" s="7">
        <f t="shared" si="46"/>
        <v>96.96</v>
      </c>
      <c r="M58" s="2"/>
      <c r="N58" s="6">
        <f t="shared" si="47"/>
        <v>0</v>
      </c>
      <c r="O58" s="11"/>
      <c r="P58" s="7">
        <v>193.92</v>
      </c>
      <c r="Q58" s="2"/>
      <c r="R58" s="6">
        <f t="shared" si="48"/>
        <v>3.692172715696608E-3</v>
      </c>
      <c r="S58" s="2"/>
      <c r="T58" s="7"/>
      <c r="U58" s="2"/>
      <c r="V58" s="6">
        <f t="shared" si="49"/>
        <v>0</v>
      </c>
      <c r="W58" s="2"/>
      <c r="X58" s="7">
        <f t="shared" si="50"/>
        <v>193.92</v>
      </c>
      <c r="Y58" s="2"/>
      <c r="Z58" s="6">
        <f t="shared" si="51"/>
        <v>0</v>
      </c>
    </row>
    <row r="59" spans="1:26" s="24" customFormat="1" hidden="1" outlineLevel="2" x14ac:dyDescent="0.25">
      <c r="A59" s="29"/>
      <c r="B59" s="11" t="str">
        <f>CONCATENATE("          ", "6284", " - ", "TRASH REMOVAL EXPENSE")</f>
        <v xml:space="preserve">          6284 - TRASH REMOVAL EXPENSE</v>
      </c>
      <c r="C59" s="11"/>
      <c r="D59" s="7"/>
      <c r="E59" s="2"/>
      <c r="F59" s="6">
        <f t="shared" si="44"/>
        <v>0</v>
      </c>
      <c r="G59" s="2"/>
      <c r="H59" s="7">
        <v>71</v>
      </c>
      <c r="I59" s="2"/>
      <c r="J59" s="6">
        <f t="shared" si="45"/>
        <v>3.050029941843232E-3</v>
      </c>
      <c r="K59" s="2"/>
      <c r="L59" s="7">
        <f t="shared" si="46"/>
        <v>-71</v>
      </c>
      <c r="M59" s="2"/>
      <c r="N59" s="6">
        <f t="shared" si="47"/>
        <v>-1</v>
      </c>
      <c r="O59" s="11"/>
      <c r="P59" s="7">
        <v>94</v>
      </c>
      <c r="Q59" s="2"/>
      <c r="R59" s="6">
        <f t="shared" si="48"/>
        <v>1.7897289360328031E-3</v>
      </c>
      <c r="S59" s="2"/>
      <c r="T59" s="7">
        <v>142</v>
      </c>
      <c r="U59" s="2"/>
      <c r="V59" s="6">
        <f t="shared" si="49"/>
        <v>6.100059883686464E-3</v>
      </c>
      <c r="W59" s="2"/>
      <c r="X59" s="7">
        <f t="shared" si="50"/>
        <v>-48</v>
      </c>
      <c r="Y59" s="2"/>
      <c r="Z59" s="6">
        <f t="shared" si="51"/>
        <v>-0.3380281690140845</v>
      </c>
    </row>
    <row r="60" spans="1:26" s="24" customFormat="1" hidden="1" outlineLevel="2" x14ac:dyDescent="0.25">
      <c r="A60" s="29"/>
      <c r="B60" s="11" t="str">
        <f>CONCATENATE("          ", "6286", " - ", "LAUNDRY EXPENSE")</f>
        <v xml:space="preserve">          6286 - LAUNDRY EXPENSE</v>
      </c>
      <c r="C60" s="11"/>
      <c r="D60" s="7">
        <v>212.01</v>
      </c>
      <c r="E60" s="2"/>
      <c r="F60" s="6">
        <f t="shared" si="44"/>
        <v>6.1603540060606891E-3</v>
      </c>
      <c r="G60" s="2"/>
      <c r="H60" s="7">
        <v>123.11</v>
      </c>
      <c r="I60" s="2"/>
      <c r="J60" s="6">
        <f t="shared" si="45"/>
        <v>5.288580086483384E-3</v>
      </c>
      <c r="K60" s="2"/>
      <c r="L60" s="7">
        <f t="shared" si="46"/>
        <v>88.899999999999991</v>
      </c>
      <c r="M60" s="2"/>
      <c r="N60" s="6">
        <f t="shared" si="47"/>
        <v>0.72211843067175685</v>
      </c>
      <c r="O60" s="11"/>
      <c r="P60" s="7">
        <v>424.02</v>
      </c>
      <c r="Q60" s="2"/>
      <c r="R60" s="6">
        <f t="shared" si="48"/>
        <v>8.0732006750705229E-3</v>
      </c>
      <c r="S60" s="2"/>
      <c r="T60" s="7">
        <v>123.11</v>
      </c>
      <c r="U60" s="2"/>
      <c r="V60" s="6">
        <f t="shared" si="49"/>
        <v>5.288580086483384E-3</v>
      </c>
      <c r="W60" s="2"/>
      <c r="X60" s="7">
        <f t="shared" si="50"/>
        <v>300.90999999999997</v>
      </c>
      <c r="Y60" s="2"/>
      <c r="Z60" s="6">
        <f t="shared" si="51"/>
        <v>2.4442368613435135</v>
      </c>
    </row>
    <row r="61" spans="1:26" s="27" customFormat="1" outlineLevel="1" collapsed="1" x14ac:dyDescent="0.25">
      <c r="A61" s="28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SUM(OSRRefD22_12x_0)</f>
        <v>30.68</v>
      </c>
      <c r="E61" s="1"/>
      <c r="F61" s="5">
        <f t="shared" ref="F61:F70" si="52">IF(D$12=0,0,D61/D$12)</f>
        <v>8.9146578418915125E-4</v>
      </c>
      <c r="G61" s="1"/>
      <c r="H61" s="1">
        <f>SUM(OSRRefH22_12x_0)</f>
        <v>30.68</v>
      </c>
      <c r="I61" s="1"/>
      <c r="J61" s="5">
        <f t="shared" ref="J61:J70" si="53">IF(H$12=0,0,H61/H$12)</f>
        <v>1.3179566002218361E-3</v>
      </c>
      <c r="K61" s="1"/>
      <c r="L61" s="1">
        <f t="shared" ref="L61:L70" si="54">+D61-H61</f>
        <v>0</v>
      </c>
      <c r="M61" s="1"/>
      <c r="N61" s="5">
        <f t="shared" ref="N61:N70" si="55">IF(H61=0,0,L61/H61)</f>
        <v>0</v>
      </c>
      <c r="O61" s="14"/>
      <c r="P61" s="1">
        <f>SUM(OSRRefP22_12x_0)</f>
        <v>30.68</v>
      </c>
      <c r="Q61" s="1"/>
      <c r="R61" s="5">
        <f t="shared" ref="R61:R70" si="56">IF(P$12=0,0,P61/P$12)</f>
        <v>5.8413706124985532E-4</v>
      </c>
      <c r="S61" s="1"/>
      <c r="T61" s="1">
        <f>SUM(OSRRefT22_12x_0)</f>
        <v>61.36</v>
      </c>
      <c r="U61" s="1"/>
      <c r="V61" s="5">
        <f t="shared" ref="V61:V70" si="57">IF(T$12=0,0,T61/T$12)</f>
        <v>2.6359132004436722E-3</v>
      </c>
      <c r="W61" s="1"/>
      <c r="X61" s="1">
        <f t="shared" ref="X61:X70" si="58">+P61-T61</f>
        <v>-30.68</v>
      </c>
      <c r="Y61" s="1"/>
      <c r="Z61" s="5">
        <f t="shared" ref="Z61:Z70" si="59">IF(T61=0,0,X61/T61)</f>
        <v>-0.5</v>
      </c>
    </row>
    <row r="62" spans="1:26" s="24" customFormat="1" hidden="1" outlineLevel="2" x14ac:dyDescent="0.25">
      <c r="A62" s="29"/>
      <c r="B62" s="11" t="str">
        <f>CONCATENATE("          ", "6275", " - ", "SUBSCRIPTIONS")</f>
        <v xml:space="preserve">          6275 - SUBSCRIPTIONS</v>
      </c>
      <c r="C62" s="11"/>
      <c r="D62" s="7">
        <v>30.68</v>
      </c>
      <c r="E62" s="2"/>
      <c r="F62" s="6">
        <f t="shared" si="52"/>
        <v>8.9146578418915125E-4</v>
      </c>
      <c r="G62" s="2"/>
      <c r="H62" s="7">
        <v>30.68</v>
      </c>
      <c r="I62" s="2"/>
      <c r="J62" s="6">
        <f t="shared" si="53"/>
        <v>1.3179566002218361E-3</v>
      </c>
      <c r="K62" s="2"/>
      <c r="L62" s="7">
        <f t="shared" si="54"/>
        <v>0</v>
      </c>
      <c r="M62" s="2"/>
      <c r="N62" s="6">
        <f t="shared" si="55"/>
        <v>0</v>
      </c>
      <c r="O62" s="11"/>
      <c r="P62" s="7">
        <v>30.68</v>
      </c>
      <c r="Q62" s="2"/>
      <c r="R62" s="6">
        <f t="shared" si="56"/>
        <v>5.8413706124985532E-4</v>
      </c>
      <c r="S62" s="2"/>
      <c r="T62" s="7">
        <v>61.36</v>
      </c>
      <c r="U62" s="2"/>
      <c r="V62" s="6">
        <f t="shared" si="57"/>
        <v>2.6359132004436722E-3</v>
      </c>
      <c r="W62" s="2"/>
      <c r="X62" s="7">
        <f t="shared" si="58"/>
        <v>-30.68</v>
      </c>
      <c r="Y62" s="2"/>
      <c r="Z62" s="6">
        <f t="shared" si="59"/>
        <v>-0.5</v>
      </c>
    </row>
    <row r="63" spans="1:26" s="27" customFormat="1" outlineLevel="1" collapsed="1" x14ac:dyDescent="0.25">
      <c r="A63" s="28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SUM(OSRRefD22_13x_0)</f>
        <v>283.38</v>
      </c>
      <c r="E63" s="1"/>
      <c r="F63" s="5">
        <f t="shared" si="52"/>
        <v>8.2341451735176551E-3</v>
      </c>
      <c r="G63" s="1"/>
      <c r="H63" s="1">
        <f>SUM(OSRRefH22_13x_0)</f>
        <v>1653.79</v>
      </c>
      <c r="I63" s="1"/>
      <c r="J63" s="5">
        <f t="shared" si="53"/>
        <v>7.1043788979167868E-2</v>
      </c>
      <c r="K63" s="1"/>
      <c r="L63" s="1">
        <f t="shared" si="54"/>
        <v>-1370.4099999999999</v>
      </c>
      <c r="M63" s="1"/>
      <c r="N63" s="5">
        <f t="shared" si="55"/>
        <v>-0.82864813549483296</v>
      </c>
      <c r="O63" s="14"/>
      <c r="P63" s="1">
        <f>SUM(OSRRefP22_13x_0)</f>
        <v>3791.1099999999992</v>
      </c>
      <c r="Q63" s="1"/>
      <c r="R63" s="5">
        <f t="shared" si="56"/>
        <v>7.2181481560460836E-2</v>
      </c>
      <c r="S63" s="1"/>
      <c r="T63" s="1">
        <f>SUM(OSRRefT22_13x_0)</f>
        <v>1703.79</v>
      </c>
      <c r="U63" s="1"/>
      <c r="V63" s="5">
        <f t="shared" si="57"/>
        <v>7.3191697388916621E-2</v>
      </c>
      <c r="W63" s="1"/>
      <c r="X63" s="1">
        <f t="shared" si="58"/>
        <v>2087.3199999999993</v>
      </c>
      <c r="Y63" s="1"/>
      <c r="Z63" s="5">
        <f t="shared" si="59"/>
        <v>1.2251040327739917</v>
      </c>
    </row>
    <row r="64" spans="1:26" s="24" customFormat="1" hidden="1" outlineLevel="2" x14ac:dyDescent="0.25">
      <c r="A64" s="29"/>
      <c r="B64" s="11" t="str">
        <f>CONCATENATE("          ", "6237", " - ", "JANITORIAL SUPPLIES")</f>
        <v xml:space="preserve">          6237 - JANITORIAL SUPPLIES</v>
      </c>
      <c r="C64" s="11"/>
      <c r="D64" s="7">
        <v>182.63</v>
      </c>
      <c r="E64" s="2"/>
      <c r="F64" s="6">
        <f t="shared" si="52"/>
        <v>5.3066621957778585E-3</v>
      </c>
      <c r="G64" s="2"/>
      <c r="H64" s="7">
        <v>8.76</v>
      </c>
      <c r="I64" s="2"/>
      <c r="J64" s="6">
        <f t="shared" si="53"/>
        <v>3.7631355338798184E-4</v>
      </c>
      <c r="K64" s="2"/>
      <c r="L64" s="7">
        <f t="shared" si="54"/>
        <v>173.87</v>
      </c>
      <c r="M64" s="2"/>
      <c r="N64" s="6">
        <f t="shared" si="55"/>
        <v>19.848173515981735</v>
      </c>
      <c r="O64" s="11"/>
      <c r="P64" s="7">
        <v>323.97000000000003</v>
      </c>
      <c r="Q64" s="2"/>
      <c r="R64" s="6">
        <f t="shared" si="56"/>
        <v>6.1682817383675245E-3</v>
      </c>
      <c r="S64" s="2"/>
      <c r="T64" s="7">
        <v>8.76</v>
      </c>
      <c r="U64" s="2"/>
      <c r="V64" s="6">
        <f t="shared" si="57"/>
        <v>3.7631355338798184E-4</v>
      </c>
      <c r="W64" s="2"/>
      <c r="X64" s="7">
        <f t="shared" si="58"/>
        <v>315.21000000000004</v>
      </c>
      <c r="Y64" s="2"/>
      <c r="Z64" s="6">
        <f t="shared" si="59"/>
        <v>35.982876712328775</v>
      </c>
    </row>
    <row r="65" spans="1:26" s="24" customFormat="1" hidden="1" outlineLevel="2" x14ac:dyDescent="0.25">
      <c r="A65" s="29"/>
      <c r="B65" s="11" t="str">
        <f>CONCATENATE("          ", "6239", " - ", "KITCHEN SUPPLIES")</f>
        <v xml:space="preserve">          6239 - KITCHEN SUPPLIES</v>
      </c>
      <c r="C65" s="11"/>
      <c r="D65" s="7">
        <v>27.67</v>
      </c>
      <c r="E65" s="2"/>
      <c r="F65" s="6">
        <f t="shared" si="52"/>
        <v>8.040045061445181E-4</v>
      </c>
      <c r="G65" s="2"/>
      <c r="H65" s="7"/>
      <c r="I65" s="2"/>
      <c r="J65" s="6">
        <f t="shared" si="53"/>
        <v>0</v>
      </c>
      <c r="K65" s="2"/>
      <c r="L65" s="7">
        <f t="shared" si="54"/>
        <v>27.67</v>
      </c>
      <c r="M65" s="2"/>
      <c r="N65" s="6">
        <f t="shared" si="55"/>
        <v>0</v>
      </c>
      <c r="O65" s="11"/>
      <c r="P65" s="7">
        <v>2167.9699999999998</v>
      </c>
      <c r="Q65" s="2"/>
      <c r="R65" s="6">
        <f t="shared" si="56"/>
        <v>4.1277432355862086E-2</v>
      </c>
      <c r="S65" s="2"/>
      <c r="T65" s="7"/>
      <c r="U65" s="2"/>
      <c r="V65" s="6">
        <f t="shared" si="57"/>
        <v>0</v>
      </c>
      <c r="W65" s="2"/>
      <c r="X65" s="7">
        <f t="shared" si="58"/>
        <v>2167.9699999999998</v>
      </c>
      <c r="Y65" s="2"/>
      <c r="Z65" s="6">
        <f t="shared" si="59"/>
        <v>0</v>
      </c>
    </row>
    <row r="66" spans="1:26" s="24" customFormat="1" hidden="1" outlineLevel="2" x14ac:dyDescent="0.25">
      <c r="A66" s="29"/>
      <c r="B66" s="11" t="str">
        <f>CONCATENATE("          ", "6241", " - ", "OFFICE EXPENSE")</f>
        <v xml:space="preserve">          6241 - OFFICE EXPENSE</v>
      </c>
      <c r="C66" s="11"/>
      <c r="D66" s="7">
        <v>62</v>
      </c>
      <c r="E66" s="2"/>
      <c r="F66" s="6">
        <f t="shared" si="52"/>
        <v>1.8015279863014138E-3</v>
      </c>
      <c r="G66" s="2"/>
      <c r="H66" s="7">
        <v>133.34</v>
      </c>
      <c r="I66" s="2"/>
      <c r="J66" s="6">
        <f t="shared" si="53"/>
        <v>5.7280421471179802E-3</v>
      </c>
      <c r="K66" s="2"/>
      <c r="L66" s="7">
        <f t="shared" si="54"/>
        <v>-71.34</v>
      </c>
      <c r="M66" s="2"/>
      <c r="N66" s="6">
        <f t="shared" si="55"/>
        <v>-0.53502324883755814</v>
      </c>
      <c r="O66" s="11"/>
      <c r="P66" s="7">
        <v>185.87</v>
      </c>
      <c r="Q66" s="2"/>
      <c r="R66" s="6">
        <f t="shared" si="56"/>
        <v>3.5389033759618844E-3</v>
      </c>
      <c r="S66" s="2"/>
      <c r="T66" s="7">
        <v>183.34</v>
      </c>
      <c r="U66" s="2"/>
      <c r="V66" s="6">
        <f t="shared" si="57"/>
        <v>7.8759505568667346E-3</v>
      </c>
      <c r="W66" s="2"/>
      <c r="X66" s="7">
        <f t="shared" si="58"/>
        <v>2.5300000000000011</v>
      </c>
      <c r="Y66" s="2"/>
      <c r="Z66" s="6">
        <f t="shared" si="59"/>
        <v>1.3799498200065458E-2</v>
      </c>
    </row>
    <row r="67" spans="1:26" s="24" customFormat="1" hidden="1" outlineLevel="2" x14ac:dyDescent="0.25">
      <c r="A67" s="29"/>
      <c r="B67" s="11" t="str">
        <f>CONCATENATE("          ", "6243", " - ", "PAPER SUPPLIES")</f>
        <v xml:space="preserve">          6243 - PAPER SUPPLIES</v>
      </c>
      <c r="C67" s="11"/>
      <c r="D67" s="7">
        <v>964.28</v>
      </c>
      <c r="E67" s="2"/>
      <c r="F67" s="6">
        <f t="shared" si="52"/>
        <v>2.8018990429527858E-2</v>
      </c>
      <c r="G67" s="2"/>
      <c r="H67" s="7">
        <v>1109.22</v>
      </c>
      <c r="I67" s="2"/>
      <c r="J67" s="6">
        <f t="shared" si="53"/>
        <v>4.7650059325230282E-2</v>
      </c>
      <c r="K67" s="2"/>
      <c r="L67" s="7">
        <f t="shared" si="54"/>
        <v>-144.94000000000005</v>
      </c>
      <c r="M67" s="2"/>
      <c r="N67" s="6">
        <f t="shared" si="55"/>
        <v>-0.13066839761273694</v>
      </c>
      <c r="O67" s="11"/>
      <c r="P67" s="7">
        <v>2043.49</v>
      </c>
      <c r="Q67" s="2"/>
      <c r="R67" s="6">
        <f t="shared" si="56"/>
        <v>3.8907374292485884E-2</v>
      </c>
      <c r="S67" s="2"/>
      <c r="T67" s="7">
        <v>1109.22</v>
      </c>
      <c r="U67" s="2"/>
      <c r="V67" s="6">
        <f t="shared" si="57"/>
        <v>4.7650059325230282E-2</v>
      </c>
      <c r="W67" s="2"/>
      <c r="X67" s="7">
        <f t="shared" si="58"/>
        <v>934.27</v>
      </c>
      <c r="Y67" s="2"/>
      <c r="Z67" s="6">
        <f t="shared" si="59"/>
        <v>0.84227655469609275</v>
      </c>
    </row>
    <row r="68" spans="1:26" s="24" customFormat="1" hidden="1" outlineLevel="2" x14ac:dyDescent="0.25">
      <c r="A68" s="29"/>
      <c r="B68" s="11" t="str">
        <f>CONCATENATE("          ", "6245", " - ", "PRINTING")</f>
        <v xml:space="preserve">          6245 - PRINTING</v>
      </c>
      <c r="C68" s="11"/>
      <c r="D68" s="7"/>
      <c r="E68" s="2"/>
      <c r="F68" s="6">
        <f t="shared" si="52"/>
        <v>0</v>
      </c>
      <c r="G68" s="2"/>
      <c r="H68" s="7"/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>
        <v>23.01</v>
      </c>
      <c r="Q68" s="2"/>
      <c r="R68" s="6">
        <f t="shared" si="56"/>
        <v>4.3810279593739152E-4</v>
      </c>
      <c r="S68" s="2"/>
      <c r="T68" s="7"/>
      <c r="U68" s="2"/>
      <c r="V68" s="6">
        <f t="shared" si="57"/>
        <v>0</v>
      </c>
      <c r="W68" s="2"/>
      <c r="X68" s="7">
        <f t="shared" si="58"/>
        <v>23.01</v>
      </c>
      <c r="Y68" s="2"/>
      <c r="Z68" s="6">
        <f t="shared" si="59"/>
        <v>0</v>
      </c>
    </row>
    <row r="69" spans="1:26" s="24" customFormat="1" hidden="1" outlineLevel="2" x14ac:dyDescent="0.25">
      <c r="A69" s="29"/>
      <c r="B69" s="11" t="str">
        <f>CONCATENATE("          ", "6247", " - ", "STORE SUPPLIES")</f>
        <v xml:space="preserve">          6247 - STORE SUPPLIES</v>
      </c>
      <c r="C69" s="11"/>
      <c r="D69" s="7">
        <v>-970.8</v>
      </c>
      <c r="E69" s="2"/>
      <c r="F69" s="6">
        <f t="shared" si="52"/>
        <v>-2.8208441437119557E-2</v>
      </c>
      <c r="G69" s="2"/>
      <c r="H69" s="7">
        <v>55.48</v>
      </c>
      <c r="I69" s="2"/>
      <c r="J69" s="6">
        <f t="shared" si="53"/>
        <v>2.3833191714572183E-3</v>
      </c>
      <c r="K69" s="2"/>
      <c r="L69" s="7">
        <f t="shared" si="54"/>
        <v>-1026.28</v>
      </c>
      <c r="M69" s="2"/>
      <c r="N69" s="6">
        <f t="shared" si="55"/>
        <v>-18.498197548666187</v>
      </c>
      <c r="O69" s="11"/>
      <c r="P69" s="7">
        <v>-970.8</v>
      </c>
      <c r="Q69" s="2"/>
      <c r="R69" s="6">
        <f t="shared" si="56"/>
        <v>-1.8483711181921759E-2</v>
      </c>
      <c r="S69" s="2"/>
      <c r="T69" s="7">
        <v>55.48</v>
      </c>
      <c r="U69" s="2"/>
      <c r="V69" s="6">
        <f t="shared" si="57"/>
        <v>2.3833191714572183E-3</v>
      </c>
      <c r="W69" s="2"/>
      <c r="X69" s="7">
        <f t="shared" si="58"/>
        <v>-1026.28</v>
      </c>
      <c r="Y69" s="2"/>
      <c r="Z69" s="6">
        <f t="shared" si="59"/>
        <v>-18.498197548666187</v>
      </c>
    </row>
    <row r="70" spans="1:26" s="24" customFormat="1" hidden="1" outlineLevel="2" x14ac:dyDescent="0.25">
      <c r="A70" s="29"/>
      <c r="B70" s="11" t="str">
        <f>CONCATENATE("          ", "6248", " - ", "UNIFORMS")</f>
        <v xml:space="preserve">          6248 - UNIFORMS</v>
      </c>
      <c r="C70" s="11"/>
      <c r="D70" s="7">
        <v>17.600000000000001</v>
      </c>
      <c r="E70" s="2"/>
      <c r="F70" s="6">
        <f t="shared" si="52"/>
        <v>5.1140149288556264E-4</v>
      </c>
      <c r="G70" s="2"/>
      <c r="H70" s="7">
        <v>346.99</v>
      </c>
      <c r="I70" s="2"/>
      <c r="J70" s="6">
        <f t="shared" si="53"/>
        <v>1.4906054781974411E-2</v>
      </c>
      <c r="K70" s="2"/>
      <c r="L70" s="7">
        <f t="shared" si="54"/>
        <v>-329.39</v>
      </c>
      <c r="M70" s="2"/>
      <c r="N70" s="6">
        <f t="shared" si="55"/>
        <v>-0.9492780771780166</v>
      </c>
      <c r="O70" s="11"/>
      <c r="P70" s="7">
        <v>17.600000000000001</v>
      </c>
      <c r="Q70" s="2"/>
      <c r="R70" s="6">
        <f t="shared" si="56"/>
        <v>3.3509818376784402E-4</v>
      </c>
      <c r="S70" s="2"/>
      <c r="T70" s="7">
        <v>346.99</v>
      </c>
      <c r="U70" s="2"/>
      <c r="V70" s="6">
        <f t="shared" si="57"/>
        <v>1.4906054781974411E-2</v>
      </c>
      <c r="W70" s="2"/>
      <c r="X70" s="7">
        <f t="shared" si="58"/>
        <v>-329.39</v>
      </c>
      <c r="Y70" s="2"/>
      <c r="Z70" s="6">
        <f t="shared" si="59"/>
        <v>-0.9492780771780166</v>
      </c>
    </row>
    <row r="71" spans="1:26" s="27" customFormat="1" outlineLevel="1" collapsed="1" x14ac:dyDescent="0.25">
      <c r="A71" s="28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SUM(OSRRefD22_14x_0)</f>
        <v>89.9</v>
      </c>
      <c r="E71" s="1"/>
      <c r="F71" s="5">
        <f t="shared" ref="F71:F76" si="60">IF(D$12=0,0,D71/D$12)</f>
        <v>2.6122155801370501E-3</v>
      </c>
      <c r="G71" s="1"/>
      <c r="H71" s="1">
        <f>SUM(OSRRefH22_14x_0)</f>
        <v>89.05</v>
      </c>
      <c r="I71" s="1"/>
      <c r="J71" s="5">
        <f t="shared" ref="J71:J76" si="61">IF(H$12=0,0,H71/H$12)</f>
        <v>3.8254248777625324E-3</v>
      </c>
      <c r="K71" s="1"/>
      <c r="L71" s="1">
        <f t="shared" ref="L71:L76" si="62">+D71-H71</f>
        <v>0.85000000000000853</v>
      </c>
      <c r="M71" s="1"/>
      <c r="N71" s="5">
        <f t="shared" ref="N71:N76" si="63">IF(H71=0,0,L71/H71)</f>
        <v>9.5451993262213198E-3</v>
      </c>
      <c r="O71" s="14"/>
      <c r="P71" s="1">
        <f>SUM(OSRRefP22_14x_0)</f>
        <v>167.95</v>
      </c>
      <c r="Q71" s="1"/>
      <c r="R71" s="5">
        <f t="shared" ref="R71:R76" si="64">IF(P$12=0,0,P71/P$12)</f>
        <v>3.1977124979437155E-3</v>
      </c>
      <c r="S71" s="1"/>
      <c r="T71" s="1">
        <f>SUM(OSRRefT22_14x_0)</f>
        <v>117.05</v>
      </c>
      <c r="U71" s="1"/>
      <c r="V71" s="5">
        <f t="shared" ref="V71:V76" si="65">IF(T$12=0,0,T71/T$12)</f>
        <v>5.0282535872218353E-3</v>
      </c>
      <c r="W71" s="1"/>
      <c r="X71" s="1">
        <f t="shared" ref="X71:X76" si="66">+P71-T71</f>
        <v>50.899999999999991</v>
      </c>
      <c r="Y71" s="1"/>
      <c r="Z71" s="5">
        <f t="shared" ref="Z71:Z76" si="67">IF(T71=0,0,X71/T71)</f>
        <v>0.43485689876121308</v>
      </c>
    </row>
    <row r="72" spans="1:26" s="24" customFormat="1" hidden="1" outlineLevel="2" x14ac:dyDescent="0.25">
      <c r="A72" s="29"/>
      <c r="B72" s="11" t="str">
        <f>CONCATENATE("          ", "6309", " - ", "TELEPHONE")</f>
        <v xml:space="preserve">          6309 - TELEPHONE</v>
      </c>
      <c r="C72" s="11"/>
      <c r="D72" s="7">
        <v>89.9</v>
      </c>
      <c r="E72" s="2"/>
      <c r="F72" s="6">
        <f t="shared" si="60"/>
        <v>2.6122155801370501E-3</v>
      </c>
      <c r="G72" s="2"/>
      <c r="H72" s="7">
        <v>89.05</v>
      </c>
      <c r="I72" s="2"/>
      <c r="J72" s="6">
        <f t="shared" si="61"/>
        <v>3.8254248777625324E-3</v>
      </c>
      <c r="K72" s="2"/>
      <c r="L72" s="7">
        <f t="shared" si="62"/>
        <v>0.85000000000000853</v>
      </c>
      <c r="M72" s="2"/>
      <c r="N72" s="6">
        <f t="shared" si="63"/>
        <v>9.5451993262213198E-3</v>
      </c>
      <c r="O72" s="11"/>
      <c r="P72" s="7">
        <v>167.95</v>
      </c>
      <c r="Q72" s="2"/>
      <c r="R72" s="6">
        <f t="shared" si="64"/>
        <v>3.1977124979437155E-3</v>
      </c>
      <c r="S72" s="2"/>
      <c r="T72" s="7">
        <v>117.05</v>
      </c>
      <c r="U72" s="2"/>
      <c r="V72" s="6">
        <f t="shared" si="65"/>
        <v>5.0282535872218353E-3</v>
      </c>
      <c r="W72" s="2"/>
      <c r="X72" s="7">
        <f t="shared" si="66"/>
        <v>50.899999999999991</v>
      </c>
      <c r="Y72" s="2"/>
      <c r="Z72" s="6">
        <f t="shared" si="67"/>
        <v>0.43485689876121308</v>
      </c>
    </row>
    <row r="73" spans="1:26" s="27" customFormat="1" outlineLevel="1" collapsed="1" x14ac:dyDescent="0.25">
      <c r="A73" s="28"/>
      <c r="B73" s="14" t="str">
        <f>CONCATENATE("     ","Training                                          ")</f>
        <v xml:space="preserve">     Training                                          </v>
      </c>
      <c r="C73" s="14"/>
      <c r="D73" s="1">
        <f>SUM(OSRRefD22_15x_0)</f>
        <v>0</v>
      </c>
      <c r="E73" s="1"/>
      <c r="F73" s="5">
        <f t="shared" si="60"/>
        <v>0</v>
      </c>
      <c r="G73" s="1"/>
      <c r="H73" s="1">
        <f>SUM(OSRRefH22_15x_0)</f>
        <v>95.16</v>
      </c>
      <c r="I73" s="1"/>
      <c r="J73" s="5">
        <f t="shared" si="61"/>
        <v>4.0878992854338301E-3</v>
      </c>
      <c r="K73" s="1"/>
      <c r="L73" s="1">
        <f t="shared" si="62"/>
        <v>-95.16</v>
      </c>
      <c r="M73" s="1"/>
      <c r="N73" s="5">
        <f t="shared" si="63"/>
        <v>-1</v>
      </c>
      <c r="O73" s="14"/>
      <c r="P73" s="1">
        <f>SUM(OSRRefP22_15x_0)</f>
        <v>237.95</v>
      </c>
      <c r="Q73" s="1"/>
      <c r="R73" s="5">
        <f t="shared" si="64"/>
        <v>4.5304893652021857E-3</v>
      </c>
      <c r="S73" s="1"/>
      <c r="T73" s="1">
        <f>SUM(OSRRefT22_15x_0)</f>
        <v>95.16</v>
      </c>
      <c r="U73" s="1"/>
      <c r="V73" s="5">
        <f t="shared" si="65"/>
        <v>4.0878992854338301E-3</v>
      </c>
      <c r="W73" s="1"/>
      <c r="X73" s="1">
        <f t="shared" si="66"/>
        <v>142.79</v>
      </c>
      <c r="Y73" s="1"/>
      <c r="Z73" s="5">
        <f t="shared" si="67"/>
        <v>1.5005254308532996</v>
      </c>
    </row>
    <row r="74" spans="1:26" s="24" customFormat="1" hidden="1" outlineLevel="2" x14ac:dyDescent="0.25">
      <c r="A74" s="29"/>
      <c r="B74" s="11" t="str">
        <f>CONCATENATE("          ", "6376", " - ", "TRAINING")</f>
        <v xml:space="preserve">          6376 - TRAINING</v>
      </c>
      <c r="C74" s="11"/>
      <c r="D74" s="7"/>
      <c r="E74" s="2"/>
      <c r="F74" s="6">
        <f t="shared" si="60"/>
        <v>0</v>
      </c>
      <c r="G74" s="2"/>
      <c r="H74" s="7">
        <v>95.16</v>
      </c>
      <c r="I74" s="2"/>
      <c r="J74" s="6">
        <f t="shared" si="61"/>
        <v>4.0878992854338301E-3</v>
      </c>
      <c r="K74" s="2"/>
      <c r="L74" s="7">
        <f t="shared" si="62"/>
        <v>-95.16</v>
      </c>
      <c r="M74" s="2"/>
      <c r="N74" s="6">
        <f t="shared" si="63"/>
        <v>-1</v>
      </c>
      <c r="O74" s="11"/>
      <c r="P74" s="7">
        <v>237.95</v>
      </c>
      <c r="Q74" s="2"/>
      <c r="R74" s="6">
        <f t="shared" si="64"/>
        <v>4.5304893652021857E-3</v>
      </c>
      <c r="S74" s="2"/>
      <c r="T74" s="7">
        <v>95.16</v>
      </c>
      <c r="U74" s="2"/>
      <c r="V74" s="6">
        <f t="shared" si="65"/>
        <v>4.0878992854338301E-3</v>
      </c>
      <c r="W74" s="2"/>
      <c r="X74" s="7">
        <f t="shared" si="66"/>
        <v>142.79</v>
      </c>
      <c r="Y74" s="2"/>
      <c r="Z74" s="6">
        <f t="shared" si="67"/>
        <v>1.5005254308532996</v>
      </c>
    </row>
    <row r="75" spans="1:26" s="27" customFormat="1" outlineLevel="1" collapsed="1" x14ac:dyDescent="0.25">
      <c r="A75" s="28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SUM(OSRRefD22_16x_0)</f>
        <v>0</v>
      </c>
      <c r="E75" s="1"/>
      <c r="F75" s="5">
        <f t="shared" si="60"/>
        <v>0</v>
      </c>
      <c r="G75" s="1"/>
      <c r="H75" s="1">
        <f>SUM(OSRRefH22_16x_0)</f>
        <v>345</v>
      </c>
      <c r="I75" s="1"/>
      <c r="J75" s="5">
        <f t="shared" si="61"/>
        <v>1.4820568027266409E-2</v>
      </c>
      <c r="K75" s="1"/>
      <c r="L75" s="1">
        <f t="shared" si="62"/>
        <v>-345</v>
      </c>
      <c r="M75" s="1"/>
      <c r="N75" s="5">
        <f t="shared" si="63"/>
        <v>-1</v>
      </c>
      <c r="O75" s="14"/>
      <c r="P75" s="1">
        <f>SUM(OSRRefP22_16x_0)</f>
        <v>306</v>
      </c>
      <c r="Q75" s="1"/>
      <c r="R75" s="5">
        <f t="shared" si="64"/>
        <v>5.8261388768727418E-3</v>
      </c>
      <c r="S75" s="1"/>
      <c r="T75" s="1">
        <f>SUM(OSRRefT22_16x_0)</f>
        <v>690</v>
      </c>
      <c r="U75" s="1"/>
      <c r="V75" s="5">
        <f t="shared" si="65"/>
        <v>2.9641136054532818E-2</v>
      </c>
      <c r="W75" s="1"/>
      <c r="X75" s="1">
        <f t="shared" si="66"/>
        <v>-384</v>
      </c>
      <c r="Y75" s="1"/>
      <c r="Z75" s="5">
        <f t="shared" si="67"/>
        <v>-0.55652173913043479</v>
      </c>
    </row>
    <row r="76" spans="1:26" s="24" customFormat="1" hidden="1" outlineLevel="2" x14ac:dyDescent="0.25">
      <c r="A76" s="29"/>
      <c r="B76" s="11" t="str">
        <f>CONCATENATE("          ", "6274", " - ", "UTILITIES")</f>
        <v xml:space="preserve">          6274 - UTILITIES</v>
      </c>
      <c r="C76" s="11"/>
      <c r="D76" s="7"/>
      <c r="E76" s="2"/>
      <c r="F76" s="6">
        <f t="shared" si="60"/>
        <v>0</v>
      </c>
      <c r="G76" s="2"/>
      <c r="H76" s="7">
        <v>345</v>
      </c>
      <c r="I76" s="2"/>
      <c r="J76" s="6">
        <f t="shared" si="61"/>
        <v>1.4820568027266409E-2</v>
      </c>
      <c r="K76" s="2"/>
      <c r="L76" s="7">
        <f t="shared" si="62"/>
        <v>-345</v>
      </c>
      <c r="M76" s="2"/>
      <c r="N76" s="6">
        <f t="shared" si="63"/>
        <v>-1</v>
      </c>
      <c r="O76" s="11"/>
      <c r="P76" s="7">
        <v>306</v>
      </c>
      <c r="Q76" s="2"/>
      <c r="R76" s="6">
        <f t="shared" si="64"/>
        <v>5.8261388768727418E-3</v>
      </c>
      <c r="S76" s="2"/>
      <c r="T76" s="7">
        <v>690</v>
      </c>
      <c r="U76" s="2"/>
      <c r="V76" s="6">
        <f t="shared" si="65"/>
        <v>2.9641136054532818E-2</v>
      </c>
      <c r="W76" s="2"/>
      <c r="X76" s="7">
        <f t="shared" si="66"/>
        <v>-384</v>
      </c>
      <c r="Y76" s="2"/>
      <c r="Z76" s="6">
        <f t="shared" si="67"/>
        <v>-0.55652173913043479</v>
      </c>
    </row>
    <row r="77" spans="1:26" s="62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5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6" t="s">
        <v>3</v>
      </c>
      <c r="C80" s="26"/>
      <c r="D80" s="20">
        <f>+D20-D22+D78</f>
        <v>-21373.059999999998</v>
      </c>
      <c r="E80" s="13"/>
      <c r="F80" s="19">
        <f>IF(D$12=0,0,D80/D$12)</f>
        <v>-0.62103493133708532</v>
      </c>
      <c r="G80" s="13"/>
      <c r="H80" s="20">
        <f>+H20-H22+H78</f>
        <v>-18393.840000000011</v>
      </c>
      <c r="I80" s="13"/>
      <c r="J80" s="19">
        <f>IF(H$12=0,0,H80/H$12)</f>
        <v>-0.7901656724714613</v>
      </c>
      <c r="K80" s="15"/>
      <c r="L80" s="20">
        <f>+D80-H80</f>
        <v>-2979.2199999999866</v>
      </c>
      <c r="M80" s="15"/>
      <c r="N80" s="19">
        <f>IF(H80=0,0,L80/H80)</f>
        <v>0.16196835462306863</v>
      </c>
      <c r="O80" s="25"/>
      <c r="P80" s="20">
        <f>+P20-P22+P78</f>
        <v>-54350.510000000009</v>
      </c>
      <c r="Q80" s="13"/>
      <c r="R80" s="19">
        <f>IF(P$12=0,0,P80/P$12)</f>
        <v>-1.0348157493100025</v>
      </c>
      <c r="S80" s="13"/>
      <c r="T80" s="20">
        <f>+T20-T22+T78</f>
        <v>-38633.790000000008</v>
      </c>
      <c r="U80" s="13"/>
      <c r="V80" s="19">
        <f>IF(T$12=0,0,T80/T$12)</f>
        <v>-1.6596368488293474</v>
      </c>
      <c r="W80" s="15"/>
      <c r="X80" s="20">
        <f>+P80-T80</f>
        <v>-15716.720000000001</v>
      </c>
      <c r="Y80" s="15"/>
      <c r="Z80" s="19">
        <f>IF(T80=0,0,X80/T80)</f>
        <v>0.40681279263566938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2783.62</v>
      </c>
      <c r="E82" s="4"/>
      <c r="F82" s="12">
        <f>IF(D$12=0,0,D82/D$12)</f>
        <v>8.0883376342392607E-2</v>
      </c>
      <c r="G82" s="4"/>
      <c r="H82" s="4">
        <v>2376.62</v>
      </c>
      <c r="I82" s="4"/>
      <c r="J82" s="12">
        <f>IF(H$12=0,0,H82/H$12)</f>
        <v>0.10209524169554171</v>
      </c>
      <c r="K82" s="4"/>
      <c r="L82" s="4">
        <f>+D82-H82</f>
        <v>407</v>
      </c>
      <c r="M82" s="4"/>
      <c r="N82" s="12">
        <f>IF(H82=0,0,L82/H82)</f>
        <v>0.17125160942851614</v>
      </c>
      <c r="O82" s="10"/>
      <c r="P82" s="4">
        <v>6548.53</v>
      </c>
      <c r="Q82" s="4"/>
      <c r="R82" s="12">
        <f>IF(P$12=0,0,P82/P$12)</f>
        <v>0.12468184712211587</v>
      </c>
      <c r="S82" s="4"/>
      <c r="T82" s="4">
        <v>2376.62</v>
      </c>
      <c r="U82" s="4"/>
      <c r="V82" s="12">
        <f>IF(T$12=0,0,T82/T$12)</f>
        <v>0.10209524169554171</v>
      </c>
      <c r="W82" s="4"/>
      <c r="X82" s="4">
        <f>+P82-T82</f>
        <v>4171.91</v>
      </c>
      <c r="Y82" s="4"/>
      <c r="Z82" s="12">
        <f>IF(T82=0,0,X82/T82)</f>
        <v>1.7553963191423114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4</v>
      </c>
      <c r="C84" s="26"/>
      <c r="D84" s="31">
        <f>+D80-D82</f>
        <v>-24156.679999999997</v>
      </c>
      <c r="E84" s="13"/>
      <c r="F84" s="36">
        <f>IF(D$12=0,0,D84/D$12)</f>
        <v>-0.70191830767947794</v>
      </c>
      <c r="G84" s="13"/>
      <c r="H84" s="31">
        <f>+H80-H82</f>
        <v>-20770.46000000001</v>
      </c>
      <c r="I84" s="13"/>
      <c r="J84" s="36">
        <f>IF(H$12=0,0,H84/H$12)</f>
        <v>-0.89226091416700293</v>
      </c>
      <c r="K84" s="15"/>
      <c r="L84" s="31">
        <f>D84-H84</f>
        <v>-3386.2199999999866</v>
      </c>
      <c r="M84" s="15"/>
      <c r="N84" s="36">
        <f>IF(H84=0,0,L84/H84)</f>
        <v>0.16303057322755418</v>
      </c>
      <c r="O84" s="25"/>
      <c r="P84" s="31">
        <f>+P80-P82</f>
        <v>-60899.040000000008</v>
      </c>
      <c r="Q84" s="13"/>
      <c r="R84" s="36">
        <f>IF(P$12=0,0,P84/P$12)</f>
        <v>-1.1594975964321184</v>
      </c>
      <c r="S84" s="13"/>
      <c r="T84" s="31">
        <f>+T80-T82</f>
        <v>-41010.410000000011</v>
      </c>
      <c r="U84" s="13"/>
      <c r="V84" s="36">
        <f>IF(T$12=0,0,T84/T$12)</f>
        <v>-1.7617320905248892</v>
      </c>
      <c r="W84" s="15"/>
      <c r="X84" s="31">
        <f>P84-T84</f>
        <v>-19888.629999999997</v>
      </c>
      <c r="Y84" s="15"/>
      <c r="Z84" s="36">
        <f>IF(T84=0,0,X84/T84)</f>
        <v>0.48496540268678107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5</v>
      </c>
      <c r="C87" s="26"/>
      <c r="D87" s="32">
        <f>SUM(D84:D86)</f>
        <v>-24156.679999999997</v>
      </c>
      <c r="E87" s="13"/>
      <c r="F87" s="30">
        <f>IF(D$12=0,0,D87/D$12)</f>
        <v>-0.70191830767947794</v>
      </c>
      <c r="G87" s="13"/>
      <c r="H87" s="32">
        <f>SUM(H84:H86)</f>
        <v>-20770.46000000001</v>
      </c>
      <c r="I87" s="13"/>
      <c r="J87" s="30">
        <f>IF(H$12=0,0,H87/H$12)</f>
        <v>-0.89226091416700293</v>
      </c>
      <c r="K87" s="15"/>
      <c r="L87" s="32">
        <f>+D87-H87</f>
        <v>-3386.2199999999866</v>
      </c>
      <c r="M87" s="15"/>
      <c r="N87" s="30">
        <f>IF(H87=0,0,L87/H87)</f>
        <v>0.16303057322755418</v>
      </c>
      <c r="O87" s="25"/>
      <c r="P87" s="32">
        <f>SUM(P84:P86)</f>
        <v>-60899.040000000008</v>
      </c>
      <c r="Q87" s="13"/>
      <c r="R87" s="30">
        <f>IF(P$12=0,0,P87/P$12)</f>
        <v>-1.1594975964321184</v>
      </c>
      <c r="S87" s="13"/>
      <c r="T87" s="32">
        <f>SUM(T84:T86)</f>
        <v>-41010.410000000011</v>
      </c>
      <c r="U87" s="13"/>
      <c r="V87" s="30">
        <f>IF(T$12=0,0,T87/T$12)</f>
        <v>-1.7617320905248892</v>
      </c>
      <c r="W87" s="15"/>
      <c r="X87" s="32">
        <f>+P87-T87</f>
        <v>-19888.629999999997</v>
      </c>
      <c r="Y87" s="15"/>
      <c r="Z87" s="30">
        <f>IF(T87=0,0,X87/T87)</f>
        <v>0.48496540268678107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7">
        <v>43732.709955787039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0" t="s">
        <v>313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6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","406", " - ", "OPA! Greek")</f>
        <v>Department 406 - OPA! Greek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15720.03</v>
      </c>
      <c r="E12" s="4"/>
      <c r="F12" s="12"/>
      <c r="G12" s="4"/>
      <c r="H12" s="4">
        <f>SUM(OSRRefH13x_0)</f>
        <v>13693.43</v>
      </c>
      <c r="I12" s="4"/>
      <c r="J12" s="12"/>
      <c r="K12" s="4"/>
      <c r="L12" s="4">
        <f t="shared" ref="L12:L14" si="0">+D12-H12</f>
        <v>2026.6000000000004</v>
      </c>
      <c r="M12" s="4"/>
      <c r="N12" s="12">
        <f t="shared" ref="N12:N14" si="1">IF(H12=0,0,L12/H12)</f>
        <v>0.14799798151376245</v>
      </c>
      <c r="O12" s="10"/>
      <c r="P12" s="4">
        <f>SUM(OSRRefP13x_0)</f>
        <v>15720.03</v>
      </c>
      <c r="Q12" s="4"/>
      <c r="R12" s="12"/>
      <c r="S12" s="4"/>
      <c r="T12" s="4">
        <f>SUM(OSRRefT13x_0)</f>
        <v>13693.43</v>
      </c>
      <c r="U12" s="4"/>
      <c r="V12" s="12"/>
      <c r="W12" s="4"/>
      <c r="X12" s="4">
        <f t="shared" ref="X12:X14" si="2">+P12-T12</f>
        <v>2026.6000000000004</v>
      </c>
      <c r="Y12" s="4"/>
      <c r="Z12" s="12">
        <f t="shared" ref="Z12:Z14" si="3">IF(T12=0,0,X12/T12)</f>
        <v>0.14799798151376245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--3894.93</f>
        <v>3894.93</v>
      </c>
      <c r="E13" s="2"/>
      <c r="F13" s="21"/>
      <c r="G13" s="2"/>
      <c r="H13" s="2">
        <f>--3589.75</f>
        <v>3589.75</v>
      </c>
      <c r="I13" s="2"/>
      <c r="J13" s="21"/>
      <c r="K13" s="2"/>
      <c r="L13" s="2">
        <f t="shared" si="0"/>
        <v>305.17999999999984</v>
      </c>
      <c r="M13" s="2"/>
      <c r="N13" s="21">
        <f t="shared" si="1"/>
        <v>8.5014276760220026E-2</v>
      </c>
      <c r="O13" s="11"/>
      <c r="P13" s="2">
        <f>--3894.93</f>
        <v>3894.93</v>
      </c>
      <c r="Q13" s="2"/>
      <c r="R13" s="21"/>
      <c r="S13" s="2"/>
      <c r="T13" s="2">
        <f>--3589.75</f>
        <v>3589.75</v>
      </c>
      <c r="U13" s="2"/>
      <c r="V13" s="21"/>
      <c r="W13" s="2"/>
      <c r="X13" s="2">
        <f t="shared" si="2"/>
        <v>305.17999999999984</v>
      </c>
      <c r="Y13" s="2"/>
      <c r="Z13" s="21">
        <f t="shared" si="3"/>
        <v>8.5014276760220026E-2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--11825.1</f>
        <v>11825.1</v>
      </c>
      <c r="E14" s="2"/>
      <c r="F14" s="21"/>
      <c r="G14" s="2"/>
      <c r="H14" s="2">
        <f>--10103.68</f>
        <v>10103.68</v>
      </c>
      <c r="I14" s="2"/>
      <c r="J14" s="21"/>
      <c r="K14" s="2"/>
      <c r="L14" s="2">
        <f t="shared" si="0"/>
        <v>1721.42</v>
      </c>
      <c r="M14" s="2"/>
      <c r="N14" s="21">
        <f t="shared" si="1"/>
        <v>0.17037554633559257</v>
      </c>
      <c r="O14" s="11"/>
      <c r="P14" s="2">
        <f>--11825.1</f>
        <v>11825.1</v>
      </c>
      <c r="Q14" s="2"/>
      <c r="R14" s="21"/>
      <c r="S14" s="2"/>
      <c r="T14" s="2">
        <f>--10103.68</f>
        <v>10103.68</v>
      </c>
      <c r="U14" s="2"/>
      <c r="V14" s="21"/>
      <c r="W14" s="2"/>
      <c r="X14" s="2">
        <f t="shared" si="2"/>
        <v>1721.42</v>
      </c>
      <c r="Y14" s="2"/>
      <c r="Z14" s="21">
        <f t="shared" si="3"/>
        <v>0.17037554633559257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5030.41</v>
      </c>
      <c r="E16" s="4"/>
      <c r="F16" s="12">
        <f t="shared" ref="F16:F18" si="4">IF(D$12=0,0,D16/D$12)</f>
        <v>0.32000002544524403</v>
      </c>
      <c r="G16" s="4"/>
      <c r="H16" s="4">
        <f>SUM(OSRRefH16x_0)</f>
        <v>4381.8899999999994</v>
      </c>
      <c r="I16" s="4"/>
      <c r="J16" s="12">
        <f t="shared" ref="J16:J18" si="5">IF(H$12=0,0,H16/H$12)</f>
        <v>0.31999944498931232</v>
      </c>
      <c r="K16" s="4"/>
      <c r="L16" s="4">
        <f t="shared" ref="L16:L18" si="6">+D16-H16</f>
        <v>648.52000000000044</v>
      </c>
      <c r="M16" s="4"/>
      <c r="N16" s="12">
        <f t="shared" ref="N16:N18" si="7">IF(H16=0,0,L16/H16)</f>
        <v>0.14800006389936773</v>
      </c>
      <c r="O16" s="10"/>
      <c r="P16" s="4">
        <f>SUM(OSRRefP16x_0)</f>
        <v>5030.6900000000005</v>
      </c>
      <c r="Q16" s="4"/>
      <c r="R16" s="12">
        <f t="shared" ref="R16:R18" si="8">IF(P$12=0,0,P16/P$12)</f>
        <v>0.32001783711608695</v>
      </c>
      <c r="S16" s="4"/>
      <c r="T16" s="4">
        <f>SUM(OSRRefT16x_0)</f>
        <v>4382.0499999999993</v>
      </c>
      <c r="U16" s="4"/>
      <c r="V16" s="12">
        <f t="shared" ref="V16:V18" si="9">IF(T$12=0,0,T16/T$12)</f>
        <v>0.32001112942484089</v>
      </c>
      <c r="W16" s="4"/>
      <c r="X16" s="4">
        <f t="shared" ref="X16:X18" si="10">+P16-T16</f>
        <v>648.64000000000124</v>
      </c>
      <c r="Y16" s="4"/>
      <c r="Z16" s="12">
        <f t="shared" ref="Z16:Z18" si="11">IF(T16=0,0,X16/T16)</f>
        <v>0.1480220444769004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10079.41</v>
      </c>
      <c r="E17" s="2"/>
      <c r="F17" s="21">
        <f t="shared" si="4"/>
        <v>0.64118261860823422</v>
      </c>
      <c r="G17" s="2"/>
      <c r="H17" s="2">
        <v>9113.89</v>
      </c>
      <c r="I17" s="2"/>
      <c r="J17" s="21">
        <f t="shared" si="5"/>
        <v>0.6655666257467997</v>
      </c>
      <c r="K17" s="2"/>
      <c r="L17" s="2">
        <f t="shared" si="6"/>
        <v>965.52000000000044</v>
      </c>
      <c r="M17" s="2"/>
      <c r="N17" s="21">
        <f t="shared" si="7"/>
        <v>0.10593939580135381</v>
      </c>
      <c r="O17" s="11"/>
      <c r="P17" s="2">
        <v>10390.69</v>
      </c>
      <c r="Q17" s="2"/>
      <c r="R17" s="21">
        <f t="shared" si="8"/>
        <v>0.66098410753669046</v>
      </c>
      <c r="S17" s="2"/>
      <c r="T17" s="2">
        <v>9178.0499999999993</v>
      </c>
      <c r="U17" s="2"/>
      <c r="V17" s="21">
        <f t="shared" si="9"/>
        <v>0.67025208439375661</v>
      </c>
      <c r="W17" s="2"/>
      <c r="X17" s="2">
        <f t="shared" si="10"/>
        <v>1212.6400000000012</v>
      </c>
      <c r="Y17" s="2"/>
      <c r="Z17" s="21">
        <f t="shared" si="11"/>
        <v>0.13212392610630813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-5049</v>
      </c>
      <c r="E18" s="2"/>
      <c r="F18" s="21">
        <f t="shared" si="4"/>
        <v>-0.32118259316299014</v>
      </c>
      <c r="G18" s="2"/>
      <c r="H18" s="2">
        <v>-4732</v>
      </c>
      <c r="I18" s="2"/>
      <c r="J18" s="21">
        <f t="shared" si="5"/>
        <v>-0.34556718075748732</v>
      </c>
      <c r="K18" s="2"/>
      <c r="L18" s="2">
        <f t="shared" si="6"/>
        <v>-317</v>
      </c>
      <c r="M18" s="2"/>
      <c r="N18" s="21">
        <f t="shared" si="7"/>
        <v>6.6990701606086223E-2</v>
      </c>
      <c r="O18" s="11"/>
      <c r="P18" s="2">
        <v>-5360</v>
      </c>
      <c r="Q18" s="2"/>
      <c r="R18" s="21">
        <f t="shared" si="8"/>
        <v>-0.34096627042060351</v>
      </c>
      <c r="S18" s="2"/>
      <c r="T18" s="2">
        <v>-4796</v>
      </c>
      <c r="U18" s="2"/>
      <c r="V18" s="21">
        <f t="shared" si="9"/>
        <v>-0.35024095496891572</v>
      </c>
      <c r="W18" s="2"/>
      <c r="X18" s="2">
        <f t="shared" si="10"/>
        <v>-564</v>
      </c>
      <c r="Y18" s="2"/>
      <c r="Z18" s="21">
        <f t="shared" si="11"/>
        <v>0.11759799833194329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10689.62</v>
      </c>
      <c r="E20" s="13"/>
      <c r="F20" s="19">
        <f>IF(D$12=0,0,D20/D$12)</f>
        <v>0.67999997455475591</v>
      </c>
      <c r="G20" s="13"/>
      <c r="H20" s="20">
        <f>H12-H16</f>
        <v>9311.5400000000009</v>
      </c>
      <c r="I20" s="13"/>
      <c r="J20" s="19">
        <f>IF(H$12=0,0,H20/H$12)</f>
        <v>0.68000055501068768</v>
      </c>
      <c r="K20" s="15"/>
      <c r="L20" s="20">
        <f>+D20-H20</f>
        <v>1378.08</v>
      </c>
      <c r="M20" s="15"/>
      <c r="N20" s="19">
        <f>IF(H20=0,0,L20/H20)</f>
        <v>0.14799700157009471</v>
      </c>
      <c r="O20" s="25"/>
      <c r="P20" s="20">
        <f>P12-P16</f>
        <v>10689.34</v>
      </c>
      <c r="Q20" s="13"/>
      <c r="R20" s="19">
        <f>IF(P$12=0,0,P20/P$12)</f>
        <v>0.679982162883913</v>
      </c>
      <c r="S20" s="13"/>
      <c r="T20" s="20">
        <f>T12-T16</f>
        <v>9311.380000000001</v>
      </c>
      <c r="U20" s="13"/>
      <c r="V20" s="19">
        <f>IF(T$12=0,0,T20/T$12)</f>
        <v>0.67998887057515911</v>
      </c>
      <c r="W20" s="15"/>
      <c r="X20" s="20">
        <f>+P20-T20</f>
        <v>1377.9599999999991</v>
      </c>
      <c r="Y20" s="15"/>
      <c r="Z20" s="19">
        <f>IF(T20=0,0,X20/T20)</f>
        <v>0.1479866571872267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20295.969999999998</v>
      </c>
      <c r="E22" s="22"/>
      <c r="F22" s="33">
        <f t="shared" ref="F22:F31" si="12">IF(D$12=0,0,D22/D$12)</f>
        <v>1.2910897752739656</v>
      </c>
      <c r="G22" s="22"/>
      <c r="H22" s="22">
        <f>SUM(OSRRefH22x_0)</f>
        <v>14460.19</v>
      </c>
      <c r="I22" s="22"/>
      <c r="J22" s="33">
        <f t="shared" ref="J22:J31" si="13">IF(H$12=0,0,H22/H$12)</f>
        <v>1.0559947361617943</v>
      </c>
      <c r="K22" s="4"/>
      <c r="L22" s="22">
        <f t="shared" ref="L22:L31" si="14">+D22-H22</f>
        <v>5835.779999999997</v>
      </c>
      <c r="M22" s="4"/>
      <c r="N22" s="33">
        <f t="shared" ref="N22:N31" si="15">IF(H22=0,0,L22/H22)</f>
        <v>0.40357561000235798</v>
      </c>
      <c r="O22" s="10"/>
      <c r="P22" s="22">
        <f>SUM(OSRRefP22x_0)</f>
        <v>31826.249999999993</v>
      </c>
      <c r="Q22" s="22"/>
      <c r="R22" s="33">
        <f t="shared" ref="R22:R31" si="16">IF(P$12=0,0,P22/P$12)</f>
        <v>2.0245667470100241</v>
      </c>
      <c r="S22" s="22"/>
      <c r="T22" s="22">
        <f>SUM(OSRRefT22x_0)</f>
        <v>25176.46</v>
      </c>
      <c r="U22" s="22"/>
      <c r="V22" s="33">
        <f t="shared" ref="V22:V31" si="17">IF(T$12=0,0,T22/T$12)</f>
        <v>1.8385795231727915</v>
      </c>
      <c r="W22" s="4"/>
      <c r="X22" s="22">
        <f t="shared" ref="X22:X31" si="18">+P22-T22</f>
        <v>6649.7899999999936</v>
      </c>
      <c r="Y22" s="4"/>
      <c r="Z22" s="33">
        <f t="shared" ref="Z22:Z31" si="19">IF(T22=0,0,X22/T22)</f>
        <v>0.26412728397876406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2071.4100000000003</v>
      </c>
      <c r="E23" s="1"/>
      <c r="F23" s="5">
        <f t="shared" si="12"/>
        <v>0.13176883250222807</v>
      </c>
      <c r="G23" s="1"/>
      <c r="H23" s="1">
        <f>SUM(OSRRefH22_0x_0)</f>
        <v>1471.4499999999998</v>
      </c>
      <c r="I23" s="1"/>
      <c r="J23" s="5">
        <f t="shared" si="13"/>
        <v>0.10745664161572373</v>
      </c>
      <c r="K23" s="1"/>
      <c r="L23" s="1">
        <f t="shared" si="14"/>
        <v>599.96000000000049</v>
      </c>
      <c r="M23" s="1"/>
      <c r="N23" s="5">
        <f t="shared" si="15"/>
        <v>0.40773386795337968</v>
      </c>
      <c r="O23" s="14"/>
      <c r="P23" s="1">
        <f>SUM(OSRRefP22_0x_0)</f>
        <v>3778.79</v>
      </c>
      <c r="Q23" s="1"/>
      <c r="R23" s="5">
        <f t="shared" si="16"/>
        <v>0.24038058451542393</v>
      </c>
      <c r="S23" s="1"/>
      <c r="T23" s="1">
        <f>SUM(OSRRefT22_0x_0)</f>
        <v>3086.2899999999995</v>
      </c>
      <c r="U23" s="1"/>
      <c r="V23" s="5">
        <f t="shared" si="17"/>
        <v>0.22538472829670866</v>
      </c>
      <c r="W23" s="1"/>
      <c r="X23" s="1">
        <f t="shared" si="18"/>
        <v>692.50000000000045</v>
      </c>
      <c r="Y23" s="1"/>
      <c r="Z23" s="5">
        <f t="shared" si="19"/>
        <v>0.22437943291135978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679.1</v>
      </c>
      <c r="E24" s="2"/>
      <c r="F24" s="6">
        <f t="shared" si="12"/>
        <v>4.319966310496863E-2</v>
      </c>
      <c r="G24" s="2"/>
      <c r="H24" s="7">
        <v>435.68</v>
      </c>
      <c r="I24" s="2"/>
      <c r="J24" s="6">
        <f t="shared" si="13"/>
        <v>3.1816717944298835E-2</v>
      </c>
      <c r="K24" s="2"/>
      <c r="L24" s="7">
        <f t="shared" si="14"/>
        <v>243.42000000000002</v>
      </c>
      <c r="M24" s="2"/>
      <c r="N24" s="6">
        <f t="shared" si="15"/>
        <v>0.55871281674623585</v>
      </c>
      <c r="O24" s="11"/>
      <c r="P24" s="7">
        <v>1047.3399999999999</v>
      </c>
      <c r="Q24" s="2"/>
      <c r="R24" s="6">
        <f t="shared" si="16"/>
        <v>6.6624554787745302E-2</v>
      </c>
      <c r="S24" s="2"/>
      <c r="T24" s="7">
        <v>759.99</v>
      </c>
      <c r="U24" s="2"/>
      <c r="V24" s="6">
        <f t="shared" si="17"/>
        <v>5.5500338483491715E-2</v>
      </c>
      <c r="W24" s="2"/>
      <c r="X24" s="7">
        <f t="shared" si="18"/>
        <v>287.34999999999991</v>
      </c>
      <c r="Y24" s="2"/>
      <c r="Z24" s="6">
        <f t="shared" si="19"/>
        <v>0.3780970802247397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391.04</v>
      </c>
      <c r="E25" s="2"/>
      <c r="F25" s="6">
        <f t="shared" si="12"/>
        <v>2.4875270594267314E-2</v>
      </c>
      <c r="G25" s="2"/>
      <c r="H25" s="7">
        <v>231.26</v>
      </c>
      <c r="I25" s="2"/>
      <c r="J25" s="6">
        <f t="shared" si="13"/>
        <v>1.6888391002108309E-2</v>
      </c>
      <c r="K25" s="2"/>
      <c r="L25" s="7">
        <f t="shared" si="14"/>
        <v>159.78000000000003</v>
      </c>
      <c r="M25" s="2"/>
      <c r="N25" s="6">
        <f t="shared" si="15"/>
        <v>0.69091066332266726</v>
      </c>
      <c r="O25" s="11"/>
      <c r="P25" s="7">
        <v>641.42999999999995</v>
      </c>
      <c r="Q25" s="2"/>
      <c r="R25" s="6">
        <f t="shared" si="16"/>
        <v>4.0803357245501437E-2</v>
      </c>
      <c r="S25" s="2"/>
      <c r="T25" s="7">
        <v>458.54</v>
      </c>
      <c r="U25" s="2"/>
      <c r="V25" s="6">
        <f t="shared" si="17"/>
        <v>3.3486131670443418E-2</v>
      </c>
      <c r="W25" s="2"/>
      <c r="X25" s="7">
        <f t="shared" si="18"/>
        <v>182.88999999999993</v>
      </c>
      <c r="Y25" s="2"/>
      <c r="Z25" s="6">
        <f t="shared" si="19"/>
        <v>0.39885288088280174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34.97</v>
      </c>
      <c r="E26" s="2"/>
      <c r="F26" s="6">
        <f t="shared" si="12"/>
        <v>2.2245504620538254E-3</v>
      </c>
      <c r="G26" s="2"/>
      <c r="H26" s="7">
        <v>31.65</v>
      </c>
      <c r="I26" s="2"/>
      <c r="J26" s="6">
        <f t="shared" si="13"/>
        <v>2.311327402995451E-3</v>
      </c>
      <c r="K26" s="2"/>
      <c r="L26" s="7">
        <f t="shared" si="14"/>
        <v>3.3200000000000003</v>
      </c>
      <c r="M26" s="2"/>
      <c r="N26" s="6">
        <f t="shared" si="15"/>
        <v>0.10489731437598737</v>
      </c>
      <c r="O26" s="11"/>
      <c r="P26" s="7">
        <v>69.94</v>
      </c>
      <c r="Q26" s="2"/>
      <c r="R26" s="6">
        <f t="shared" si="16"/>
        <v>4.4491009241076507E-3</v>
      </c>
      <c r="S26" s="2"/>
      <c r="T26" s="7">
        <v>62.33</v>
      </c>
      <c r="U26" s="2"/>
      <c r="V26" s="6">
        <f t="shared" si="17"/>
        <v>4.5518179155989401E-3</v>
      </c>
      <c r="W26" s="2"/>
      <c r="X26" s="7">
        <f t="shared" si="18"/>
        <v>7.6099999999999994</v>
      </c>
      <c r="Y26" s="2"/>
      <c r="Z26" s="6">
        <f t="shared" si="19"/>
        <v>0.12209209048612224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26.2</v>
      </c>
      <c r="E27" s="2"/>
      <c r="F27" s="6">
        <f t="shared" si="12"/>
        <v>1.6666634860111589E-3</v>
      </c>
      <c r="G27" s="2"/>
      <c r="H27" s="7">
        <v>17.18</v>
      </c>
      <c r="I27" s="2"/>
      <c r="J27" s="6">
        <f t="shared" si="13"/>
        <v>1.2546162648803111E-3</v>
      </c>
      <c r="K27" s="2"/>
      <c r="L27" s="7">
        <f t="shared" si="14"/>
        <v>9.02</v>
      </c>
      <c r="M27" s="2"/>
      <c r="N27" s="6">
        <f t="shared" si="15"/>
        <v>0.52502910360884747</v>
      </c>
      <c r="O27" s="11"/>
      <c r="P27" s="7">
        <v>42.98</v>
      </c>
      <c r="Q27" s="2"/>
      <c r="R27" s="6">
        <f t="shared" si="16"/>
        <v>2.7340914743801377E-3</v>
      </c>
      <c r="S27" s="2"/>
      <c r="T27" s="7">
        <v>34.06</v>
      </c>
      <c r="U27" s="2"/>
      <c r="V27" s="6">
        <f t="shared" si="17"/>
        <v>2.4873242131445519E-3</v>
      </c>
      <c r="W27" s="2"/>
      <c r="X27" s="7">
        <f t="shared" si="18"/>
        <v>8.9199999999999946</v>
      </c>
      <c r="Y27" s="2"/>
      <c r="Z27" s="6">
        <f t="shared" si="19"/>
        <v>0.26189078097475027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315.45</v>
      </c>
      <c r="E28" s="2"/>
      <c r="F28" s="6">
        <f t="shared" si="12"/>
        <v>2.006675559779466E-2</v>
      </c>
      <c r="G28" s="2"/>
      <c r="H28" s="7">
        <v>271.05</v>
      </c>
      <c r="I28" s="2"/>
      <c r="J28" s="6">
        <f t="shared" si="13"/>
        <v>1.9794164062619812E-2</v>
      </c>
      <c r="K28" s="2"/>
      <c r="L28" s="7">
        <f t="shared" si="14"/>
        <v>44.399999999999977</v>
      </c>
      <c r="M28" s="2"/>
      <c r="N28" s="6">
        <f t="shared" si="15"/>
        <v>0.16380741560597667</v>
      </c>
      <c r="O28" s="11"/>
      <c r="P28" s="7">
        <v>630.9</v>
      </c>
      <c r="Q28" s="2"/>
      <c r="R28" s="6">
        <f t="shared" si="16"/>
        <v>4.0133511195589319E-2</v>
      </c>
      <c r="S28" s="2"/>
      <c r="T28" s="7">
        <v>673.68</v>
      </c>
      <c r="U28" s="2"/>
      <c r="V28" s="6">
        <f t="shared" si="17"/>
        <v>4.9197315793048195E-2</v>
      </c>
      <c r="W28" s="2"/>
      <c r="X28" s="7">
        <f t="shared" si="18"/>
        <v>-42.779999999999973</v>
      </c>
      <c r="Y28" s="2"/>
      <c r="Z28" s="6">
        <f t="shared" si="19"/>
        <v>-6.3501959387246135E-2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173.88</v>
      </c>
      <c r="E29" s="2"/>
      <c r="F29" s="6">
        <f t="shared" si="12"/>
        <v>1.1061047593420623E-2</v>
      </c>
      <c r="G29" s="2"/>
      <c r="H29" s="7">
        <v>152.52000000000001</v>
      </c>
      <c r="I29" s="2"/>
      <c r="J29" s="6">
        <f t="shared" si="13"/>
        <v>1.1138188167610308E-2</v>
      </c>
      <c r="K29" s="2"/>
      <c r="L29" s="7">
        <f t="shared" si="14"/>
        <v>21.359999999999985</v>
      </c>
      <c r="M29" s="2"/>
      <c r="N29" s="6">
        <f t="shared" si="15"/>
        <v>0.14004720692368203</v>
      </c>
      <c r="O29" s="11"/>
      <c r="P29" s="7">
        <v>417.71</v>
      </c>
      <c r="Q29" s="2"/>
      <c r="R29" s="6">
        <f t="shared" si="16"/>
        <v>2.6571832242050425E-2</v>
      </c>
      <c r="S29" s="2"/>
      <c r="T29" s="7">
        <v>343.26</v>
      </c>
      <c r="U29" s="2"/>
      <c r="V29" s="6">
        <f t="shared" si="17"/>
        <v>2.5067495872108009E-2</v>
      </c>
      <c r="W29" s="2"/>
      <c r="X29" s="7">
        <f t="shared" si="18"/>
        <v>74.449999999999989</v>
      </c>
      <c r="Y29" s="2"/>
      <c r="Z29" s="6">
        <f t="shared" si="19"/>
        <v>0.21689098642428478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208.3</v>
      </c>
      <c r="E30" s="2"/>
      <c r="F30" s="6">
        <f t="shared" si="12"/>
        <v>1.3250610844890246E-2</v>
      </c>
      <c r="G30" s="2"/>
      <c r="H30" s="7">
        <v>182.72</v>
      </c>
      <c r="I30" s="2"/>
      <c r="J30" s="6">
        <f t="shared" si="13"/>
        <v>1.3343625373628083E-2</v>
      </c>
      <c r="K30" s="2"/>
      <c r="L30" s="7">
        <f t="shared" si="14"/>
        <v>25.580000000000013</v>
      </c>
      <c r="M30" s="2"/>
      <c r="N30" s="6">
        <f t="shared" si="15"/>
        <v>0.13999562171628729</v>
      </c>
      <c r="O30" s="11"/>
      <c r="P30" s="7">
        <v>538.42999999999995</v>
      </c>
      <c r="Q30" s="2"/>
      <c r="R30" s="6">
        <f t="shared" si="16"/>
        <v>3.4251206899732378E-2</v>
      </c>
      <c r="S30" s="2"/>
      <c r="T30" s="7">
        <v>455.04</v>
      </c>
      <c r="U30" s="2"/>
      <c r="V30" s="6">
        <f t="shared" si="17"/>
        <v>3.3230534643255927E-2</v>
      </c>
      <c r="W30" s="2"/>
      <c r="X30" s="7">
        <f t="shared" si="18"/>
        <v>83.38999999999993</v>
      </c>
      <c r="Y30" s="2"/>
      <c r="Z30" s="6">
        <f t="shared" si="19"/>
        <v>0.18325861462728535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242.47</v>
      </c>
      <c r="E31" s="2"/>
      <c r="F31" s="6">
        <f t="shared" si="12"/>
        <v>1.5424270818821592E-2</v>
      </c>
      <c r="G31" s="2"/>
      <c r="H31" s="7">
        <v>149.38999999999999</v>
      </c>
      <c r="I31" s="2"/>
      <c r="J31" s="6">
        <f t="shared" si="13"/>
        <v>1.0909611397582635E-2</v>
      </c>
      <c r="K31" s="2"/>
      <c r="L31" s="7">
        <f t="shared" si="14"/>
        <v>93.080000000000013</v>
      </c>
      <c r="M31" s="2"/>
      <c r="N31" s="6">
        <f t="shared" si="15"/>
        <v>0.62306713970145267</v>
      </c>
      <c r="O31" s="11"/>
      <c r="P31" s="7">
        <v>390.06</v>
      </c>
      <c r="Q31" s="2"/>
      <c r="R31" s="6">
        <f t="shared" si="16"/>
        <v>2.4812929746317276E-2</v>
      </c>
      <c r="S31" s="2"/>
      <c r="T31" s="7">
        <v>299.39</v>
      </c>
      <c r="U31" s="2"/>
      <c r="V31" s="6">
        <f t="shared" si="17"/>
        <v>2.1863769705617948E-2</v>
      </c>
      <c r="W31" s="2"/>
      <c r="X31" s="7">
        <f t="shared" si="18"/>
        <v>90.670000000000016</v>
      </c>
      <c r="Y31" s="2"/>
      <c r="Z31" s="6">
        <f t="shared" si="19"/>
        <v>0.30284912655733331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12461.9</v>
      </c>
      <c r="E32" s="1"/>
      <c r="F32" s="5">
        <f t="shared" ref="F32:F37" si="20">IF(D$12=0,0,D32/D$12)</f>
        <v>0.79274021741688783</v>
      </c>
      <c r="G32" s="1"/>
      <c r="H32" s="1">
        <f>SUM(OSRRefH22_1x_0)</f>
        <v>7926.2</v>
      </c>
      <c r="I32" s="1"/>
      <c r="J32" s="5">
        <f t="shared" ref="J32:J37" si="21">IF(H$12=0,0,H32/H$12)</f>
        <v>0.57883233054099659</v>
      </c>
      <c r="K32" s="1"/>
      <c r="L32" s="1">
        <f t="shared" ref="L32:L37" si="22">+D32-H32</f>
        <v>4535.7</v>
      </c>
      <c r="M32" s="1"/>
      <c r="N32" s="5">
        <f t="shared" ref="N32:N37" si="23">IF(H32=0,0,L32/H32)</f>
        <v>0.57224142716560267</v>
      </c>
      <c r="O32" s="14"/>
      <c r="P32" s="1">
        <f>SUM(OSRRefP22_1x_0)</f>
        <v>17265.440000000002</v>
      </c>
      <c r="Q32" s="1"/>
      <c r="R32" s="5">
        <f t="shared" ref="R32:R37" si="24">IF(P$12=0,0,P32/P$12)</f>
        <v>1.0983083365616988</v>
      </c>
      <c r="S32" s="1"/>
      <c r="T32" s="1">
        <f>SUM(OSRRefT22_1x_0)</f>
        <v>12457.09</v>
      </c>
      <c r="U32" s="1"/>
      <c r="V32" s="5">
        <f t="shared" ref="V32:V37" si="25">IF(T$12=0,0,T32/T$12)</f>
        <v>0.90971290611629074</v>
      </c>
      <c r="W32" s="1"/>
      <c r="X32" s="1">
        <f t="shared" ref="X32:X37" si="26">+P32-T32</f>
        <v>4808.3500000000022</v>
      </c>
      <c r="Y32" s="1"/>
      <c r="Z32" s="5">
        <f t="shared" ref="Z32:Z37" si="27">IF(T32=0,0,X32/T32)</f>
        <v>0.38599303689706038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4645.3999999999996</v>
      </c>
      <c r="E33" s="2"/>
      <c r="F33" s="6">
        <f t="shared" si="20"/>
        <v>0.29550834190519987</v>
      </c>
      <c r="G33" s="2"/>
      <c r="H33" s="7">
        <v>3892.7</v>
      </c>
      <c r="I33" s="2"/>
      <c r="J33" s="6">
        <f t="shared" si="21"/>
        <v>0.28427501363792707</v>
      </c>
      <c r="K33" s="2"/>
      <c r="L33" s="7">
        <f t="shared" si="22"/>
        <v>752.69999999999982</v>
      </c>
      <c r="M33" s="2"/>
      <c r="N33" s="6">
        <f t="shared" si="23"/>
        <v>0.19336193387622982</v>
      </c>
      <c r="O33" s="11"/>
      <c r="P33" s="7">
        <v>9064.94</v>
      </c>
      <c r="Q33" s="2"/>
      <c r="R33" s="6">
        <f t="shared" si="24"/>
        <v>0.57664902675122121</v>
      </c>
      <c r="S33" s="2"/>
      <c r="T33" s="7">
        <v>7983.09</v>
      </c>
      <c r="U33" s="2"/>
      <c r="V33" s="6">
        <f t="shared" si="25"/>
        <v>0.58298687764862422</v>
      </c>
      <c r="W33" s="2"/>
      <c r="X33" s="7">
        <f t="shared" si="26"/>
        <v>1081.8500000000004</v>
      </c>
      <c r="Y33" s="2"/>
      <c r="Z33" s="6">
        <f t="shared" si="27"/>
        <v>0.13551770053951545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3561</v>
      </c>
      <c r="E34" s="2"/>
      <c r="F34" s="6">
        <f t="shared" si="20"/>
        <v>0.22652628525518081</v>
      </c>
      <c r="G34" s="2"/>
      <c r="H34" s="7">
        <v>646.75</v>
      </c>
      <c r="I34" s="2"/>
      <c r="J34" s="6">
        <f t="shared" si="21"/>
        <v>4.7230679238145591E-2</v>
      </c>
      <c r="K34" s="2"/>
      <c r="L34" s="7">
        <f t="shared" si="22"/>
        <v>2914.25</v>
      </c>
      <c r="M34" s="2"/>
      <c r="N34" s="6">
        <f t="shared" si="23"/>
        <v>4.5059914959412444</v>
      </c>
      <c r="O34" s="11"/>
      <c r="P34" s="7">
        <v>3729</v>
      </c>
      <c r="Q34" s="2"/>
      <c r="R34" s="6">
        <f t="shared" si="24"/>
        <v>0.2372132877609012</v>
      </c>
      <c r="S34" s="2"/>
      <c r="T34" s="7">
        <v>646.75</v>
      </c>
      <c r="U34" s="2"/>
      <c r="V34" s="6">
        <f t="shared" si="25"/>
        <v>4.7230679238145591E-2</v>
      </c>
      <c r="W34" s="2"/>
      <c r="X34" s="7">
        <f t="shared" si="26"/>
        <v>3082.25</v>
      </c>
      <c r="Y34" s="2"/>
      <c r="Z34" s="6">
        <f t="shared" si="27"/>
        <v>4.7657518361035951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>
        <v>110.5</v>
      </c>
      <c r="E35" s="2"/>
      <c r="F35" s="6">
        <f t="shared" si="20"/>
        <v>7.0292486719172927E-3</v>
      </c>
      <c r="G35" s="2"/>
      <c r="H35" s="7"/>
      <c r="I35" s="2"/>
      <c r="J35" s="6">
        <f t="shared" si="21"/>
        <v>0</v>
      </c>
      <c r="K35" s="2"/>
      <c r="L35" s="7">
        <f t="shared" si="22"/>
        <v>110.5</v>
      </c>
      <c r="M35" s="2"/>
      <c r="N35" s="6">
        <f t="shared" si="23"/>
        <v>0</v>
      </c>
      <c r="O35" s="11"/>
      <c r="P35" s="7">
        <v>110.5</v>
      </c>
      <c r="Q35" s="2"/>
      <c r="R35" s="6">
        <f t="shared" si="24"/>
        <v>7.0292486719172927E-3</v>
      </c>
      <c r="S35" s="2"/>
      <c r="T35" s="7"/>
      <c r="U35" s="2"/>
      <c r="V35" s="6">
        <f t="shared" si="25"/>
        <v>0</v>
      </c>
      <c r="W35" s="2"/>
      <c r="X35" s="7">
        <f t="shared" si="26"/>
        <v>110.5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4013</v>
      </c>
      <c r="E36" s="2"/>
      <c r="F36" s="6">
        <f t="shared" si="20"/>
        <v>0.25527941104438095</v>
      </c>
      <c r="G36" s="2"/>
      <c r="H36" s="7">
        <v>3043</v>
      </c>
      <c r="I36" s="2"/>
      <c r="J36" s="6">
        <f t="shared" si="21"/>
        <v>0.22222335820900971</v>
      </c>
      <c r="K36" s="2"/>
      <c r="L36" s="7">
        <f t="shared" si="22"/>
        <v>970</v>
      </c>
      <c r="M36" s="2"/>
      <c r="N36" s="6">
        <f t="shared" si="23"/>
        <v>0.31876437725928358</v>
      </c>
      <c r="O36" s="11"/>
      <c r="P36" s="7">
        <v>4229</v>
      </c>
      <c r="Q36" s="2"/>
      <c r="R36" s="6">
        <f t="shared" si="24"/>
        <v>0.26901984283745006</v>
      </c>
      <c r="S36" s="2"/>
      <c r="T36" s="7">
        <v>3483.5</v>
      </c>
      <c r="U36" s="2"/>
      <c r="V36" s="6">
        <f t="shared" si="25"/>
        <v>0.25439206977360673</v>
      </c>
      <c r="W36" s="2"/>
      <c r="X36" s="7">
        <f t="shared" si="26"/>
        <v>745.5</v>
      </c>
      <c r="Y36" s="2"/>
      <c r="Z36" s="6">
        <f t="shared" si="27"/>
        <v>0.21400889909573706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>
        <v>132</v>
      </c>
      <c r="E37" s="2"/>
      <c r="F37" s="6">
        <f t="shared" si="20"/>
        <v>8.3969305402088919E-3</v>
      </c>
      <c r="G37" s="2"/>
      <c r="H37" s="7">
        <v>343.75</v>
      </c>
      <c r="I37" s="2"/>
      <c r="J37" s="6">
        <f t="shared" si="21"/>
        <v>2.510327945591426E-2</v>
      </c>
      <c r="K37" s="2"/>
      <c r="L37" s="7">
        <f t="shared" si="22"/>
        <v>-211.75</v>
      </c>
      <c r="M37" s="2"/>
      <c r="N37" s="6">
        <f t="shared" si="23"/>
        <v>-0.61599999999999999</v>
      </c>
      <c r="O37" s="11"/>
      <c r="P37" s="7">
        <v>132</v>
      </c>
      <c r="Q37" s="2"/>
      <c r="R37" s="6">
        <f t="shared" si="24"/>
        <v>8.3969305402088919E-3</v>
      </c>
      <c r="S37" s="2"/>
      <c r="T37" s="7">
        <v>343.75</v>
      </c>
      <c r="U37" s="2"/>
      <c r="V37" s="6">
        <f t="shared" si="25"/>
        <v>2.510327945591426E-2</v>
      </c>
      <c r="W37" s="2"/>
      <c r="X37" s="7">
        <f t="shared" si="26"/>
        <v>-211.75</v>
      </c>
      <c r="Y37" s="2"/>
      <c r="Z37" s="6">
        <f t="shared" si="27"/>
        <v>-0.61599999999999999</v>
      </c>
    </row>
    <row r="38" spans="1:26" s="27" customFormat="1" outlineLevel="1" collapsed="1" x14ac:dyDescent="0.25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221.32</v>
      </c>
      <c r="E38" s="1"/>
      <c r="F38" s="5">
        <f t="shared" ref="F38:F60" si="28">IF(D$12=0,0,D38/D$12)</f>
        <v>1.4078853539083575E-2</v>
      </c>
      <c r="G38" s="1"/>
      <c r="H38" s="1">
        <f>SUM(OSRRefH22_2x_0)</f>
        <v>84.5</v>
      </c>
      <c r="I38" s="1"/>
      <c r="J38" s="5">
        <f t="shared" ref="J38:J60" si="29">IF(H$12=0,0,H38/H$12)</f>
        <v>6.17084251352656E-3</v>
      </c>
      <c r="K38" s="1"/>
      <c r="L38" s="1">
        <f t="shared" ref="L38:L60" si="30">+D38-H38</f>
        <v>136.82</v>
      </c>
      <c r="M38" s="1"/>
      <c r="N38" s="5">
        <f t="shared" ref="N38:N60" si="31">IF(H38=0,0,L38/H38)</f>
        <v>1.619171597633136</v>
      </c>
      <c r="O38" s="14"/>
      <c r="P38" s="1">
        <f>SUM(OSRRefP22_2x_0)</f>
        <v>310.32</v>
      </c>
      <c r="Q38" s="1"/>
      <c r="R38" s="5">
        <f t="shared" ref="R38:R60" si="32">IF(P$12=0,0,P38/P$12)</f>
        <v>1.9740420342709269E-2</v>
      </c>
      <c r="S38" s="1"/>
      <c r="T38" s="1">
        <f>SUM(OSRRefT22_2x_0)</f>
        <v>380.5</v>
      </c>
      <c r="U38" s="1"/>
      <c r="V38" s="5">
        <f t="shared" ref="V38:V60" si="33">IF(T$12=0,0,T38/T$12)</f>
        <v>2.7787048241382912E-2</v>
      </c>
      <c r="W38" s="1"/>
      <c r="X38" s="1">
        <f t="shared" ref="X38:X60" si="34">+P38-T38</f>
        <v>-70.180000000000007</v>
      </c>
      <c r="Y38" s="1"/>
      <c r="Z38" s="5">
        <f t="shared" ref="Z38:Z60" si="35">IF(T38=0,0,X38/T38)</f>
        <v>-0.18444152431011829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>
        <v>221.32</v>
      </c>
      <c r="E39" s="2"/>
      <c r="F39" s="6">
        <f t="shared" si="28"/>
        <v>1.4078853539083575E-2</v>
      </c>
      <c r="G39" s="2"/>
      <c r="H39" s="7">
        <v>84.5</v>
      </c>
      <c r="I39" s="2"/>
      <c r="J39" s="6">
        <f t="shared" si="29"/>
        <v>6.17084251352656E-3</v>
      </c>
      <c r="K39" s="2"/>
      <c r="L39" s="7">
        <f t="shared" si="30"/>
        <v>136.82</v>
      </c>
      <c r="M39" s="2"/>
      <c r="N39" s="6">
        <f t="shared" si="31"/>
        <v>1.619171597633136</v>
      </c>
      <c r="O39" s="11"/>
      <c r="P39" s="7">
        <v>310.32</v>
      </c>
      <c r="Q39" s="2"/>
      <c r="R39" s="6">
        <f t="shared" si="32"/>
        <v>1.9740420342709269E-2</v>
      </c>
      <c r="S39" s="2"/>
      <c r="T39" s="7">
        <v>380.5</v>
      </c>
      <c r="U39" s="2"/>
      <c r="V39" s="6">
        <f t="shared" si="33"/>
        <v>2.7787048241382912E-2</v>
      </c>
      <c r="W39" s="2"/>
      <c r="X39" s="7">
        <f t="shared" si="34"/>
        <v>-70.180000000000007</v>
      </c>
      <c r="Y39" s="2"/>
      <c r="Z39" s="6">
        <f t="shared" si="35"/>
        <v>-0.18444152431011829</v>
      </c>
    </row>
    <row r="40" spans="1:26" s="27" customFormat="1" outlineLevel="1" collapsed="1" x14ac:dyDescent="0.25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-17.52</v>
      </c>
      <c r="E40" s="1"/>
      <c r="F40" s="5">
        <f t="shared" si="28"/>
        <v>-1.114501689882271E-3</v>
      </c>
      <c r="G40" s="1"/>
      <c r="H40" s="1">
        <f>SUM(OSRRefH22_3x_0)</f>
        <v>3.18</v>
      </c>
      <c r="I40" s="1"/>
      <c r="J40" s="5">
        <f t="shared" si="29"/>
        <v>2.3222815613034865E-4</v>
      </c>
      <c r="K40" s="1"/>
      <c r="L40" s="1">
        <f t="shared" si="30"/>
        <v>-20.7</v>
      </c>
      <c r="M40" s="1"/>
      <c r="N40" s="5">
        <f t="shared" si="31"/>
        <v>-6.5094339622641506</v>
      </c>
      <c r="O40" s="14"/>
      <c r="P40" s="1">
        <f>SUM(OSRRefP22_3x_0)</f>
        <v>-17.52</v>
      </c>
      <c r="Q40" s="1"/>
      <c r="R40" s="5">
        <f t="shared" si="32"/>
        <v>-1.114501689882271E-3</v>
      </c>
      <c r="S40" s="1"/>
      <c r="T40" s="1">
        <f>SUM(OSRRefT22_3x_0)</f>
        <v>3.18</v>
      </c>
      <c r="U40" s="1"/>
      <c r="V40" s="5">
        <f t="shared" si="33"/>
        <v>2.3222815613034865E-4</v>
      </c>
      <c r="W40" s="1"/>
      <c r="X40" s="1">
        <f t="shared" si="34"/>
        <v>-20.7</v>
      </c>
      <c r="Y40" s="1"/>
      <c r="Z40" s="5">
        <f t="shared" si="35"/>
        <v>-6.5094339622641506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>
        <v>-17.52</v>
      </c>
      <c r="E41" s="2"/>
      <c r="F41" s="6">
        <f t="shared" si="28"/>
        <v>-1.114501689882271E-3</v>
      </c>
      <c r="G41" s="2"/>
      <c r="H41" s="7">
        <v>3.18</v>
      </c>
      <c r="I41" s="2"/>
      <c r="J41" s="6">
        <f t="shared" si="29"/>
        <v>2.3222815613034865E-4</v>
      </c>
      <c r="K41" s="2"/>
      <c r="L41" s="7">
        <f t="shared" si="30"/>
        <v>-20.7</v>
      </c>
      <c r="M41" s="2"/>
      <c r="N41" s="6">
        <f t="shared" si="31"/>
        <v>-6.5094339622641506</v>
      </c>
      <c r="O41" s="11"/>
      <c r="P41" s="7">
        <v>-17.52</v>
      </c>
      <c r="Q41" s="2"/>
      <c r="R41" s="6">
        <f t="shared" si="32"/>
        <v>-1.114501689882271E-3</v>
      </c>
      <c r="S41" s="2"/>
      <c r="T41" s="7">
        <v>3.18</v>
      </c>
      <c r="U41" s="2"/>
      <c r="V41" s="6">
        <f t="shared" si="33"/>
        <v>2.3222815613034865E-4</v>
      </c>
      <c r="W41" s="2"/>
      <c r="X41" s="7">
        <f t="shared" si="34"/>
        <v>-20.7</v>
      </c>
      <c r="Y41" s="2"/>
      <c r="Z41" s="6">
        <f t="shared" si="35"/>
        <v>-6.5094339622641506</v>
      </c>
    </row>
    <row r="42" spans="1:26" s="27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502.11</v>
      </c>
      <c r="E42" s="1"/>
      <c r="F42" s="5">
        <f t="shared" si="28"/>
        <v>3.1940778738971873E-2</v>
      </c>
      <c r="G42" s="1"/>
      <c r="H42" s="1">
        <f>SUM(OSRRefH22_4x_0)</f>
        <v>432.51</v>
      </c>
      <c r="I42" s="1"/>
      <c r="J42" s="5">
        <f t="shared" si="29"/>
        <v>3.1585220065389018E-2</v>
      </c>
      <c r="K42" s="1"/>
      <c r="L42" s="1">
        <f t="shared" si="30"/>
        <v>69.600000000000023</v>
      </c>
      <c r="M42" s="1"/>
      <c r="N42" s="5">
        <f t="shared" si="31"/>
        <v>0.16092113477145042</v>
      </c>
      <c r="O42" s="14"/>
      <c r="P42" s="1">
        <f>SUM(OSRRefP22_4x_0)</f>
        <v>502.11</v>
      </c>
      <c r="Q42" s="1"/>
      <c r="R42" s="5">
        <f t="shared" si="32"/>
        <v>3.1940778738971873E-2</v>
      </c>
      <c r="S42" s="1"/>
      <c r="T42" s="1">
        <f>SUM(OSRRefT22_4x_0)</f>
        <v>432.51</v>
      </c>
      <c r="U42" s="1"/>
      <c r="V42" s="5">
        <f t="shared" si="33"/>
        <v>3.1585220065389018E-2</v>
      </c>
      <c r="W42" s="1"/>
      <c r="X42" s="1">
        <f t="shared" si="34"/>
        <v>69.600000000000023</v>
      </c>
      <c r="Y42" s="1"/>
      <c r="Z42" s="5">
        <f t="shared" si="35"/>
        <v>0.16092113477145042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502.11</v>
      </c>
      <c r="E43" s="2"/>
      <c r="F43" s="6">
        <f t="shared" si="28"/>
        <v>3.1940778738971873E-2</v>
      </c>
      <c r="G43" s="2"/>
      <c r="H43" s="7">
        <v>432.51</v>
      </c>
      <c r="I43" s="2"/>
      <c r="J43" s="6">
        <f t="shared" si="29"/>
        <v>3.1585220065389018E-2</v>
      </c>
      <c r="K43" s="2"/>
      <c r="L43" s="7">
        <f t="shared" si="30"/>
        <v>69.600000000000023</v>
      </c>
      <c r="M43" s="2"/>
      <c r="N43" s="6">
        <f t="shared" si="31"/>
        <v>0.16092113477145042</v>
      </c>
      <c r="O43" s="11"/>
      <c r="P43" s="7">
        <v>502.11</v>
      </c>
      <c r="Q43" s="2"/>
      <c r="R43" s="6">
        <f t="shared" si="32"/>
        <v>3.1940778738971873E-2</v>
      </c>
      <c r="S43" s="2"/>
      <c r="T43" s="7">
        <v>432.51</v>
      </c>
      <c r="U43" s="2"/>
      <c r="V43" s="6">
        <f t="shared" si="33"/>
        <v>3.1585220065389018E-2</v>
      </c>
      <c r="W43" s="2"/>
      <c r="X43" s="7">
        <f t="shared" si="34"/>
        <v>69.600000000000023</v>
      </c>
      <c r="Y43" s="2"/>
      <c r="Z43" s="6">
        <f t="shared" si="35"/>
        <v>0.16092113477145042</v>
      </c>
    </row>
    <row r="44" spans="1:26" s="27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2775.32</v>
      </c>
      <c r="E44" s="1"/>
      <c r="F44" s="5">
        <f t="shared" si="28"/>
        <v>0.17654673687009503</v>
      </c>
      <c r="G44" s="1"/>
      <c r="H44" s="1">
        <f>SUM(OSRRefH22_5x_0)</f>
        <v>2776.01</v>
      </c>
      <c r="I44" s="1"/>
      <c r="J44" s="5">
        <f t="shared" si="29"/>
        <v>0.2027256866979274</v>
      </c>
      <c r="K44" s="1"/>
      <c r="L44" s="1">
        <f t="shared" si="30"/>
        <v>-0.69000000000005457</v>
      </c>
      <c r="M44" s="1"/>
      <c r="N44" s="5">
        <f t="shared" si="31"/>
        <v>-2.4855818242731638E-4</v>
      </c>
      <c r="O44" s="14"/>
      <c r="P44" s="1">
        <f>SUM(OSRRefP22_5x_0)</f>
        <v>5550.64</v>
      </c>
      <c r="Q44" s="1"/>
      <c r="R44" s="5">
        <f t="shared" si="32"/>
        <v>0.35309347374019007</v>
      </c>
      <c r="S44" s="1"/>
      <c r="T44" s="1">
        <f>SUM(OSRRefT22_5x_0)</f>
        <v>5552.02</v>
      </c>
      <c r="U44" s="1"/>
      <c r="V44" s="5">
        <f t="shared" si="33"/>
        <v>0.4054513733958548</v>
      </c>
      <c r="W44" s="1"/>
      <c r="X44" s="1">
        <f t="shared" si="34"/>
        <v>-1.3800000000001091</v>
      </c>
      <c r="Y44" s="1"/>
      <c r="Z44" s="5">
        <f t="shared" si="35"/>
        <v>-2.4855818242731638E-4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2775.32</v>
      </c>
      <c r="E45" s="2"/>
      <c r="F45" s="6">
        <f t="shared" si="28"/>
        <v>0.17654673687009503</v>
      </c>
      <c r="G45" s="2"/>
      <c r="H45" s="7">
        <v>2776.01</v>
      </c>
      <c r="I45" s="2"/>
      <c r="J45" s="6">
        <f t="shared" si="29"/>
        <v>0.2027256866979274</v>
      </c>
      <c r="K45" s="2"/>
      <c r="L45" s="7">
        <f t="shared" si="30"/>
        <v>-0.69000000000005457</v>
      </c>
      <c r="M45" s="2"/>
      <c r="N45" s="6">
        <f t="shared" si="31"/>
        <v>-2.4855818242731638E-4</v>
      </c>
      <c r="O45" s="11"/>
      <c r="P45" s="7">
        <v>5550.64</v>
      </c>
      <c r="Q45" s="2"/>
      <c r="R45" s="6">
        <f t="shared" si="32"/>
        <v>0.35309347374019007</v>
      </c>
      <c r="S45" s="2"/>
      <c r="T45" s="7">
        <v>5552.02</v>
      </c>
      <c r="U45" s="2"/>
      <c r="V45" s="6">
        <f t="shared" si="33"/>
        <v>0.4054513733958548</v>
      </c>
      <c r="W45" s="2"/>
      <c r="X45" s="7">
        <f t="shared" si="34"/>
        <v>-1.3800000000001091</v>
      </c>
      <c r="Y45" s="2"/>
      <c r="Z45" s="6">
        <f t="shared" si="35"/>
        <v>-2.4855818242731638E-4</v>
      </c>
    </row>
    <row r="46" spans="1:26" s="27" customFormat="1" outlineLevel="1" collapsed="1" x14ac:dyDescent="0.25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95.66</v>
      </c>
      <c r="E46" s="1"/>
      <c r="F46" s="5">
        <f t="shared" si="28"/>
        <v>6.0852301172453225E-3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95.66</v>
      </c>
      <c r="M46" s="1"/>
      <c r="N46" s="5">
        <f t="shared" si="31"/>
        <v>0</v>
      </c>
      <c r="O46" s="14"/>
      <c r="P46" s="1">
        <f>SUM(OSRRefP22_6x_0)</f>
        <v>95.66</v>
      </c>
      <c r="Q46" s="1"/>
      <c r="R46" s="5">
        <f t="shared" si="32"/>
        <v>6.0852301172453225E-3</v>
      </c>
      <c r="S46" s="1"/>
      <c r="T46" s="1">
        <f>SUM(OSRRefT22_6x_0)</f>
        <v>0</v>
      </c>
      <c r="U46" s="1"/>
      <c r="V46" s="5">
        <f t="shared" si="33"/>
        <v>0</v>
      </c>
      <c r="W46" s="1"/>
      <c r="X46" s="1">
        <f t="shared" si="34"/>
        <v>95.66</v>
      </c>
      <c r="Y46" s="1"/>
      <c r="Z46" s="5">
        <f t="shared" si="35"/>
        <v>0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7">
        <v>95.66</v>
      </c>
      <c r="E47" s="2"/>
      <c r="F47" s="6">
        <f t="shared" si="28"/>
        <v>6.0852301172453225E-3</v>
      </c>
      <c r="G47" s="2"/>
      <c r="H47" s="7"/>
      <c r="I47" s="2"/>
      <c r="J47" s="6">
        <f t="shared" si="29"/>
        <v>0</v>
      </c>
      <c r="K47" s="2"/>
      <c r="L47" s="7">
        <f t="shared" si="30"/>
        <v>95.66</v>
      </c>
      <c r="M47" s="2"/>
      <c r="N47" s="6">
        <f t="shared" si="31"/>
        <v>0</v>
      </c>
      <c r="O47" s="11"/>
      <c r="P47" s="7">
        <v>95.66</v>
      </c>
      <c r="Q47" s="2"/>
      <c r="R47" s="6">
        <f t="shared" si="32"/>
        <v>6.0852301172453225E-3</v>
      </c>
      <c r="S47" s="2"/>
      <c r="T47" s="7"/>
      <c r="U47" s="2"/>
      <c r="V47" s="6">
        <f t="shared" si="33"/>
        <v>0</v>
      </c>
      <c r="W47" s="2"/>
      <c r="X47" s="7">
        <f t="shared" si="34"/>
        <v>95.66</v>
      </c>
      <c r="Y47" s="2"/>
      <c r="Z47" s="6">
        <f t="shared" si="35"/>
        <v>0</v>
      </c>
    </row>
    <row r="48" spans="1:26" s="27" customFormat="1" outlineLevel="1" collapsed="1" x14ac:dyDescent="0.25">
      <c r="A48" s="28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4"/>
      <c r="P48" s="1">
        <f>SUM(OSRRefP22_7x_0)</f>
        <v>749.55</v>
      </c>
      <c r="Q48" s="1"/>
      <c r="R48" s="5">
        <f t="shared" si="32"/>
        <v>4.7681206715254353E-2</v>
      </c>
      <c r="S48" s="1"/>
      <c r="T48" s="1">
        <f>SUM(OSRRefT22_7x_0)</f>
        <v>769.2</v>
      </c>
      <c r="U48" s="1"/>
      <c r="V48" s="5">
        <f t="shared" si="33"/>
        <v>5.6172923803605092E-2</v>
      </c>
      <c r="W48" s="1"/>
      <c r="X48" s="1">
        <f t="shared" si="34"/>
        <v>-19.650000000000091</v>
      </c>
      <c r="Y48" s="1"/>
      <c r="Z48" s="5">
        <f t="shared" si="35"/>
        <v>-2.5546021840873751E-2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>
        <v>749.55</v>
      </c>
      <c r="Q49" s="2"/>
      <c r="R49" s="6">
        <f t="shared" si="32"/>
        <v>4.7681206715254353E-2</v>
      </c>
      <c r="S49" s="2"/>
      <c r="T49" s="7">
        <v>769.2</v>
      </c>
      <c r="U49" s="2"/>
      <c r="V49" s="6">
        <f t="shared" si="33"/>
        <v>5.6172923803605092E-2</v>
      </c>
      <c r="W49" s="2"/>
      <c r="X49" s="7">
        <f t="shared" si="34"/>
        <v>-19.650000000000091</v>
      </c>
      <c r="Y49" s="2"/>
      <c r="Z49" s="6">
        <f t="shared" si="35"/>
        <v>-2.5546021840873751E-2</v>
      </c>
    </row>
    <row r="50" spans="1:26" s="27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730</v>
      </c>
      <c r="E50" s="1"/>
      <c r="F50" s="5">
        <f t="shared" si="28"/>
        <v>4.6437570411761296E-2</v>
      </c>
      <c r="G50" s="1"/>
      <c r="H50" s="1">
        <f>SUM(OSRRefH22_8x_0)</f>
        <v>532.62</v>
      </c>
      <c r="I50" s="1"/>
      <c r="J50" s="5">
        <f t="shared" si="29"/>
        <v>3.8896025320171793E-2</v>
      </c>
      <c r="K50" s="1"/>
      <c r="L50" s="1">
        <f t="shared" si="30"/>
        <v>197.38</v>
      </c>
      <c r="M50" s="1"/>
      <c r="N50" s="5">
        <f t="shared" si="31"/>
        <v>0.37058315496977207</v>
      </c>
      <c r="O50" s="14"/>
      <c r="P50" s="1">
        <f>SUM(OSRRefP22_8x_0)</f>
        <v>1016.28</v>
      </c>
      <c r="Q50" s="1"/>
      <c r="R50" s="5">
        <f t="shared" si="32"/>
        <v>6.4648731586390104E-2</v>
      </c>
      <c r="S50" s="1"/>
      <c r="T50" s="1">
        <f>SUM(OSRRefT22_8x_0)</f>
        <v>532.62</v>
      </c>
      <c r="U50" s="1"/>
      <c r="V50" s="5">
        <f t="shared" si="33"/>
        <v>3.8896025320171793E-2</v>
      </c>
      <c r="W50" s="1"/>
      <c r="X50" s="1">
        <f t="shared" si="34"/>
        <v>483.65999999999997</v>
      </c>
      <c r="Y50" s="1"/>
      <c r="Z50" s="5">
        <f t="shared" si="35"/>
        <v>0.90807705305846564</v>
      </c>
    </row>
    <row r="51" spans="1:26" s="24" customFormat="1" hidden="1" outlineLevel="2" x14ac:dyDescent="0.25">
      <c r="A51" s="29"/>
      <c r="B51" s="11" t="str">
        <f>CONCATENATE("          ", "6375", " - ", "OUTSIDE REPAIRS &amp; MAINTENANCE")</f>
        <v xml:space="preserve">          6375 - OUTSIDE REPAIRS &amp; MAINTENANCE</v>
      </c>
      <c r="C51" s="11"/>
      <c r="D51" s="7">
        <v>730</v>
      </c>
      <c r="E51" s="2"/>
      <c r="F51" s="6">
        <f t="shared" si="28"/>
        <v>4.6437570411761296E-2</v>
      </c>
      <c r="G51" s="2"/>
      <c r="H51" s="7">
        <v>532.62</v>
      </c>
      <c r="I51" s="2"/>
      <c r="J51" s="6">
        <f t="shared" si="29"/>
        <v>3.8896025320171793E-2</v>
      </c>
      <c r="K51" s="2"/>
      <c r="L51" s="7">
        <f t="shared" si="30"/>
        <v>197.38</v>
      </c>
      <c r="M51" s="2"/>
      <c r="N51" s="6">
        <f t="shared" si="31"/>
        <v>0.37058315496977207</v>
      </c>
      <c r="O51" s="11"/>
      <c r="P51" s="7">
        <v>1016.28</v>
      </c>
      <c r="Q51" s="2"/>
      <c r="R51" s="6">
        <f t="shared" si="32"/>
        <v>6.4648731586390104E-2</v>
      </c>
      <c r="S51" s="2"/>
      <c r="T51" s="7">
        <v>532.62</v>
      </c>
      <c r="U51" s="2"/>
      <c r="V51" s="6">
        <f t="shared" si="33"/>
        <v>3.8896025320171793E-2</v>
      </c>
      <c r="W51" s="2"/>
      <c r="X51" s="7">
        <f t="shared" si="34"/>
        <v>483.65999999999997</v>
      </c>
      <c r="Y51" s="2"/>
      <c r="Z51" s="6">
        <f t="shared" si="35"/>
        <v>0.90807705305846564</v>
      </c>
    </row>
    <row r="52" spans="1:26" s="27" customFormat="1" outlineLevel="1" collapsed="1" x14ac:dyDescent="0.25">
      <c r="A52" s="28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SUM(OSRRefD22_9x_0)</f>
        <v>40.92</v>
      </c>
      <c r="E52" s="1"/>
      <c r="F52" s="5">
        <f t="shared" si="28"/>
        <v>2.6030484674647567E-3</v>
      </c>
      <c r="G52" s="1"/>
      <c r="H52" s="1">
        <f>SUM(OSRRefH22_9x_0)</f>
        <v>39.299999999999997</v>
      </c>
      <c r="I52" s="1"/>
      <c r="J52" s="5">
        <f t="shared" si="29"/>
        <v>2.869989476705252E-3</v>
      </c>
      <c r="K52" s="1"/>
      <c r="L52" s="1">
        <f t="shared" si="30"/>
        <v>1.6200000000000045</v>
      </c>
      <c r="M52" s="1"/>
      <c r="N52" s="5">
        <f t="shared" si="31"/>
        <v>4.1221374045801645E-2</v>
      </c>
      <c r="O52" s="14"/>
      <c r="P52" s="1">
        <f>SUM(OSRRefP22_9x_0)</f>
        <v>40.92</v>
      </c>
      <c r="Q52" s="1"/>
      <c r="R52" s="5">
        <f t="shared" si="32"/>
        <v>2.6030484674647567E-3</v>
      </c>
      <c r="S52" s="1"/>
      <c r="T52" s="1">
        <f>SUM(OSRRefT22_9x_0)</f>
        <v>39.299999999999997</v>
      </c>
      <c r="U52" s="1"/>
      <c r="V52" s="5">
        <f t="shared" si="33"/>
        <v>2.869989476705252E-3</v>
      </c>
      <c r="W52" s="1"/>
      <c r="X52" s="1">
        <f t="shared" si="34"/>
        <v>1.6200000000000045</v>
      </c>
      <c r="Y52" s="1"/>
      <c r="Z52" s="5">
        <f t="shared" si="35"/>
        <v>4.1221374045801645E-2</v>
      </c>
    </row>
    <row r="53" spans="1:26" s="24" customFormat="1" hidden="1" outlineLevel="2" x14ac:dyDescent="0.25">
      <c r="A53" s="29"/>
      <c r="B53" s="11" t="str">
        <f>CONCATENATE("          ", "6286", " - ", "LAUNDRY EXPENSE")</f>
        <v xml:space="preserve">          6286 - LAUNDRY EXPENSE</v>
      </c>
      <c r="C53" s="11"/>
      <c r="D53" s="7">
        <v>40.92</v>
      </c>
      <c r="E53" s="2"/>
      <c r="F53" s="6">
        <f t="shared" si="28"/>
        <v>2.6030484674647567E-3</v>
      </c>
      <c r="G53" s="2"/>
      <c r="H53" s="7">
        <v>39.299999999999997</v>
      </c>
      <c r="I53" s="2"/>
      <c r="J53" s="6">
        <f t="shared" si="29"/>
        <v>2.869989476705252E-3</v>
      </c>
      <c r="K53" s="2"/>
      <c r="L53" s="7">
        <f t="shared" si="30"/>
        <v>1.6200000000000045</v>
      </c>
      <c r="M53" s="2"/>
      <c r="N53" s="6">
        <f t="shared" si="31"/>
        <v>4.1221374045801645E-2</v>
      </c>
      <c r="O53" s="11"/>
      <c r="P53" s="7">
        <v>40.92</v>
      </c>
      <c r="Q53" s="2"/>
      <c r="R53" s="6">
        <f t="shared" si="32"/>
        <v>2.6030484674647567E-3</v>
      </c>
      <c r="S53" s="2"/>
      <c r="T53" s="7">
        <v>39.299999999999997</v>
      </c>
      <c r="U53" s="2"/>
      <c r="V53" s="6">
        <f t="shared" si="33"/>
        <v>2.869989476705252E-3</v>
      </c>
      <c r="W53" s="2"/>
      <c r="X53" s="7">
        <f t="shared" si="34"/>
        <v>1.6200000000000045</v>
      </c>
      <c r="Y53" s="2"/>
      <c r="Z53" s="6">
        <f t="shared" si="35"/>
        <v>4.1221374045801645E-2</v>
      </c>
    </row>
    <row r="54" spans="1:26" s="27" customFormat="1" outlineLevel="1" collapsed="1" x14ac:dyDescent="0.25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SUM(OSRRefD22_10x_0)</f>
        <v>1328.85</v>
      </c>
      <c r="E54" s="1"/>
      <c r="F54" s="5">
        <f t="shared" si="28"/>
        <v>8.4532281426943828E-2</v>
      </c>
      <c r="G54" s="1"/>
      <c r="H54" s="1">
        <f>SUM(OSRRefH22_10x_0)</f>
        <v>1108.1199999999999</v>
      </c>
      <c r="I54" s="1"/>
      <c r="J54" s="5">
        <f t="shared" si="29"/>
        <v>8.0923479362000603E-2</v>
      </c>
      <c r="K54" s="1"/>
      <c r="L54" s="1">
        <f t="shared" si="30"/>
        <v>220.73000000000002</v>
      </c>
      <c r="M54" s="1"/>
      <c r="N54" s="5">
        <f t="shared" si="31"/>
        <v>0.1991932281702343</v>
      </c>
      <c r="O54" s="14"/>
      <c r="P54" s="1">
        <f>SUM(OSRRefP22_10x_0)</f>
        <v>2263.11</v>
      </c>
      <c r="Q54" s="1"/>
      <c r="R54" s="5">
        <f t="shared" si="32"/>
        <v>0.14396346571857688</v>
      </c>
      <c r="S54" s="1"/>
      <c r="T54" s="1">
        <f>SUM(OSRRefT22_10x_0)</f>
        <v>1810.35</v>
      </c>
      <c r="U54" s="1"/>
      <c r="V54" s="5">
        <f t="shared" si="33"/>
        <v>0.13220573661967819</v>
      </c>
      <c r="W54" s="1"/>
      <c r="X54" s="1">
        <f t="shared" si="34"/>
        <v>452.76000000000022</v>
      </c>
      <c r="Y54" s="1"/>
      <c r="Z54" s="5">
        <f t="shared" si="35"/>
        <v>0.25009528544204174</v>
      </c>
    </row>
    <row r="55" spans="1:26" s="24" customFormat="1" hidden="1" outlineLevel="2" x14ac:dyDescent="0.25">
      <c r="A55" s="29"/>
      <c r="B55" s="11" t="str">
        <f>CONCATENATE("          ", "6237", " - ", "JANITORIAL SUPPLIES")</f>
        <v xml:space="preserve">          6237 - JANITORIAL SUPPLIES</v>
      </c>
      <c r="C55" s="11"/>
      <c r="D55" s="7"/>
      <c r="E55" s="2"/>
      <c r="F55" s="6">
        <f t="shared" si="28"/>
        <v>0</v>
      </c>
      <c r="G55" s="2"/>
      <c r="H55" s="7">
        <v>11.08</v>
      </c>
      <c r="I55" s="2"/>
      <c r="J55" s="6">
        <f t="shared" si="29"/>
        <v>8.0914716035354183E-4</v>
      </c>
      <c r="K55" s="2"/>
      <c r="L55" s="7">
        <f t="shared" si="30"/>
        <v>-11.08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11.08</v>
      </c>
      <c r="U55" s="2"/>
      <c r="V55" s="6">
        <f t="shared" si="33"/>
        <v>8.0914716035354183E-4</v>
      </c>
      <c r="W55" s="2"/>
      <c r="X55" s="7">
        <f t="shared" si="34"/>
        <v>-11.08</v>
      </c>
      <c r="Y55" s="2"/>
      <c r="Z55" s="6">
        <f t="shared" si="35"/>
        <v>-1</v>
      </c>
    </row>
    <row r="56" spans="1:26" s="24" customFormat="1" hidden="1" outlineLevel="2" x14ac:dyDescent="0.25">
      <c r="A56" s="29"/>
      <c r="B56" s="11" t="str">
        <f>CONCATENATE("          ", "6239", " - ", "KITCHEN SUPPLIES")</f>
        <v xml:space="preserve">          6239 - KITCHEN SUPPLIES</v>
      </c>
      <c r="C56" s="11"/>
      <c r="D56" s="7">
        <v>281.44</v>
      </c>
      <c r="E56" s="2"/>
      <c r="F56" s="6">
        <f t="shared" si="28"/>
        <v>1.7903273721487808E-2</v>
      </c>
      <c r="G56" s="2"/>
      <c r="H56" s="7"/>
      <c r="I56" s="2"/>
      <c r="J56" s="6">
        <f t="shared" si="29"/>
        <v>0</v>
      </c>
      <c r="K56" s="2"/>
      <c r="L56" s="7">
        <f t="shared" si="30"/>
        <v>281.44</v>
      </c>
      <c r="M56" s="2"/>
      <c r="N56" s="6">
        <f t="shared" si="31"/>
        <v>0</v>
      </c>
      <c r="O56" s="11"/>
      <c r="P56" s="7">
        <v>869.07</v>
      </c>
      <c r="Q56" s="2"/>
      <c r="R56" s="6">
        <f t="shared" si="32"/>
        <v>5.5284245640752593E-2</v>
      </c>
      <c r="S56" s="2"/>
      <c r="T56" s="7">
        <v>38.22</v>
      </c>
      <c r="U56" s="2"/>
      <c r="V56" s="6">
        <f t="shared" si="33"/>
        <v>2.7911195368873977E-3</v>
      </c>
      <c r="W56" s="2"/>
      <c r="X56" s="7">
        <f t="shared" si="34"/>
        <v>830.85</v>
      </c>
      <c r="Y56" s="2"/>
      <c r="Z56" s="6">
        <f t="shared" si="35"/>
        <v>21.738618524332811</v>
      </c>
    </row>
    <row r="57" spans="1:26" s="24" customFormat="1" hidden="1" outlineLevel="2" x14ac:dyDescent="0.25">
      <c r="A57" s="29"/>
      <c r="B57" s="11" t="str">
        <f>CONCATENATE("          ", "6241", " - ", "OFFICE EXPENSE")</f>
        <v xml:space="preserve">          6241 - OFFICE EXPENSE</v>
      </c>
      <c r="C57" s="11"/>
      <c r="D57" s="7">
        <v>335.25</v>
      </c>
      <c r="E57" s="2"/>
      <c r="F57" s="6">
        <f t="shared" si="28"/>
        <v>2.1326295178825994E-2</v>
      </c>
      <c r="G57" s="2"/>
      <c r="H57" s="7">
        <v>4.3499999999999996</v>
      </c>
      <c r="I57" s="2"/>
      <c r="J57" s="6">
        <f t="shared" si="29"/>
        <v>3.1767059093302407E-4</v>
      </c>
      <c r="K57" s="2"/>
      <c r="L57" s="7">
        <f t="shared" si="30"/>
        <v>330.9</v>
      </c>
      <c r="M57" s="2"/>
      <c r="N57" s="6">
        <f t="shared" si="31"/>
        <v>76.068965517241381</v>
      </c>
      <c r="O57" s="11"/>
      <c r="P57" s="7">
        <v>335.25</v>
      </c>
      <c r="Q57" s="2"/>
      <c r="R57" s="6">
        <f t="shared" si="32"/>
        <v>2.1326295178825994E-2</v>
      </c>
      <c r="S57" s="2"/>
      <c r="T57" s="7">
        <v>4.3499999999999996</v>
      </c>
      <c r="U57" s="2"/>
      <c r="V57" s="6">
        <f t="shared" si="33"/>
        <v>3.1767059093302407E-4</v>
      </c>
      <c r="W57" s="2"/>
      <c r="X57" s="7">
        <f t="shared" si="34"/>
        <v>330.9</v>
      </c>
      <c r="Y57" s="2"/>
      <c r="Z57" s="6">
        <f t="shared" si="35"/>
        <v>76.068965517241381</v>
      </c>
    </row>
    <row r="58" spans="1:26" s="24" customFormat="1" hidden="1" outlineLevel="2" x14ac:dyDescent="0.25">
      <c r="A58" s="29"/>
      <c r="B58" s="11" t="str">
        <f>CONCATENATE("          ", "6243", " - ", "PAPER SUPPLIES")</f>
        <v xml:space="preserve">          6243 - PAPER SUPPLIES</v>
      </c>
      <c r="C58" s="11"/>
      <c r="D58" s="7">
        <v>319.12</v>
      </c>
      <c r="E58" s="2"/>
      <c r="F58" s="6">
        <f t="shared" si="28"/>
        <v>2.0300215712056528E-2</v>
      </c>
      <c r="G58" s="2"/>
      <c r="H58" s="7">
        <v>321.58999999999997</v>
      </c>
      <c r="I58" s="2"/>
      <c r="J58" s="6">
        <f t="shared" si="29"/>
        <v>2.3484985135207175E-2</v>
      </c>
      <c r="K58" s="2"/>
      <c r="L58" s="7">
        <f t="shared" si="30"/>
        <v>-2.4699999999999704</v>
      </c>
      <c r="M58" s="2"/>
      <c r="N58" s="6">
        <f t="shared" si="31"/>
        <v>-7.6805870829315922E-3</v>
      </c>
      <c r="O58" s="11"/>
      <c r="P58" s="7">
        <v>319.12</v>
      </c>
      <c r="Q58" s="2"/>
      <c r="R58" s="6">
        <f t="shared" si="32"/>
        <v>2.0300215712056528E-2</v>
      </c>
      <c r="S58" s="2"/>
      <c r="T58" s="7">
        <v>333.03</v>
      </c>
      <c r="U58" s="2"/>
      <c r="V58" s="6">
        <f t="shared" si="33"/>
        <v>2.4320422275499999E-2</v>
      </c>
      <c r="W58" s="2"/>
      <c r="X58" s="7">
        <f t="shared" si="34"/>
        <v>-13.909999999999968</v>
      </c>
      <c r="Y58" s="2"/>
      <c r="Z58" s="6">
        <f t="shared" si="35"/>
        <v>-4.1768008888088071E-2</v>
      </c>
    </row>
    <row r="59" spans="1:26" s="24" customFormat="1" hidden="1" outlineLevel="2" x14ac:dyDescent="0.25">
      <c r="A59" s="29"/>
      <c r="B59" s="11" t="str">
        <f>CONCATENATE("          ", "6247", " - ", "STORE SUPPLIES")</f>
        <v xml:space="preserve">          6247 - STORE SUPPLIES</v>
      </c>
      <c r="C59" s="11"/>
      <c r="D59" s="7">
        <v>102.64</v>
      </c>
      <c r="E59" s="2"/>
      <c r="F59" s="6">
        <f t="shared" si="28"/>
        <v>6.5292496261139445E-3</v>
      </c>
      <c r="G59" s="2"/>
      <c r="H59" s="7">
        <v>771.1</v>
      </c>
      <c r="I59" s="2"/>
      <c r="J59" s="6">
        <f t="shared" si="29"/>
        <v>5.6311676475506868E-2</v>
      </c>
      <c r="K59" s="2"/>
      <c r="L59" s="7">
        <f t="shared" si="30"/>
        <v>-668.46</v>
      </c>
      <c r="M59" s="2"/>
      <c r="N59" s="6">
        <f t="shared" si="31"/>
        <v>-0.86689145376734533</v>
      </c>
      <c r="O59" s="11"/>
      <c r="P59" s="7">
        <v>102.64</v>
      </c>
      <c r="Q59" s="2"/>
      <c r="R59" s="6">
        <f t="shared" si="32"/>
        <v>6.5292496261139445E-3</v>
      </c>
      <c r="S59" s="2"/>
      <c r="T59" s="7">
        <v>771.1</v>
      </c>
      <c r="U59" s="2"/>
      <c r="V59" s="6">
        <f t="shared" si="33"/>
        <v>5.6311676475506868E-2</v>
      </c>
      <c r="W59" s="2"/>
      <c r="X59" s="7">
        <f t="shared" si="34"/>
        <v>-668.46</v>
      </c>
      <c r="Y59" s="2"/>
      <c r="Z59" s="6">
        <f t="shared" si="35"/>
        <v>-0.86689145376734533</v>
      </c>
    </row>
    <row r="60" spans="1:26" s="24" customFormat="1" hidden="1" outlineLevel="2" x14ac:dyDescent="0.25">
      <c r="A60" s="29"/>
      <c r="B60" s="11" t="str">
        <f>CONCATENATE("          ", "6248", " - ", "UNIFORMS")</f>
        <v xml:space="preserve">          6248 - UNIFORMS</v>
      </c>
      <c r="C60" s="11"/>
      <c r="D60" s="7">
        <v>290.39999999999998</v>
      </c>
      <c r="E60" s="2"/>
      <c r="F60" s="6">
        <f t="shared" si="28"/>
        <v>1.8473247188459562E-2</v>
      </c>
      <c r="G60" s="2"/>
      <c r="H60" s="7"/>
      <c r="I60" s="2"/>
      <c r="J60" s="6">
        <f t="shared" si="29"/>
        <v>0</v>
      </c>
      <c r="K60" s="2"/>
      <c r="L60" s="7">
        <f t="shared" si="30"/>
        <v>290.39999999999998</v>
      </c>
      <c r="M60" s="2"/>
      <c r="N60" s="6">
        <f t="shared" si="31"/>
        <v>0</v>
      </c>
      <c r="O60" s="11"/>
      <c r="P60" s="7">
        <v>637.03</v>
      </c>
      <c r="Q60" s="2"/>
      <c r="R60" s="6">
        <f t="shared" si="32"/>
        <v>4.0523459560827806E-2</v>
      </c>
      <c r="S60" s="2"/>
      <c r="T60" s="7">
        <v>652.57000000000005</v>
      </c>
      <c r="U60" s="2"/>
      <c r="V60" s="6">
        <f t="shared" si="33"/>
        <v>4.7655700580497368E-2</v>
      </c>
      <c r="W60" s="2"/>
      <c r="X60" s="7">
        <f t="shared" si="34"/>
        <v>-15.540000000000077</v>
      </c>
      <c r="Y60" s="2"/>
      <c r="Z60" s="6">
        <f t="shared" si="35"/>
        <v>-2.3813537245046625E-2</v>
      </c>
    </row>
    <row r="61" spans="1:26" s="27" customFormat="1" outlineLevel="1" collapsed="1" x14ac:dyDescent="0.25">
      <c r="A61" s="28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SUM(OSRRefD22_11x_0)</f>
        <v>86</v>
      </c>
      <c r="E61" s="1"/>
      <c r="F61" s="5">
        <f t="shared" ref="F61:F64" si="36">IF(D$12=0,0,D61/D$12)</f>
        <v>5.4707274731663992E-3</v>
      </c>
      <c r="G61" s="1"/>
      <c r="H61" s="1">
        <f>SUM(OSRRefH22_11x_0)</f>
        <v>86.3</v>
      </c>
      <c r="I61" s="1"/>
      <c r="J61" s="5">
        <f t="shared" ref="J61:J64" si="37">IF(H$12=0,0,H61/H$12)</f>
        <v>6.3022924132229829E-3</v>
      </c>
      <c r="K61" s="1"/>
      <c r="L61" s="1">
        <f t="shared" ref="L61:L64" si="38">+D61-H61</f>
        <v>-0.29999999999999716</v>
      </c>
      <c r="M61" s="1"/>
      <c r="N61" s="5">
        <f t="shared" ref="N61:N64" si="39">IF(H61=0,0,L61/H61)</f>
        <v>-3.4762456546928986E-3</v>
      </c>
      <c r="O61" s="14"/>
      <c r="P61" s="1">
        <f>SUM(OSRRefP22_11x_0)</f>
        <v>118</v>
      </c>
      <c r="Q61" s="1"/>
      <c r="R61" s="5">
        <f t="shared" ref="R61:R64" si="40">IF(P$12=0,0,P61/P$12)</f>
        <v>7.5063469980655249E-3</v>
      </c>
      <c r="S61" s="1"/>
      <c r="T61" s="1">
        <f>SUM(OSRRefT22_11x_0)</f>
        <v>113.4</v>
      </c>
      <c r="U61" s="1"/>
      <c r="V61" s="5">
        <f t="shared" ref="V61:V64" si="41">IF(T$12=0,0,T61/T$12)</f>
        <v>8.2813436808746969E-3</v>
      </c>
      <c r="W61" s="1"/>
      <c r="X61" s="1">
        <f t="shared" ref="X61:X64" si="42">+P61-T61</f>
        <v>4.5999999999999943</v>
      </c>
      <c r="Y61" s="1"/>
      <c r="Z61" s="5">
        <f t="shared" ref="Z61:Z64" si="43">IF(T61=0,0,X61/T61)</f>
        <v>4.056437389770718E-2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7">
        <v>86</v>
      </c>
      <c r="E62" s="2"/>
      <c r="F62" s="6">
        <f t="shared" si="36"/>
        <v>5.4707274731663992E-3</v>
      </c>
      <c r="G62" s="2"/>
      <c r="H62" s="7">
        <v>86.3</v>
      </c>
      <c r="I62" s="2"/>
      <c r="J62" s="6">
        <f t="shared" si="37"/>
        <v>6.3022924132229829E-3</v>
      </c>
      <c r="K62" s="2"/>
      <c r="L62" s="7">
        <f t="shared" si="38"/>
        <v>-0.29999999999999716</v>
      </c>
      <c r="M62" s="2"/>
      <c r="N62" s="6">
        <f t="shared" si="39"/>
        <v>-3.4762456546928986E-3</v>
      </c>
      <c r="O62" s="11"/>
      <c r="P62" s="7">
        <v>118</v>
      </c>
      <c r="Q62" s="2"/>
      <c r="R62" s="6">
        <f t="shared" si="40"/>
        <v>7.5063469980655249E-3</v>
      </c>
      <c r="S62" s="2"/>
      <c r="T62" s="7">
        <v>113.4</v>
      </c>
      <c r="U62" s="2"/>
      <c r="V62" s="6">
        <f t="shared" si="41"/>
        <v>8.2813436808746969E-3</v>
      </c>
      <c r="W62" s="2"/>
      <c r="X62" s="7">
        <f t="shared" si="42"/>
        <v>4.5999999999999943</v>
      </c>
      <c r="Y62" s="2"/>
      <c r="Z62" s="6">
        <f t="shared" si="43"/>
        <v>4.056437389770718E-2</v>
      </c>
    </row>
    <row r="63" spans="1:26" s="27" customFormat="1" outlineLevel="1" collapsed="1" x14ac:dyDescent="0.25">
      <c r="A63" s="28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SUM(OSRRefD22_12x_0)</f>
        <v>0</v>
      </c>
      <c r="E63" s="1"/>
      <c r="F63" s="5">
        <f t="shared" si="36"/>
        <v>0</v>
      </c>
      <c r="G63" s="1"/>
      <c r="H63" s="1">
        <f>SUM(OSRRefH22_12x_0)</f>
        <v>0</v>
      </c>
      <c r="I63" s="1"/>
      <c r="J63" s="5">
        <f t="shared" si="37"/>
        <v>0</v>
      </c>
      <c r="K63" s="1"/>
      <c r="L63" s="1">
        <f t="shared" si="38"/>
        <v>0</v>
      </c>
      <c r="M63" s="1"/>
      <c r="N63" s="5">
        <f t="shared" si="39"/>
        <v>0</v>
      </c>
      <c r="O63" s="14"/>
      <c r="P63" s="1">
        <f>SUM(OSRRefP22_12x_0)</f>
        <v>152.94999999999999</v>
      </c>
      <c r="Q63" s="1"/>
      <c r="R63" s="5">
        <f t="shared" si="40"/>
        <v>9.729625197916288E-3</v>
      </c>
      <c r="S63" s="1"/>
      <c r="T63" s="1">
        <f>SUM(OSRRefT22_12x_0)</f>
        <v>0</v>
      </c>
      <c r="U63" s="1"/>
      <c r="V63" s="5">
        <f t="shared" si="41"/>
        <v>0</v>
      </c>
      <c r="W63" s="1"/>
      <c r="X63" s="1">
        <f t="shared" si="42"/>
        <v>152.94999999999999</v>
      </c>
      <c r="Y63" s="1"/>
      <c r="Z63" s="5">
        <f t="shared" si="43"/>
        <v>0</v>
      </c>
    </row>
    <row r="64" spans="1:26" s="24" customFormat="1" hidden="1" outlineLevel="2" x14ac:dyDescent="0.25">
      <c r="A64" s="29"/>
      <c r="B64" s="11" t="str">
        <f>CONCATENATE("          ", "6376", " - ", "TRAINING")</f>
        <v xml:space="preserve">          6376 - TRAINING</v>
      </c>
      <c r="C64" s="11"/>
      <c r="D64" s="7"/>
      <c r="E64" s="2"/>
      <c r="F64" s="6">
        <f t="shared" si="36"/>
        <v>0</v>
      </c>
      <c r="G64" s="2"/>
      <c r="H64" s="7"/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>
        <v>152.94999999999999</v>
      </c>
      <c r="Q64" s="2"/>
      <c r="R64" s="6">
        <f t="shared" si="40"/>
        <v>9.729625197916288E-3</v>
      </c>
      <c r="S64" s="2"/>
      <c r="T64" s="7"/>
      <c r="U64" s="2"/>
      <c r="V64" s="6">
        <f t="shared" si="41"/>
        <v>0</v>
      </c>
      <c r="W64" s="2"/>
      <c r="X64" s="7">
        <f t="shared" si="42"/>
        <v>152.94999999999999</v>
      </c>
      <c r="Y64" s="2"/>
      <c r="Z64" s="6">
        <f t="shared" si="43"/>
        <v>0</v>
      </c>
    </row>
    <row r="65" spans="1:26" s="62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5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6" t="s">
        <v>3</v>
      </c>
      <c r="C68" s="26"/>
      <c r="D68" s="20">
        <f>+D20-D22+D66</f>
        <v>-9606.3499999999967</v>
      </c>
      <c r="E68" s="13"/>
      <c r="F68" s="19">
        <f>IF(D$12=0,0,D68/D$12)</f>
        <v>-0.6110898007192096</v>
      </c>
      <c r="G68" s="13"/>
      <c r="H68" s="20">
        <f>+H20-H22+H66</f>
        <v>-5148.6499999999996</v>
      </c>
      <c r="I68" s="13"/>
      <c r="J68" s="19">
        <f>IF(H$12=0,0,H68/H$12)</f>
        <v>-0.37599418115110672</v>
      </c>
      <c r="K68" s="15"/>
      <c r="L68" s="20">
        <f>+D68-H68</f>
        <v>-4457.6999999999971</v>
      </c>
      <c r="M68" s="15"/>
      <c r="N68" s="19">
        <f>IF(H68=0,0,L68/H68)</f>
        <v>0.86579977275596465</v>
      </c>
      <c r="O68" s="25"/>
      <c r="P68" s="20">
        <f>+P20-P22+P66</f>
        <v>-21136.909999999993</v>
      </c>
      <c r="Q68" s="13"/>
      <c r="R68" s="19">
        <f>IF(P$12=0,0,P68/P$12)</f>
        <v>-1.3445845841261113</v>
      </c>
      <c r="S68" s="13"/>
      <c r="T68" s="20">
        <f>+T20-T22+T66</f>
        <v>-15865.079999999998</v>
      </c>
      <c r="U68" s="13"/>
      <c r="V68" s="19">
        <f>IF(T$12=0,0,T68/T$12)</f>
        <v>-1.1585906525976324</v>
      </c>
      <c r="W68" s="15"/>
      <c r="X68" s="20">
        <f>+P68-T68</f>
        <v>-5271.8299999999945</v>
      </c>
      <c r="Y68" s="15"/>
      <c r="Z68" s="19">
        <f>IF(T68=0,0,X68/T68)</f>
        <v>0.33229142241955256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1960</v>
      </c>
      <c r="E70" s="4"/>
      <c r="F70" s="12">
        <f>IF(D$12=0,0,D70/D$12)</f>
        <v>0.12468169590007143</v>
      </c>
      <c r="G70" s="4"/>
      <c r="H70" s="4">
        <v>1398.03</v>
      </c>
      <c r="I70" s="4"/>
      <c r="J70" s="12">
        <f>IF(H$12=0,0,H70/H$12)</f>
        <v>0.10209494626255072</v>
      </c>
      <c r="K70" s="4"/>
      <c r="L70" s="4">
        <f>+D70-H70</f>
        <v>561.97</v>
      </c>
      <c r="M70" s="4"/>
      <c r="N70" s="12">
        <f>IF(H70=0,0,L70/H70)</f>
        <v>0.40197277597762571</v>
      </c>
      <c r="O70" s="10"/>
      <c r="P70" s="4">
        <v>1960</v>
      </c>
      <c r="Q70" s="4"/>
      <c r="R70" s="12">
        <f>IF(P$12=0,0,P70/P$12)</f>
        <v>0.12468169590007143</v>
      </c>
      <c r="S70" s="4"/>
      <c r="T70" s="4">
        <v>1398.03</v>
      </c>
      <c r="U70" s="4"/>
      <c r="V70" s="12">
        <f>IF(T$12=0,0,T70/T$12)</f>
        <v>0.10209494626255072</v>
      </c>
      <c r="W70" s="4"/>
      <c r="X70" s="4">
        <f>+P70-T70</f>
        <v>561.97</v>
      </c>
      <c r="Y70" s="4"/>
      <c r="Z70" s="12">
        <f>IF(T70=0,0,X70/T70)</f>
        <v>0.40197277597762571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6" t="s">
        <v>4</v>
      </c>
      <c r="C72" s="26"/>
      <c r="D72" s="31">
        <f>+D68-D70</f>
        <v>-11566.349999999997</v>
      </c>
      <c r="E72" s="13"/>
      <c r="F72" s="36">
        <f>IF(D$12=0,0,D72/D$12)</f>
        <v>-0.73577149661928098</v>
      </c>
      <c r="G72" s="13"/>
      <c r="H72" s="31">
        <f>+H68-H70</f>
        <v>-6546.6799999999994</v>
      </c>
      <c r="I72" s="13"/>
      <c r="J72" s="36">
        <f>IF(H$12=0,0,H72/H$12)</f>
        <v>-0.47808912741365744</v>
      </c>
      <c r="K72" s="15"/>
      <c r="L72" s="31">
        <f>D72-H72</f>
        <v>-5019.6699999999973</v>
      </c>
      <c r="M72" s="15"/>
      <c r="N72" s="36">
        <f>IF(H72=0,0,L72/H72)</f>
        <v>0.76675047504994864</v>
      </c>
      <c r="O72" s="25"/>
      <c r="P72" s="31">
        <f>+P68-P70</f>
        <v>-23096.909999999993</v>
      </c>
      <c r="Q72" s="13"/>
      <c r="R72" s="36">
        <f>IF(P$12=0,0,P72/P$12)</f>
        <v>-1.4692662800261826</v>
      </c>
      <c r="S72" s="13"/>
      <c r="T72" s="31">
        <f>+T68-T70</f>
        <v>-17263.109999999997</v>
      </c>
      <c r="U72" s="13"/>
      <c r="V72" s="36">
        <f>IF(T$12=0,0,T72/T$12)</f>
        <v>-1.2606855988601831</v>
      </c>
      <c r="W72" s="15"/>
      <c r="X72" s="31">
        <f>P72-T72</f>
        <v>-5833.7999999999956</v>
      </c>
      <c r="Y72" s="15"/>
      <c r="Z72" s="36">
        <f>IF(T72=0,0,X72/T72)</f>
        <v>0.3379344741474738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5</v>
      </c>
      <c r="C75" s="26"/>
      <c r="D75" s="32">
        <f>SUM(D72:D74)</f>
        <v>-11566.349999999997</v>
      </c>
      <c r="E75" s="13"/>
      <c r="F75" s="30">
        <f>IF(D$12=0,0,D75/D$12)</f>
        <v>-0.73577149661928098</v>
      </c>
      <c r="G75" s="13"/>
      <c r="H75" s="32">
        <f>SUM(H72:H74)</f>
        <v>-6546.6799999999994</v>
      </c>
      <c r="I75" s="13"/>
      <c r="J75" s="30">
        <f>IF(H$12=0,0,H75/H$12)</f>
        <v>-0.47808912741365744</v>
      </c>
      <c r="K75" s="15"/>
      <c r="L75" s="32">
        <f>+D75-H75</f>
        <v>-5019.6699999999973</v>
      </c>
      <c r="M75" s="15"/>
      <c r="N75" s="30">
        <f>IF(H75=0,0,L75/H75)</f>
        <v>0.76675047504994864</v>
      </c>
      <c r="O75" s="25"/>
      <c r="P75" s="32">
        <f>SUM(P72:P74)</f>
        <v>-23096.909999999993</v>
      </c>
      <c r="Q75" s="13"/>
      <c r="R75" s="30">
        <f>IF(P$12=0,0,P75/P$12)</f>
        <v>-1.4692662800261826</v>
      </c>
      <c r="S75" s="13"/>
      <c r="T75" s="32">
        <f>SUM(T72:T74)</f>
        <v>-17263.109999999997</v>
      </c>
      <c r="U75" s="13"/>
      <c r="V75" s="30">
        <f>IF(T$12=0,0,T75/T$12)</f>
        <v>-1.2606855988601831</v>
      </c>
      <c r="W75" s="15"/>
      <c r="X75" s="32">
        <f>+P75-T75</f>
        <v>-5833.7999999999956</v>
      </c>
      <c r="Y75" s="15"/>
      <c r="Z75" s="30">
        <f>IF(T75=0,0,X75/T75)</f>
        <v>0.3379344741474738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7">
        <v>43732.709972418983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60" t="s">
        <v>313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6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","411", " - ", "University Dining")</f>
        <v>Department 411 - University Dining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75348.960000000006</v>
      </c>
      <c r="E18" s="22"/>
      <c r="F18" s="33">
        <f t="shared" ref="F18:F28" si="0">IF(D$12=0,0,D18/D$12)</f>
        <v>0</v>
      </c>
      <c r="G18" s="22"/>
      <c r="H18" s="22">
        <f>SUM(OSRRefH22x_0)</f>
        <v>93208.819999999992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-17859.859999999986</v>
      </c>
      <c r="M18" s="4"/>
      <c r="N18" s="33">
        <f t="shared" ref="N18:N28" si="3">IF(H18=0,0,L18/H18)</f>
        <v>-0.191611265972469</v>
      </c>
      <c r="O18" s="10"/>
      <c r="P18" s="22">
        <f>SUM(OSRRefP22x_0)</f>
        <v>171720.93999999997</v>
      </c>
      <c r="Q18" s="22"/>
      <c r="R18" s="33">
        <f t="shared" ref="R18:R28" si="4">IF(P$12=0,0,P18/P$12)</f>
        <v>0</v>
      </c>
      <c r="S18" s="22"/>
      <c r="T18" s="22">
        <f>SUM(OSRRefT22x_0)</f>
        <v>187132.90999999997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-15411.970000000001</v>
      </c>
      <c r="Y18" s="4"/>
      <c r="Z18" s="33">
        <f t="shared" ref="Z18:Z28" si="7">IF(T18=0,0,X18/T18)</f>
        <v>-8.2358415737776983E-2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10109.429999999998</v>
      </c>
      <c r="E19" s="1"/>
      <c r="F19" s="5">
        <f t="shared" si="0"/>
        <v>0</v>
      </c>
      <c r="G19" s="1"/>
      <c r="H19" s="1">
        <f>SUM(OSRRefH22_0x_0)</f>
        <v>9124.0399999999991</v>
      </c>
      <c r="I19" s="1"/>
      <c r="J19" s="5">
        <f t="shared" si="1"/>
        <v>0</v>
      </c>
      <c r="K19" s="1"/>
      <c r="L19" s="1">
        <f t="shared" si="2"/>
        <v>985.38999999999942</v>
      </c>
      <c r="M19" s="1"/>
      <c r="N19" s="5">
        <f t="shared" si="3"/>
        <v>0.10799930732438695</v>
      </c>
      <c r="O19" s="14"/>
      <c r="P19" s="1">
        <f>SUM(OSRRefP22_0x_0)</f>
        <v>22179.01</v>
      </c>
      <c r="Q19" s="1"/>
      <c r="R19" s="5">
        <f t="shared" si="4"/>
        <v>0</v>
      </c>
      <c r="S19" s="1"/>
      <c r="T19" s="1">
        <f>SUM(OSRRefT22_0x_0)</f>
        <v>19500.939999999999</v>
      </c>
      <c r="U19" s="1"/>
      <c r="V19" s="5">
        <f t="shared" si="5"/>
        <v>0</v>
      </c>
      <c r="W19" s="1"/>
      <c r="X19" s="1">
        <f t="shared" si="6"/>
        <v>2678.0699999999997</v>
      </c>
      <c r="Y19" s="1"/>
      <c r="Z19" s="5">
        <f t="shared" si="7"/>
        <v>0.13733030305205801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1893.29</v>
      </c>
      <c r="E20" s="2"/>
      <c r="F20" s="6">
        <f t="shared" si="0"/>
        <v>0</v>
      </c>
      <c r="G20" s="2"/>
      <c r="H20" s="7">
        <v>1421.06</v>
      </c>
      <c r="I20" s="2"/>
      <c r="J20" s="6">
        <f t="shared" si="1"/>
        <v>0</v>
      </c>
      <c r="K20" s="2"/>
      <c r="L20" s="7">
        <f t="shared" si="2"/>
        <v>472.23</v>
      </c>
      <c r="M20" s="2"/>
      <c r="N20" s="6">
        <f t="shared" si="3"/>
        <v>0.33230827692004561</v>
      </c>
      <c r="O20" s="11"/>
      <c r="P20" s="7">
        <v>4021.52</v>
      </c>
      <c r="Q20" s="2"/>
      <c r="R20" s="6">
        <f t="shared" si="4"/>
        <v>0</v>
      </c>
      <c r="S20" s="2"/>
      <c r="T20" s="7">
        <v>2850.48</v>
      </c>
      <c r="U20" s="2"/>
      <c r="V20" s="6">
        <f t="shared" si="5"/>
        <v>0</v>
      </c>
      <c r="W20" s="2"/>
      <c r="X20" s="7">
        <f t="shared" si="6"/>
        <v>1171.04</v>
      </c>
      <c r="Y20" s="2"/>
      <c r="Z20" s="6">
        <f t="shared" si="7"/>
        <v>0.41082203699026126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769.27</v>
      </c>
      <c r="E21" s="2"/>
      <c r="F21" s="6">
        <f t="shared" si="0"/>
        <v>0</v>
      </c>
      <c r="G21" s="2"/>
      <c r="H21" s="7">
        <v>578.54999999999995</v>
      </c>
      <c r="I21" s="2"/>
      <c r="J21" s="6">
        <f t="shared" si="1"/>
        <v>0</v>
      </c>
      <c r="K21" s="2"/>
      <c r="L21" s="7">
        <f t="shared" si="2"/>
        <v>190.72000000000003</v>
      </c>
      <c r="M21" s="2"/>
      <c r="N21" s="6">
        <f t="shared" si="3"/>
        <v>0.32965171549563571</v>
      </c>
      <c r="O21" s="11"/>
      <c r="P21" s="7">
        <v>1469.83</v>
      </c>
      <c r="Q21" s="2"/>
      <c r="R21" s="6">
        <f t="shared" si="4"/>
        <v>0</v>
      </c>
      <c r="S21" s="2"/>
      <c r="T21" s="7">
        <v>1423.95</v>
      </c>
      <c r="U21" s="2"/>
      <c r="V21" s="6">
        <f t="shared" si="5"/>
        <v>0</v>
      </c>
      <c r="W21" s="2"/>
      <c r="X21" s="7">
        <f t="shared" si="6"/>
        <v>45.879999999999882</v>
      </c>
      <c r="Y21" s="2"/>
      <c r="Z21" s="6">
        <f t="shared" si="7"/>
        <v>3.2220232451982078E-2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3654.84</v>
      </c>
      <c r="E22" s="2"/>
      <c r="F22" s="6">
        <f t="shared" si="0"/>
        <v>0</v>
      </c>
      <c r="G22" s="2"/>
      <c r="H22" s="7">
        <v>3578.11</v>
      </c>
      <c r="I22" s="2"/>
      <c r="J22" s="6">
        <f t="shared" si="1"/>
        <v>0</v>
      </c>
      <c r="K22" s="2"/>
      <c r="L22" s="7">
        <f t="shared" si="2"/>
        <v>76.730000000000018</v>
      </c>
      <c r="M22" s="2"/>
      <c r="N22" s="6">
        <f t="shared" si="3"/>
        <v>2.1444282037164877E-2</v>
      </c>
      <c r="O22" s="11"/>
      <c r="P22" s="7">
        <v>7309.76</v>
      </c>
      <c r="Q22" s="2"/>
      <c r="R22" s="6">
        <f t="shared" si="4"/>
        <v>0</v>
      </c>
      <c r="S22" s="2"/>
      <c r="T22" s="7">
        <v>4936.55</v>
      </c>
      <c r="U22" s="2"/>
      <c r="V22" s="6">
        <f t="shared" si="5"/>
        <v>0</v>
      </c>
      <c r="W22" s="2"/>
      <c r="X22" s="7">
        <f t="shared" si="6"/>
        <v>2373.21</v>
      </c>
      <c r="Y22" s="2"/>
      <c r="Z22" s="6">
        <f t="shared" si="7"/>
        <v>0.48074262389725619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63.37</v>
      </c>
      <c r="E23" s="2"/>
      <c r="F23" s="6">
        <f t="shared" si="0"/>
        <v>0</v>
      </c>
      <c r="G23" s="2"/>
      <c r="H23" s="7">
        <v>49.43</v>
      </c>
      <c r="I23" s="2"/>
      <c r="J23" s="6">
        <f t="shared" si="1"/>
        <v>0</v>
      </c>
      <c r="K23" s="2"/>
      <c r="L23" s="7">
        <f t="shared" si="2"/>
        <v>13.939999999999998</v>
      </c>
      <c r="M23" s="2"/>
      <c r="N23" s="6">
        <f t="shared" si="3"/>
        <v>0.28201497066558767</v>
      </c>
      <c r="O23" s="11"/>
      <c r="P23" s="7">
        <v>122.77</v>
      </c>
      <c r="Q23" s="2"/>
      <c r="R23" s="6">
        <f t="shared" si="4"/>
        <v>0</v>
      </c>
      <c r="S23" s="2"/>
      <c r="T23" s="7">
        <v>121.4</v>
      </c>
      <c r="U23" s="2"/>
      <c r="V23" s="6">
        <f t="shared" si="5"/>
        <v>0</v>
      </c>
      <c r="W23" s="2"/>
      <c r="X23" s="7">
        <f t="shared" si="6"/>
        <v>1.3699999999999903</v>
      </c>
      <c r="Y23" s="2"/>
      <c r="Z23" s="6">
        <f t="shared" si="7"/>
        <v>1.128500823723221E-2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1169.0899999999999</v>
      </c>
      <c r="E24" s="2"/>
      <c r="F24" s="6">
        <f t="shared" si="0"/>
        <v>0</v>
      </c>
      <c r="G24" s="2"/>
      <c r="H24" s="7">
        <v>1053.2</v>
      </c>
      <c r="I24" s="2"/>
      <c r="J24" s="6">
        <f t="shared" si="1"/>
        <v>0</v>
      </c>
      <c r="K24" s="2"/>
      <c r="L24" s="7">
        <f t="shared" si="2"/>
        <v>115.88999999999987</v>
      </c>
      <c r="M24" s="2"/>
      <c r="N24" s="6">
        <f t="shared" si="3"/>
        <v>0.11003608051652096</v>
      </c>
      <c r="O24" s="11"/>
      <c r="P24" s="7">
        <v>2338.1799999999998</v>
      </c>
      <c r="Q24" s="2"/>
      <c r="R24" s="6">
        <f t="shared" si="4"/>
        <v>0</v>
      </c>
      <c r="S24" s="2"/>
      <c r="T24" s="7">
        <v>2617.67</v>
      </c>
      <c r="U24" s="2"/>
      <c r="V24" s="6">
        <f t="shared" si="5"/>
        <v>0</v>
      </c>
      <c r="W24" s="2"/>
      <c r="X24" s="7">
        <f t="shared" si="6"/>
        <v>-279.49000000000024</v>
      </c>
      <c r="Y24" s="2"/>
      <c r="Z24" s="6">
        <f t="shared" si="7"/>
        <v>-0.10677052493247821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>
        <v>56</v>
      </c>
      <c r="E25" s="2"/>
      <c r="F25" s="6">
        <f t="shared" si="0"/>
        <v>0</v>
      </c>
      <c r="G25" s="2"/>
      <c r="H25" s="7">
        <v>56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112</v>
      </c>
      <c r="Q25" s="2"/>
      <c r="R25" s="6">
        <f t="shared" si="4"/>
        <v>0</v>
      </c>
      <c r="S25" s="2"/>
      <c r="T25" s="7">
        <v>112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1401.17</v>
      </c>
      <c r="E26" s="2"/>
      <c r="F26" s="6">
        <f t="shared" si="0"/>
        <v>0</v>
      </c>
      <c r="G26" s="2"/>
      <c r="H26" s="7">
        <v>1291.92</v>
      </c>
      <c r="I26" s="2"/>
      <c r="J26" s="6">
        <f t="shared" si="1"/>
        <v>0</v>
      </c>
      <c r="K26" s="2"/>
      <c r="L26" s="7">
        <f t="shared" si="2"/>
        <v>109.25</v>
      </c>
      <c r="M26" s="2"/>
      <c r="N26" s="6">
        <f t="shared" si="3"/>
        <v>8.4564059694098706E-2</v>
      </c>
      <c r="O26" s="11"/>
      <c r="P26" s="7">
        <v>3491.44</v>
      </c>
      <c r="Q26" s="2"/>
      <c r="R26" s="6">
        <f t="shared" si="4"/>
        <v>0</v>
      </c>
      <c r="S26" s="2"/>
      <c r="T26" s="7">
        <v>3475.49</v>
      </c>
      <c r="U26" s="2"/>
      <c r="V26" s="6">
        <f t="shared" si="5"/>
        <v>0</v>
      </c>
      <c r="W26" s="2"/>
      <c r="X26" s="7">
        <f t="shared" si="6"/>
        <v>15.950000000000273</v>
      </c>
      <c r="Y26" s="2"/>
      <c r="Z26" s="6">
        <f t="shared" si="7"/>
        <v>4.5892809359256602E-3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716.34</v>
      </c>
      <c r="E27" s="2"/>
      <c r="F27" s="6">
        <f t="shared" si="0"/>
        <v>0</v>
      </c>
      <c r="G27" s="2"/>
      <c r="H27" s="7">
        <v>657.06</v>
      </c>
      <c r="I27" s="2"/>
      <c r="J27" s="6">
        <f t="shared" si="1"/>
        <v>0</v>
      </c>
      <c r="K27" s="2"/>
      <c r="L27" s="7">
        <f t="shared" si="2"/>
        <v>59.280000000000086</v>
      </c>
      <c r="M27" s="2"/>
      <c r="N27" s="6">
        <f t="shared" si="3"/>
        <v>9.0220071226372156E-2</v>
      </c>
      <c r="O27" s="11"/>
      <c r="P27" s="7">
        <v>2678.87</v>
      </c>
      <c r="Q27" s="2"/>
      <c r="R27" s="6">
        <f t="shared" si="4"/>
        <v>0</v>
      </c>
      <c r="S27" s="2"/>
      <c r="T27" s="7">
        <v>3304.72</v>
      </c>
      <c r="U27" s="2"/>
      <c r="V27" s="6">
        <f t="shared" si="5"/>
        <v>0</v>
      </c>
      <c r="W27" s="2"/>
      <c r="X27" s="7">
        <f t="shared" si="6"/>
        <v>-625.84999999999991</v>
      </c>
      <c r="Y27" s="2"/>
      <c r="Z27" s="6">
        <f t="shared" si="7"/>
        <v>-0.18938064344331743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386.06</v>
      </c>
      <c r="E28" s="2"/>
      <c r="F28" s="6">
        <f t="shared" si="0"/>
        <v>0</v>
      </c>
      <c r="G28" s="2"/>
      <c r="H28" s="7">
        <v>438.71</v>
      </c>
      <c r="I28" s="2"/>
      <c r="J28" s="6">
        <f t="shared" si="1"/>
        <v>0</v>
      </c>
      <c r="K28" s="2"/>
      <c r="L28" s="7">
        <f t="shared" si="2"/>
        <v>-52.649999999999977</v>
      </c>
      <c r="M28" s="2"/>
      <c r="N28" s="6">
        <f t="shared" si="3"/>
        <v>-0.12001094116842556</v>
      </c>
      <c r="O28" s="11"/>
      <c r="P28" s="7">
        <v>634.64</v>
      </c>
      <c r="Q28" s="2"/>
      <c r="R28" s="6">
        <f t="shared" si="4"/>
        <v>0</v>
      </c>
      <c r="S28" s="2"/>
      <c r="T28" s="7">
        <v>658.68</v>
      </c>
      <c r="U28" s="2"/>
      <c r="V28" s="6">
        <f t="shared" si="5"/>
        <v>0</v>
      </c>
      <c r="W28" s="2"/>
      <c r="X28" s="7">
        <f t="shared" si="6"/>
        <v>-24.039999999999964</v>
      </c>
      <c r="Y28" s="2"/>
      <c r="Z28" s="6">
        <f t="shared" si="7"/>
        <v>-3.6497236898038452E-2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23611.75</v>
      </c>
      <c r="E29" s="1"/>
      <c r="F29" s="5">
        <f t="shared" ref="F29:F35" si="8">IF(D$12=0,0,D29/D$12)</f>
        <v>0</v>
      </c>
      <c r="G29" s="1"/>
      <c r="H29" s="1">
        <f>SUM(OSRRefH22_1x_0)</f>
        <v>19583.080000000002</v>
      </c>
      <c r="I29" s="1"/>
      <c r="J29" s="5">
        <f t="shared" ref="J29:J35" si="9">IF(H$12=0,0,H29/H$12)</f>
        <v>0</v>
      </c>
      <c r="K29" s="1"/>
      <c r="L29" s="1">
        <f t="shared" ref="L29:L35" si="10">+D29-H29</f>
        <v>4028.6699999999983</v>
      </c>
      <c r="M29" s="1"/>
      <c r="N29" s="5">
        <f t="shared" ref="N29:N35" si="11">IF(H29=0,0,L29/H29)</f>
        <v>0.20572198040349107</v>
      </c>
      <c r="O29" s="14"/>
      <c r="P29" s="1">
        <f>SUM(OSRRefP22_1x_0)</f>
        <v>55099.139999999992</v>
      </c>
      <c r="Q29" s="1"/>
      <c r="R29" s="5">
        <f t="shared" ref="R29:R35" si="12">IF(P$12=0,0,P29/P$12)</f>
        <v>0</v>
      </c>
      <c r="S29" s="1"/>
      <c r="T29" s="1">
        <f>SUM(OSRRefT22_1x_0)</f>
        <v>37914.449999999997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17184.689999999995</v>
      </c>
      <c r="Y29" s="1"/>
      <c r="Z29" s="5">
        <f t="shared" ref="Z29:Z35" si="15">IF(T29=0,0,X29/T29)</f>
        <v>0.45324909104576216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7051.1</v>
      </c>
      <c r="E30" s="2"/>
      <c r="F30" s="6">
        <f t="shared" si="8"/>
        <v>0</v>
      </c>
      <c r="G30" s="2"/>
      <c r="H30" s="7">
        <v>8557.16</v>
      </c>
      <c r="I30" s="2"/>
      <c r="J30" s="6">
        <f t="shared" si="9"/>
        <v>0</v>
      </c>
      <c r="K30" s="2"/>
      <c r="L30" s="7">
        <f t="shared" si="10"/>
        <v>-1506.0599999999995</v>
      </c>
      <c r="M30" s="2"/>
      <c r="N30" s="6">
        <f t="shared" si="11"/>
        <v>-0.17599998130220768</v>
      </c>
      <c r="O30" s="11"/>
      <c r="P30" s="7">
        <v>17186.59</v>
      </c>
      <c r="Q30" s="2"/>
      <c r="R30" s="6">
        <f t="shared" si="12"/>
        <v>0</v>
      </c>
      <c r="S30" s="2"/>
      <c r="T30" s="7">
        <v>17114.030000000002</v>
      </c>
      <c r="U30" s="2"/>
      <c r="V30" s="6">
        <f t="shared" si="13"/>
        <v>0</v>
      </c>
      <c r="W30" s="2"/>
      <c r="X30" s="7">
        <f t="shared" si="14"/>
        <v>72.559999999997672</v>
      </c>
      <c r="Y30" s="2"/>
      <c r="Z30" s="6">
        <f t="shared" si="15"/>
        <v>4.2397962373559974E-3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4359.24</v>
      </c>
      <c r="E31" s="2"/>
      <c r="F31" s="6">
        <f t="shared" si="8"/>
        <v>0</v>
      </c>
      <c r="G31" s="2"/>
      <c r="H31" s="7">
        <v>3625.6</v>
      </c>
      <c r="I31" s="2"/>
      <c r="J31" s="6">
        <f t="shared" si="9"/>
        <v>0</v>
      </c>
      <c r="K31" s="2"/>
      <c r="L31" s="7">
        <f t="shared" si="10"/>
        <v>733.63999999999987</v>
      </c>
      <c r="M31" s="2"/>
      <c r="N31" s="6">
        <f t="shared" si="11"/>
        <v>0.20234995586937332</v>
      </c>
      <c r="O31" s="11"/>
      <c r="P31" s="7">
        <v>8576.48</v>
      </c>
      <c r="Q31" s="2"/>
      <c r="R31" s="6">
        <f t="shared" si="12"/>
        <v>0</v>
      </c>
      <c r="S31" s="2"/>
      <c r="T31" s="7">
        <v>7250.8</v>
      </c>
      <c r="U31" s="2"/>
      <c r="V31" s="6">
        <f t="shared" si="13"/>
        <v>0</v>
      </c>
      <c r="W31" s="2"/>
      <c r="X31" s="7">
        <f t="shared" si="14"/>
        <v>1325.6799999999994</v>
      </c>
      <c r="Y31" s="2"/>
      <c r="Z31" s="6">
        <f t="shared" si="15"/>
        <v>0.18283223920119152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7">
        <v>1730.4</v>
      </c>
      <c r="E32" s="2"/>
      <c r="F32" s="6">
        <f t="shared" si="8"/>
        <v>0</v>
      </c>
      <c r="G32" s="2"/>
      <c r="H32" s="7">
        <v>1546.8</v>
      </c>
      <c r="I32" s="2"/>
      <c r="J32" s="6">
        <f t="shared" si="9"/>
        <v>0</v>
      </c>
      <c r="K32" s="2"/>
      <c r="L32" s="7">
        <f t="shared" si="10"/>
        <v>183.60000000000014</v>
      </c>
      <c r="M32" s="2"/>
      <c r="N32" s="6">
        <f t="shared" si="11"/>
        <v>0.11869666408068279</v>
      </c>
      <c r="O32" s="11"/>
      <c r="P32" s="7">
        <v>3922.24</v>
      </c>
      <c r="Q32" s="2"/>
      <c r="R32" s="6">
        <f t="shared" si="12"/>
        <v>0</v>
      </c>
      <c r="S32" s="2"/>
      <c r="T32" s="7">
        <v>1746.6</v>
      </c>
      <c r="U32" s="2"/>
      <c r="V32" s="6">
        <f t="shared" si="13"/>
        <v>0</v>
      </c>
      <c r="W32" s="2"/>
      <c r="X32" s="7">
        <f t="shared" si="14"/>
        <v>2175.64</v>
      </c>
      <c r="Y32" s="2"/>
      <c r="Z32" s="6">
        <f t="shared" si="15"/>
        <v>1.2456429634718882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>
        <v>7633.51</v>
      </c>
      <c r="E33" s="2"/>
      <c r="F33" s="6">
        <f t="shared" si="8"/>
        <v>0</v>
      </c>
      <c r="G33" s="2"/>
      <c r="H33" s="7">
        <v>4559.5200000000004</v>
      </c>
      <c r="I33" s="2"/>
      <c r="J33" s="6">
        <f t="shared" si="9"/>
        <v>0</v>
      </c>
      <c r="K33" s="2"/>
      <c r="L33" s="7">
        <f t="shared" si="10"/>
        <v>3073.99</v>
      </c>
      <c r="M33" s="2"/>
      <c r="N33" s="6">
        <f t="shared" si="11"/>
        <v>0.67419158156998971</v>
      </c>
      <c r="O33" s="11"/>
      <c r="P33" s="7">
        <v>16056.009999999998</v>
      </c>
      <c r="Q33" s="2"/>
      <c r="R33" s="6">
        <f t="shared" si="12"/>
        <v>0</v>
      </c>
      <c r="S33" s="2"/>
      <c r="T33" s="7">
        <v>9155.27</v>
      </c>
      <c r="U33" s="2"/>
      <c r="V33" s="6">
        <f t="shared" si="13"/>
        <v>0</v>
      </c>
      <c r="W33" s="2"/>
      <c r="X33" s="7">
        <f t="shared" si="14"/>
        <v>6900.739999999998</v>
      </c>
      <c r="Y33" s="2"/>
      <c r="Z33" s="6">
        <f t="shared" si="15"/>
        <v>0.75374511073949735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7">
        <v>364.25</v>
      </c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364.25</v>
      </c>
      <c r="M34" s="2"/>
      <c r="N34" s="6">
        <f t="shared" si="11"/>
        <v>0</v>
      </c>
      <c r="O34" s="11"/>
      <c r="P34" s="7">
        <v>1236.8800000000001</v>
      </c>
      <c r="Q34" s="2"/>
      <c r="R34" s="6">
        <f t="shared" si="12"/>
        <v>0</v>
      </c>
      <c r="S34" s="2"/>
      <c r="T34" s="7"/>
      <c r="U34" s="2"/>
      <c r="V34" s="6">
        <f t="shared" si="13"/>
        <v>0</v>
      </c>
      <c r="W34" s="2"/>
      <c r="X34" s="7">
        <f t="shared" si="14"/>
        <v>1236.8800000000001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>
        <v>2473.25</v>
      </c>
      <c r="E35" s="2"/>
      <c r="F35" s="6">
        <f t="shared" si="8"/>
        <v>0</v>
      </c>
      <c r="G35" s="2"/>
      <c r="H35" s="7">
        <v>1294</v>
      </c>
      <c r="I35" s="2"/>
      <c r="J35" s="6">
        <f t="shared" si="9"/>
        <v>0</v>
      </c>
      <c r="K35" s="2"/>
      <c r="L35" s="7">
        <f t="shared" si="10"/>
        <v>1179.25</v>
      </c>
      <c r="M35" s="2"/>
      <c r="N35" s="6">
        <f t="shared" si="11"/>
        <v>0.91132148377125188</v>
      </c>
      <c r="O35" s="11"/>
      <c r="P35" s="7">
        <v>8120.94</v>
      </c>
      <c r="Q35" s="2"/>
      <c r="R35" s="6">
        <f t="shared" si="12"/>
        <v>0</v>
      </c>
      <c r="S35" s="2"/>
      <c r="T35" s="7">
        <v>2647.75</v>
      </c>
      <c r="U35" s="2"/>
      <c r="V35" s="6">
        <f t="shared" si="13"/>
        <v>0</v>
      </c>
      <c r="W35" s="2"/>
      <c r="X35" s="7">
        <f t="shared" si="14"/>
        <v>5473.19</v>
      </c>
      <c r="Y35" s="2"/>
      <c r="Z35" s="6">
        <f t="shared" si="15"/>
        <v>2.0671098102162211</v>
      </c>
    </row>
    <row r="36" spans="1:26" s="27" customFormat="1" outlineLevel="1" collapsed="1" x14ac:dyDescent="0.25">
      <c r="A36" s="28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52.92</v>
      </c>
      <c r="E36" s="1"/>
      <c r="F36" s="5">
        <f t="shared" ref="F36:F41" si="16">IF(D$12=0,0,D36/D$12)</f>
        <v>0</v>
      </c>
      <c r="G36" s="1"/>
      <c r="H36" s="1">
        <f>SUM(OSRRefH22_2x_0)</f>
        <v>6</v>
      </c>
      <c r="I36" s="1"/>
      <c r="J36" s="5">
        <f t="shared" ref="J36:J41" si="17">IF(H$12=0,0,H36/H$12)</f>
        <v>0</v>
      </c>
      <c r="K36" s="1"/>
      <c r="L36" s="1">
        <f t="shared" ref="L36:L41" si="18">+D36-H36</f>
        <v>46.92</v>
      </c>
      <c r="M36" s="1"/>
      <c r="N36" s="5">
        <f t="shared" ref="N36:N41" si="19">IF(H36=0,0,L36/H36)</f>
        <v>7.82</v>
      </c>
      <c r="O36" s="14"/>
      <c r="P36" s="1">
        <f>SUM(OSRRefP22_2x_0)</f>
        <v>65.42</v>
      </c>
      <c r="Q36" s="1"/>
      <c r="R36" s="5">
        <f t="shared" ref="R36:R41" si="20">IF(P$12=0,0,P36/P$12)</f>
        <v>0</v>
      </c>
      <c r="S36" s="1"/>
      <c r="T36" s="1">
        <f>SUM(OSRRefT22_2x_0)</f>
        <v>554.29999999999995</v>
      </c>
      <c r="U36" s="1"/>
      <c r="V36" s="5">
        <f t="shared" ref="V36:V41" si="21">IF(T$12=0,0,T36/T$12)</f>
        <v>0</v>
      </c>
      <c r="W36" s="1"/>
      <c r="X36" s="1">
        <f t="shared" ref="X36:X41" si="22">+P36-T36</f>
        <v>-488.87999999999994</v>
      </c>
      <c r="Y36" s="1"/>
      <c r="Z36" s="5">
        <f t="shared" ref="Z36:Z41" si="23">IF(T36=0,0,X36/T36)</f>
        <v>-0.88197726862709724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>
        <v>52.92</v>
      </c>
      <c r="E37" s="2"/>
      <c r="F37" s="6">
        <f t="shared" si="16"/>
        <v>0</v>
      </c>
      <c r="G37" s="2"/>
      <c r="H37" s="7">
        <v>6</v>
      </c>
      <c r="I37" s="2"/>
      <c r="J37" s="6">
        <f t="shared" si="17"/>
        <v>0</v>
      </c>
      <c r="K37" s="2"/>
      <c r="L37" s="7">
        <f t="shared" si="18"/>
        <v>46.92</v>
      </c>
      <c r="M37" s="2"/>
      <c r="N37" s="6">
        <f t="shared" si="19"/>
        <v>7.82</v>
      </c>
      <c r="O37" s="11"/>
      <c r="P37" s="7">
        <v>65.42</v>
      </c>
      <c r="Q37" s="2"/>
      <c r="R37" s="6">
        <f t="shared" si="20"/>
        <v>0</v>
      </c>
      <c r="S37" s="2"/>
      <c r="T37" s="7">
        <v>554.29999999999995</v>
      </c>
      <c r="U37" s="2"/>
      <c r="V37" s="6">
        <f t="shared" si="21"/>
        <v>0</v>
      </c>
      <c r="W37" s="2"/>
      <c r="X37" s="7">
        <f t="shared" si="22"/>
        <v>-488.87999999999994</v>
      </c>
      <c r="Y37" s="2"/>
      <c r="Z37" s="6">
        <f t="shared" si="23"/>
        <v>-0.88197726862709724</v>
      </c>
    </row>
    <row r="38" spans="1:26" s="27" customFormat="1" outlineLevel="1" collapsed="1" x14ac:dyDescent="0.25">
      <c r="A38" s="28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SUM(OSRRefD22_3x_0)</f>
        <v>6821.6399999999994</v>
      </c>
      <c r="E38" s="1"/>
      <c r="F38" s="5">
        <f t="shared" si="16"/>
        <v>0</v>
      </c>
      <c r="G38" s="1"/>
      <c r="H38" s="1">
        <f>SUM(OSRRefH22_3x_0)</f>
        <v>13523.130000000001</v>
      </c>
      <c r="I38" s="1"/>
      <c r="J38" s="5">
        <f t="shared" si="17"/>
        <v>0</v>
      </c>
      <c r="K38" s="1"/>
      <c r="L38" s="1">
        <f t="shared" si="18"/>
        <v>-6701.4900000000016</v>
      </c>
      <c r="M38" s="1"/>
      <c r="N38" s="5">
        <f t="shared" si="19"/>
        <v>-0.49555761129265202</v>
      </c>
      <c r="O38" s="14"/>
      <c r="P38" s="1">
        <f>SUM(OSRRefP22_3x_0)</f>
        <v>13643.279999999999</v>
      </c>
      <c r="Q38" s="1"/>
      <c r="R38" s="5">
        <f t="shared" si="20"/>
        <v>0</v>
      </c>
      <c r="S38" s="1"/>
      <c r="T38" s="1">
        <f>SUM(OSRRefT22_3x_0)</f>
        <v>27046.260000000002</v>
      </c>
      <c r="U38" s="1"/>
      <c r="V38" s="5">
        <f t="shared" si="21"/>
        <v>0</v>
      </c>
      <c r="W38" s="1"/>
      <c r="X38" s="1">
        <f t="shared" si="22"/>
        <v>-13402.980000000003</v>
      </c>
      <c r="Y38" s="1"/>
      <c r="Z38" s="5">
        <f t="shared" si="23"/>
        <v>-0.49555761129265202</v>
      </c>
    </row>
    <row r="39" spans="1:26" s="24" customFormat="1" hidden="1" outlineLevel="2" x14ac:dyDescent="0.25">
      <c r="A39" s="29"/>
      <c r="B39" s="11" t="str">
        <f>CONCATENATE("          ", "6321", " - ", "BUILDING DEPRECIATION")</f>
        <v xml:space="preserve">          6321 - BUILDING DEPRECIATION</v>
      </c>
      <c r="C39" s="11"/>
      <c r="D39" s="7">
        <v>2266.9499999999998</v>
      </c>
      <c r="E39" s="2"/>
      <c r="F39" s="6">
        <f t="shared" si="16"/>
        <v>0</v>
      </c>
      <c r="G39" s="2"/>
      <c r="H39" s="7">
        <v>10364.69</v>
      </c>
      <c r="I39" s="2"/>
      <c r="J39" s="6">
        <f t="shared" si="17"/>
        <v>0</v>
      </c>
      <c r="K39" s="2"/>
      <c r="L39" s="7">
        <f t="shared" si="18"/>
        <v>-8097.7400000000007</v>
      </c>
      <c r="M39" s="2"/>
      <c r="N39" s="6">
        <f t="shared" si="19"/>
        <v>-0.78128144691254642</v>
      </c>
      <c r="O39" s="11"/>
      <c r="P39" s="7">
        <v>4533.8999999999996</v>
      </c>
      <c r="Q39" s="2"/>
      <c r="R39" s="6">
        <f t="shared" si="20"/>
        <v>0</v>
      </c>
      <c r="S39" s="2"/>
      <c r="T39" s="7">
        <v>20729.38</v>
      </c>
      <c r="U39" s="2"/>
      <c r="V39" s="6">
        <f t="shared" si="21"/>
        <v>0</v>
      </c>
      <c r="W39" s="2"/>
      <c r="X39" s="7">
        <f t="shared" si="22"/>
        <v>-16195.480000000001</v>
      </c>
      <c r="Y39" s="2"/>
      <c r="Z39" s="6">
        <f t="shared" si="23"/>
        <v>-0.78128144691254642</v>
      </c>
    </row>
    <row r="40" spans="1:26" s="24" customFormat="1" hidden="1" outlineLevel="2" x14ac:dyDescent="0.25">
      <c r="A40" s="29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4130.4399999999996</v>
      </c>
      <c r="E40" s="2"/>
      <c r="F40" s="6">
        <f t="shared" si="16"/>
        <v>0</v>
      </c>
      <c r="G40" s="2"/>
      <c r="H40" s="7">
        <v>2734.19</v>
      </c>
      <c r="I40" s="2"/>
      <c r="J40" s="6">
        <f t="shared" si="17"/>
        <v>0</v>
      </c>
      <c r="K40" s="2"/>
      <c r="L40" s="7">
        <f t="shared" si="18"/>
        <v>1396.2499999999995</v>
      </c>
      <c r="M40" s="2"/>
      <c r="N40" s="6">
        <f t="shared" si="19"/>
        <v>0.51066312143633019</v>
      </c>
      <c r="O40" s="11"/>
      <c r="P40" s="7">
        <v>8260.8799999999992</v>
      </c>
      <c r="Q40" s="2"/>
      <c r="R40" s="6">
        <f t="shared" si="20"/>
        <v>0</v>
      </c>
      <c r="S40" s="2"/>
      <c r="T40" s="7">
        <v>5468.38</v>
      </c>
      <c r="U40" s="2"/>
      <c r="V40" s="6">
        <f t="shared" si="21"/>
        <v>0</v>
      </c>
      <c r="W40" s="2"/>
      <c r="X40" s="7">
        <f t="shared" si="22"/>
        <v>2792.4999999999991</v>
      </c>
      <c r="Y40" s="2"/>
      <c r="Z40" s="6">
        <f t="shared" si="23"/>
        <v>0.51066312143633019</v>
      </c>
    </row>
    <row r="41" spans="1:26" s="24" customFormat="1" hidden="1" outlineLevel="2" x14ac:dyDescent="0.25">
      <c r="A41" s="29"/>
      <c r="B41" s="11" t="str">
        <f>CONCATENATE("          ", "6326", " - ", "VEHICLES DEPRECIATION EXPENSE")</f>
        <v xml:space="preserve">          6326 - VEHICLES DEPRECIATION EXPENSE</v>
      </c>
      <c r="C41" s="11"/>
      <c r="D41" s="7">
        <v>424.25</v>
      </c>
      <c r="E41" s="2"/>
      <c r="F41" s="6">
        <f t="shared" si="16"/>
        <v>0</v>
      </c>
      <c r="G41" s="2"/>
      <c r="H41" s="7">
        <v>424.25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848.5</v>
      </c>
      <c r="Q41" s="2"/>
      <c r="R41" s="6">
        <f t="shared" si="20"/>
        <v>0</v>
      </c>
      <c r="S41" s="2"/>
      <c r="T41" s="7">
        <v>848.5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7" customFormat="1" outlineLevel="1" collapsed="1" x14ac:dyDescent="0.25">
      <c r="A42" s="28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SUM(OSRRefD22_4x_0)</f>
        <v>127.02</v>
      </c>
      <c r="E42" s="1"/>
      <c r="F42" s="5">
        <f t="shared" ref="F42:F53" si="24">IF(D$12=0,0,D42/D$12)</f>
        <v>0</v>
      </c>
      <c r="G42" s="1"/>
      <c r="H42" s="1">
        <f>SUM(OSRRefH22_4x_0)</f>
        <v>245.84</v>
      </c>
      <c r="I42" s="1"/>
      <c r="J42" s="5">
        <f t="shared" ref="J42:J53" si="25">IF(H$12=0,0,H42/H$12)</f>
        <v>0</v>
      </c>
      <c r="K42" s="1"/>
      <c r="L42" s="1">
        <f t="shared" ref="L42:L53" si="26">+D42-H42</f>
        <v>-118.82000000000001</v>
      </c>
      <c r="M42" s="1"/>
      <c r="N42" s="5">
        <f t="shared" ref="N42:N53" si="27">IF(H42=0,0,L42/H42)</f>
        <v>-0.48332248616986662</v>
      </c>
      <c r="O42" s="14"/>
      <c r="P42" s="1">
        <f>SUM(OSRRefP22_4x_0)</f>
        <v>172.88</v>
      </c>
      <c r="Q42" s="1"/>
      <c r="R42" s="5">
        <f t="shared" ref="R42:R53" si="28">IF(P$12=0,0,P42/P$12)</f>
        <v>0</v>
      </c>
      <c r="S42" s="1"/>
      <c r="T42" s="1">
        <f>SUM(OSRRefT22_4x_0)</f>
        <v>245.84</v>
      </c>
      <c r="U42" s="1"/>
      <c r="V42" s="5">
        <f t="shared" ref="V42:V53" si="29">IF(T$12=0,0,T42/T$12)</f>
        <v>0</v>
      </c>
      <c r="W42" s="1"/>
      <c r="X42" s="1">
        <f t="shared" ref="X42:X53" si="30">+P42-T42</f>
        <v>-72.960000000000008</v>
      </c>
      <c r="Y42" s="1"/>
      <c r="Z42" s="5">
        <f t="shared" ref="Z42:Z53" si="31">IF(T42=0,0,X42/T42)</f>
        <v>-0.29677839245037424</v>
      </c>
    </row>
    <row r="43" spans="1:26" s="24" customFormat="1" hidden="1" outlineLevel="2" x14ac:dyDescent="0.25">
      <c r="A43" s="29"/>
      <c r="B43" s="11" t="str">
        <f>CONCATENATE("          ", "6277", " - ", "EMPLOYEE APPRECIATION")</f>
        <v xml:space="preserve">          6277 - EMPLOYEE APPRECIATION</v>
      </c>
      <c r="C43" s="11"/>
      <c r="D43" s="7">
        <v>127.02</v>
      </c>
      <c r="E43" s="2"/>
      <c r="F43" s="6">
        <f t="shared" si="24"/>
        <v>0</v>
      </c>
      <c r="G43" s="2"/>
      <c r="H43" s="7">
        <v>245.84</v>
      </c>
      <c r="I43" s="2"/>
      <c r="J43" s="6">
        <f t="shared" si="25"/>
        <v>0</v>
      </c>
      <c r="K43" s="2"/>
      <c r="L43" s="7">
        <f t="shared" si="26"/>
        <v>-118.82000000000001</v>
      </c>
      <c r="M43" s="2"/>
      <c r="N43" s="6">
        <f t="shared" si="27"/>
        <v>-0.48332248616986662</v>
      </c>
      <c r="O43" s="11"/>
      <c r="P43" s="7">
        <v>172.88</v>
      </c>
      <c r="Q43" s="2"/>
      <c r="R43" s="6">
        <f t="shared" si="28"/>
        <v>0</v>
      </c>
      <c r="S43" s="2"/>
      <c r="T43" s="7">
        <v>245.84</v>
      </c>
      <c r="U43" s="2"/>
      <c r="V43" s="6">
        <f t="shared" si="29"/>
        <v>0</v>
      </c>
      <c r="W43" s="2"/>
      <c r="X43" s="7">
        <f t="shared" si="30"/>
        <v>-72.960000000000008</v>
      </c>
      <c r="Y43" s="2"/>
      <c r="Z43" s="6">
        <f t="shared" si="31"/>
        <v>-0.29677839245037424</v>
      </c>
    </row>
    <row r="44" spans="1:26" s="27" customFormat="1" outlineLevel="1" collapsed="1" x14ac:dyDescent="0.25">
      <c r="A44" s="28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SUM(OSRRefD22_5x_0)</f>
        <v>1014.66</v>
      </c>
      <c r="E44" s="1"/>
      <c r="F44" s="5">
        <f t="shared" si="24"/>
        <v>0</v>
      </c>
      <c r="G44" s="1"/>
      <c r="H44" s="1">
        <f>SUM(OSRRefH22_5x_0)</f>
        <v>234.34</v>
      </c>
      <c r="I44" s="1"/>
      <c r="J44" s="5">
        <f t="shared" si="25"/>
        <v>0</v>
      </c>
      <c r="K44" s="1"/>
      <c r="L44" s="1">
        <f t="shared" si="26"/>
        <v>780.31999999999994</v>
      </c>
      <c r="M44" s="1"/>
      <c r="N44" s="5">
        <f t="shared" si="27"/>
        <v>3.3298625928138601</v>
      </c>
      <c r="O44" s="14"/>
      <c r="P44" s="1">
        <f>SUM(OSRRefP22_5x_0)</f>
        <v>1878.64</v>
      </c>
      <c r="Q44" s="1"/>
      <c r="R44" s="5">
        <f t="shared" si="28"/>
        <v>0</v>
      </c>
      <c r="S44" s="1"/>
      <c r="T44" s="1">
        <f>SUM(OSRRefT22_5x_0)</f>
        <v>2039.79</v>
      </c>
      <c r="U44" s="1"/>
      <c r="V44" s="5">
        <f t="shared" si="29"/>
        <v>0</v>
      </c>
      <c r="W44" s="1"/>
      <c r="X44" s="1">
        <f t="shared" si="30"/>
        <v>-161.14999999999986</v>
      </c>
      <c r="Y44" s="1"/>
      <c r="Z44" s="5">
        <f t="shared" si="31"/>
        <v>-7.9003230724731408E-2</v>
      </c>
    </row>
    <row r="45" spans="1:26" s="24" customFormat="1" hidden="1" outlineLevel="2" x14ac:dyDescent="0.25">
      <c r="A45" s="29"/>
      <c r="B45" s="11" t="str">
        <f>CONCATENATE("          ", "6351", " - ", "EQUIPMENT RENTAL")</f>
        <v xml:space="preserve">          6351 - EQUIPMENT RENTAL</v>
      </c>
      <c r="C45" s="11"/>
      <c r="D45" s="7">
        <v>1014.66</v>
      </c>
      <c r="E45" s="2"/>
      <c r="F45" s="6">
        <f t="shared" si="24"/>
        <v>0</v>
      </c>
      <c r="G45" s="2"/>
      <c r="H45" s="7">
        <v>234.34</v>
      </c>
      <c r="I45" s="2"/>
      <c r="J45" s="6">
        <f t="shared" si="25"/>
        <v>0</v>
      </c>
      <c r="K45" s="2"/>
      <c r="L45" s="7">
        <f t="shared" si="26"/>
        <v>780.31999999999994</v>
      </c>
      <c r="M45" s="2"/>
      <c r="N45" s="6">
        <f t="shared" si="27"/>
        <v>3.3298625928138601</v>
      </c>
      <c r="O45" s="11"/>
      <c r="P45" s="7">
        <v>1878.64</v>
      </c>
      <c r="Q45" s="2"/>
      <c r="R45" s="6">
        <f t="shared" si="28"/>
        <v>0</v>
      </c>
      <c r="S45" s="2"/>
      <c r="T45" s="7">
        <v>2039.79</v>
      </c>
      <c r="U45" s="2"/>
      <c r="V45" s="6">
        <f t="shared" si="29"/>
        <v>0</v>
      </c>
      <c r="W45" s="2"/>
      <c r="X45" s="7">
        <f t="shared" si="30"/>
        <v>-161.14999999999986</v>
      </c>
      <c r="Y45" s="2"/>
      <c r="Z45" s="6">
        <f t="shared" si="31"/>
        <v>-7.9003230724731408E-2</v>
      </c>
    </row>
    <row r="46" spans="1:26" s="27" customFormat="1" outlineLevel="1" collapsed="1" x14ac:dyDescent="0.25">
      <c r="A46" s="28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SUM(OSRRefD22_6x_0)</f>
        <v>3598.85</v>
      </c>
      <c r="E46" s="1"/>
      <c r="F46" s="5">
        <f t="shared" si="24"/>
        <v>0</v>
      </c>
      <c r="G46" s="1"/>
      <c r="H46" s="1">
        <f>SUM(OSRRefH22_6x_0)</f>
        <v>3389.02</v>
      </c>
      <c r="I46" s="1"/>
      <c r="J46" s="5">
        <f t="shared" si="25"/>
        <v>0</v>
      </c>
      <c r="K46" s="1"/>
      <c r="L46" s="1">
        <f t="shared" si="26"/>
        <v>209.82999999999993</v>
      </c>
      <c r="M46" s="1"/>
      <c r="N46" s="5">
        <f t="shared" si="27"/>
        <v>6.191465379372206E-2</v>
      </c>
      <c r="O46" s="14"/>
      <c r="P46" s="1">
        <f>SUM(OSRRefP22_6x_0)</f>
        <v>7197.7</v>
      </c>
      <c r="Q46" s="1"/>
      <c r="R46" s="5">
        <f t="shared" si="28"/>
        <v>0</v>
      </c>
      <c r="S46" s="1"/>
      <c r="T46" s="1">
        <f>SUM(OSRRefT22_6x_0)</f>
        <v>6778.04</v>
      </c>
      <c r="U46" s="1"/>
      <c r="V46" s="5">
        <f t="shared" si="29"/>
        <v>0</v>
      </c>
      <c r="W46" s="1"/>
      <c r="X46" s="1">
        <f t="shared" si="30"/>
        <v>419.65999999999985</v>
      </c>
      <c r="Y46" s="1"/>
      <c r="Z46" s="5">
        <f t="shared" si="31"/>
        <v>6.191465379372206E-2</v>
      </c>
    </row>
    <row r="47" spans="1:26" s="24" customFormat="1" hidden="1" outlineLevel="2" x14ac:dyDescent="0.25">
      <c r="A47" s="29"/>
      <c r="B47" s="11" t="str">
        <f>CONCATENATE("          ", "6314", " - ", "LIABILITY INSURANCE")</f>
        <v xml:space="preserve">          6314 - LIABILITY INSURANCE</v>
      </c>
      <c r="C47" s="11"/>
      <c r="D47" s="7">
        <v>3598.85</v>
      </c>
      <c r="E47" s="2"/>
      <c r="F47" s="6">
        <f t="shared" si="24"/>
        <v>0</v>
      </c>
      <c r="G47" s="2"/>
      <c r="H47" s="7">
        <v>3389.02</v>
      </c>
      <c r="I47" s="2"/>
      <c r="J47" s="6">
        <f t="shared" si="25"/>
        <v>0</v>
      </c>
      <c r="K47" s="2"/>
      <c r="L47" s="7">
        <f t="shared" si="26"/>
        <v>209.82999999999993</v>
      </c>
      <c r="M47" s="2"/>
      <c r="N47" s="6">
        <f t="shared" si="27"/>
        <v>6.191465379372206E-2</v>
      </c>
      <c r="O47" s="11"/>
      <c r="P47" s="7">
        <v>7197.7</v>
      </c>
      <c r="Q47" s="2"/>
      <c r="R47" s="6">
        <f t="shared" si="28"/>
        <v>0</v>
      </c>
      <c r="S47" s="2"/>
      <c r="T47" s="7">
        <v>6778.04</v>
      </c>
      <c r="U47" s="2"/>
      <c r="V47" s="6">
        <f t="shared" si="29"/>
        <v>0</v>
      </c>
      <c r="W47" s="2"/>
      <c r="X47" s="7">
        <f t="shared" si="30"/>
        <v>419.65999999999985</v>
      </c>
      <c r="Y47" s="2"/>
      <c r="Z47" s="6">
        <f t="shared" si="31"/>
        <v>6.191465379372206E-2</v>
      </c>
    </row>
    <row r="48" spans="1:26" s="27" customFormat="1" outlineLevel="1" collapsed="1" x14ac:dyDescent="0.25">
      <c r="A48" s="28"/>
      <c r="B48" s="14" t="str">
        <f>CONCATENATE("     ","Professional Services                             ")</f>
        <v xml:space="preserve">     Professional Services                             </v>
      </c>
      <c r="C48" s="14"/>
      <c r="D48" s="1">
        <f>SUM(OSRRefD22_7x_0)</f>
        <v>125</v>
      </c>
      <c r="E48" s="1"/>
      <c r="F48" s="5">
        <f t="shared" si="24"/>
        <v>0</v>
      </c>
      <c r="G48" s="1"/>
      <c r="H48" s="1">
        <f>SUM(OSRRefH22_7x_0)</f>
        <v>0</v>
      </c>
      <c r="I48" s="1"/>
      <c r="J48" s="5">
        <f t="shared" si="25"/>
        <v>0</v>
      </c>
      <c r="K48" s="1"/>
      <c r="L48" s="1">
        <f t="shared" si="26"/>
        <v>125</v>
      </c>
      <c r="M48" s="1"/>
      <c r="N48" s="5">
        <f t="shared" si="27"/>
        <v>0</v>
      </c>
      <c r="O48" s="14"/>
      <c r="P48" s="1">
        <f>SUM(OSRRefP22_7x_0)</f>
        <v>125</v>
      </c>
      <c r="Q48" s="1"/>
      <c r="R48" s="5">
        <f t="shared" si="28"/>
        <v>0</v>
      </c>
      <c r="S48" s="1"/>
      <c r="T48" s="1">
        <f>SUM(OSRRefT22_7x_0)</f>
        <v>0</v>
      </c>
      <c r="U48" s="1"/>
      <c r="V48" s="5">
        <f t="shared" si="29"/>
        <v>0</v>
      </c>
      <c r="W48" s="1"/>
      <c r="X48" s="1">
        <f t="shared" si="30"/>
        <v>125</v>
      </c>
      <c r="Y48" s="1"/>
      <c r="Z48" s="5">
        <f t="shared" si="31"/>
        <v>0</v>
      </c>
    </row>
    <row r="49" spans="1:26" s="24" customFormat="1" hidden="1" outlineLevel="2" x14ac:dyDescent="0.25">
      <c r="A49" s="29"/>
      <c r="B49" s="11" t="str">
        <f>CONCATENATE("          ", "6336", " - ", "PROFESSIONAL SERVICES")</f>
        <v xml:space="preserve">          6336 - PROFESSIONAL SERVICES</v>
      </c>
      <c r="C49" s="11"/>
      <c r="D49" s="7">
        <v>125</v>
      </c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125</v>
      </c>
      <c r="M49" s="2"/>
      <c r="N49" s="6">
        <f t="shared" si="27"/>
        <v>0</v>
      </c>
      <c r="O49" s="11"/>
      <c r="P49" s="7">
        <v>125</v>
      </c>
      <c r="Q49" s="2"/>
      <c r="R49" s="6">
        <f t="shared" si="28"/>
        <v>0</v>
      </c>
      <c r="S49" s="2"/>
      <c r="T49" s="7"/>
      <c r="U49" s="2"/>
      <c r="V49" s="6">
        <f t="shared" si="29"/>
        <v>0</v>
      </c>
      <c r="W49" s="2"/>
      <c r="X49" s="7">
        <f t="shared" si="30"/>
        <v>125</v>
      </c>
      <c r="Y49" s="2"/>
      <c r="Z49" s="6">
        <f t="shared" si="31"/>
        <v>0</v>
      </c>
    </row>
    <row r="50" spans="1:26" s="27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14550.800000000001</v>
      </c>
      <c r="E50" s="1"/>
      <c r="F50" s="5">
        <f t="shared" si="24"/>
        <v>0</v>
      </c>
      <c r="G50" s="1"/>
      <c r="H50" s="1">
        <f>SUM(OSRRefH22_8x_0)</f>
        <v>15145.68</v>
      </c>
      <c r="I50" s="1"/>
      <c r="J50" s="5">
        <f t="shared" si="25"/>
        <v>0</v>
      </c>
      <c r="K50" s="1"/>
      <c r="L50" s="1">
        <f t="shared" si="26"/>
        <v>-594.8799999999992</v>
      </c>
      <c r="M50" s="1"/>
      <c r="N50" s="5">
        <f t="shared" si="27"/>
        <v>-3.9277206437743253E-2</v>
      </c>
      <c r="O50" s="14"/>
      <c r="P50" s="1">
        <f>SUM(OSRRefP22_8x_0)</f>
        <v>26457.53</v>
      </c>
      <c r="Q50" s="1"/>
      <c r="R50" s="5">
        <f t="shared" si="28"/>
        <v>0</v>
      </c>
      <c r="S50" s="1"/>
      <c r="T50" s="1">
        <f>SUM(OSRRefT22_8x_0)</f>
        <v>26150.500000000004</v>
      </c>
      <c r="U50" s="1"/>
      <c r="V50" s="5">
        <f t="shared" si="29"/>
        <v>0</v>
      </c>
      <c r="W50" s="1"/>
      <c r="X50" s="1">
        <f t="shared" si="30"/>
        <v>307.0299999999952</v>
      </c>
      <c r="Y50" s="1"/>
      <c r="Z50" s="5">
        <f t="shared" si="31"/>
        <v>1.1740884495516152E-2</v>
      </c>
    </row>
    <row r="51" spans="1:26" s="24" customFormat="1" hidden="1" outlineLevel="2" x14ac:dyDescent="0.25">
      <c r="A51" s="29"/>
      <c r="B51" s="11" t="str">
        <f>CONCATENATE("          ", "6371", " - ", "COMPUTER SOFTWARE MAINTENANCE")</f>
        <v xml:space="preserve">          6371 - COMPUTER SOFTWARE MAINTENANCE</v>
      </c>
      <c r="C51" s="11"/>
      <c r="D51" s="7"/>
      <c r="E51" s="2"/>
      <c r="F51" s="6">
        <f t="shared" si="24"/>
        <v>0</v>
      </c>
      <c r="G51" s="2"/>
      <c r="H51" s="7">
        <v>249</v>
      </c>
      <c r="I51" s="2"/>
      <c r="J51" s="6">
        <f t="shared" si="25"/>
        <v>0</v>
      </c>
      <c r="K51" s="2"/>
      <c r="L51" s="7">
        <f t="shared" si="26"/>
        <v>-249</v>
      </c>
      <c r="M51" s="2"/>
      <c r="N51" s="6">
        <f t="shared" si="27"/>
        <v>-1</v>
      </c>
      <c r="O51" s="11"/>
      <c r="P51" s="7"/>
      <c r="Q51" s="2"/>
      <c r="R51" s="6">
        <f t="shared" si="28"/>
        <v>0</v>
      </c>
      <c r="S51" s="2"/>
      <c r="T51" s="7">
        <v>249</v>
      </c>
      <c r="U51" s="2"/>
      <c r="V51" s="6">
        <f t="shared" si="29"/>
        <v>0</v>
      </c>
      <c r="W51" s="2"/>
      <c r="X51" s="7">
        <f t="shared" si="30"/>
        <v>-249</v>
      </c>
      <c r="Y51" s="2"/>
      <c r="Z51" s="6">
        <f t="shared" si="31"/>
        <v>-1</v>
      </c>
    </row>
    <row r="52" spans="1:26" s="24" customFormat="1" hidden="1" outlineLevel="2" x14ac:dyDescent="0.25">
      <c r="A52" s="29"/>
      <c r="B52" s="11" t="str">
        <f>CONCATENATE("          ", "6373", " - ", "MAINTENANCE CONTRACTS")</f>
        <v xml:space="preserve">          6373 - MAINTENANCE CONTRACTS</v>
      </c>
      <c r="C52" s="11"/>
      <c r="D52" s="7">
        <v>9043.8700000000008</v>
      </c>
      <c r="E52" s="2"/>
      <c r="F52" s="6">
        <f t="shared" si="24"/>
        <v>0</v>
      </c>
      <c r="G52" s="2"/>
      <c r="H52" s="7">
        <v>13395.7</v>
      </c>
      <c r="I52" s="2"/>
      <c r="J52" s="6">
        <f t="shared" si="25"/>
        <v>0</v>
      </c>
      <c r="K52" s="2"/>
      <c r="L52" s="7">
        <f t="shared" si="26"/>
        <v>-4351.83</v>
      </c>
      <c r="M52" s="2"/>
      <c r="N52" s="6">
        <f t="shared" si="27"/>
        <v>-0.32486768142015721</v>
      </c>
      <c r="O52" s="11"/>
      <c r="P52" s="7">
        <v>14072.75</v>
      </c>
      <c r="Q52" s="2"/>
      <c r="R52" s="6">
        <f t="shared" si="28"/>
        <v>0</v>
      </c>
      <c r="S52" s="2"/>
      <c r="T52" s="7">
        <v>18435.710000000003</v>
      </c>
      <c r="U52" s="2"/>
      <c r="V52" s="6">
        <f t="shared" si="29"/>
        <v>0</v>
      </c>
      <c r="W52" s="2"/>
      <c r="X52" s="7">
        <f t="shared" si="30"/>
        <v>-4362.9600000000028</v>
      </c>
      <c r="Y52" s="2"/>
      <c r="Z52" s="6">
        <f t="shared" si="31"/>
        <v>-0.23665809453500852</v>
      </c>
    </row>
    <row r="53" spans="1:26" s="24" customFormat="1" hidden="1" outlineLevel="2" x14ac:dyDescent="0.25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7">
        <v>5506.93</v>
      </c>
      <c r="E53" s="2"/>
      <c r="F53" s="6">
        <f t="shared" si="24"/>
        <v>0</v>
      </c>
      <c r="G53" s="2"/>
      <c r="H53" s="7">
        <v>1500.98</v>
      </c>
      <c r="I53" s="2"/>
      <c r="J53" s="6">
        <f t="shared" si="25"/>
        <v>0</v>
      </c>
      <c r="K53" s="2"/>
      <c r="L53" s="7">
        <f t="shared" si="26"/>
        <v>4005.9500000000003</v>
      </c>
      <c r="M53" s="2"/>
      <c r="N53" s="6">
        <f t="shared" si="27"/>
        <v>2.6688896587562794</v>
      </c>
      <c r="O53" s="11"/>
      <c r="P53" s="7">
        <v>12384.78</v>
      </c>
      <c r="Q53" s="2"/>
      <c r="R53" s="6">
        <f t="shared" si="28"/>
        <v>0</v>
      </c>
      <c r="S53" s="2"/>
      <c r="T53" s="7">
        <v>7465.79</v>
      </c>
      <c r="U53" s="2"/>
      <c r="V53" s="6">
        <f t="shared" si="29"/>
        <v>0</v>
      </c>
      <c r="W53" s="2"/>
      <c r="X53" s="7">
        <f t="shared" si="30"/>
        <v>4918.9900000000007</v>
      </c>
      <c r="Y53" s="2"/>
      <c r="Z53" s="6">
        <f t="shared" si="31"/>
        <v>0.65887066204648148</v>
      </c>
    </row>
    <row r="54" spans="1:26" s="27" customFormat="1" outlineLevel="1" collapsed="1" x14ac:dyDescent="0.25">
      <c r="A54" s="28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SUM(OSRRefD22_9x_0)</f>
        <v>10574.9</v>
      </c>
      <c r="E54" s="1"/>
      <c r="F54" s="5">
        <f t="shared" ref="F54:F59" si="32">IF(D$12=0,0,D54/D$12)</f>
        <v>0</v>
      </c>
      <c r="G54" s="1"/>
      <c r="H54" s="1">
        <f>SUM(OSRRefH22_9x_0)</f>
        <v>12559.24</v>
      </c>
      <c r="I54" s="1"/>
      <c r="J54" s="5">
        <f t="shared" ref="J54:J59" si="33">IF(H$12=0,0,H54/H$12)</f>
        <v>0</v>
      </c>
      <c r="K54" s="1"/>
      <c r="L54" s="1">
        <f t="shared" ref="L54:L59" si="34">+D54-H54</f>
        <v>-1984.3400000000001</v>
      </c>
      <c r="M54" s="1"/>
      <c r="N54" s="5">
        <f t="shared" ref="N54:N59" si="35">IF(H54=0,0,L54/H54)</f>
        <v>-0.15799841391676567</v>
      </c>
      <c r="O54" s="14"/>
      <c r="P54" s="1">
        <f>SUM(OSRRefP22_9x_0)</f>
        <v>24592.039999999997</v>
      </c>
      <c r="Q54" s="1"/>
      <c r="R54" s="5">
        <f t="shared" ref="R54:R59" si="36">IF(P$12=0,0,P54/P$12)</f>
        <v>0</v>
      </c>
      <c r="S54" s="1"/>
      <c r="T54" s="1">
        <f>SUM(OSRRefT22_9x_0)</f>
        <v>25740.21</v>
      </c>
      <c r="U54" s="1"/>
      <c r="V54" s="5">
        <f t="shared" ref="V54:V59" si="37">IF(T$12=0,0,T54/T$12)</f>
        <v>0</v>
      </c>
      <c r="W54" s="1"/>
      <c r="X54" s="1">
        <f t="shared" ref="X54:X59" si="38">+P54-T54</f>
        <v>-1148.1700000000019</v>
      </c>
      <c r="Y54" s="1"/>
      <c r="Z54" s="5">
        <f t="shared" ref="Z54:Z59" si="39">IF(T54=0,0,X54/T54)</f>
        <v>-4.4606085187339259E-2</v>
      </c>
    </row>
    <row r="55" spans="1:26" s="24" customFormat="1" hidden="1" outlineLevel="2" x14ac:dyDescent="0.25">
      <c r="A55" s="29"/>
      <c r="B55" s="11" t="str">
        <f>CONCATENATE("          ", "6282", " - ", "JANITORIAL/EXTERMINATOR EXPENS")</f>
        <v xml:space="preserve">          6282 - JANITORIAL/EXTERMINATOR EXPENS</v>
      </c>
      <c r="C55" s="11"/>
      <c r="D55" s="7">
        <v>626.26</v>
      </c>
      <c r="E55" s="2"/>
      <c r="F55" s="6">
        <f t="shared" si="32"/>
        <v>0</v>
      </c>
      <c r="G55" s="2"/>
      <c r="H55" s="7">
        <v>626.26</v>
      </c>
      <c r="I55" s="2"/>
      <c r="J55" s="6">
        <f t="shared" si="33"/>
        <v>0</v>
      </c>
      <c r="K55" s="2"/>
      <c r="L55" s="7">
        <f t="shared" si="34"/>
        <v>0</v>
      </c>
      <c r="M55" s="2"/>
      <c r="N55" s="6">
        <f t="shared" si="35"/>
        <v>0</v>
      </c>
      <c r="O55" s="11"/>
      <c r="P55" s="7">
        <v>1252.52</v>
      </c>
      <c r="Q55" s="2"/>
      <c r="R55" s="6">
        <f t="shared" si="36"/>
        <v>0</v>
      </c>
      <c r="S55" s="2"/>
      <c r="T55" s="7">
        <v>1252.52</v>
      </c>
      <c r="U55" s="2"/>
      <c r="V55" s="6">
        <f t="shared" si="37"/>
        <v>0</v>
      </c>
      <c r="W55" s="2"/>
      <c r="X55" s="7">
        <f t="shared" si="38"/>
        <v>0</v>
      </c>
      <c r="Y55" s="2"/>
      <c r="Z55" s="6">
        <f t="shared" si="39"/>
        <v>0</v>
      </c>
    </row>
    <row r="56" spans="1:26" s="24" customFormat="1" hidden="1" outlineLevel="2" x14ac:dyDescent="0.25">
      <c r="A56" s="29"/>
      <c r="B56" s="11" t="str">
        <f>CONCATENATE("          ", "6283", " - ", "PLANT SERVICE")</f>
        <v xml:space="preserve">          6283 - PLANT SERVICE</v>
      </c>
      <c r="C56" s="11"/>
      <c r="D56" s="7">
        <v>35.53</v>
      </c>
      <c r="E56" s="2"/>
      <c r="F56" s="6">
        <f t="shared" si="32"/>
        <v>0</v>
      </c>
      <c r="G56" s="2"/>
      <c r="H56" s="7">
        <v>33</v>
      </c>
      <c r="I56" s="2"/>
      <c r="J56" s="6">
        <f t="shared" si="33"/>
        <v>0</v>
      </c>
      <c r="K56" s="2"/>
      <c r="L56" s="7">
        <f t="shared" si="34"/>
        <v>2.5300000000000011</v>
      </c>
      <c r="M56" s="2"/>
      <c r="N56" s="6">
        <f t="shared" si="35"/>
        <v>7.6666666666666702E-2</v>
      </c>
      <c r="O56" s="11"/>
      <c r="P56" s="7">
        <v>71.06</v>
      </c>
      <c r="Q56" s="2"/>
      <c r="R56" s="6">
        <f t="shared" si="36"/>
        <v>0</v>
      </c>
      <c r="S56" s="2"/>
      <c r="T56" s="7">
        <v>66</v>
      </c>
      <c r="U56" s="2"/>
      <c r="V56" s="6">
        <f t="shared" si="37"/>
        <v>0</v>
      </c>
      <c r="W56" s="2"/>
      <c r="X56" s="7">
        <f t="shared" si="38"/>
        <v>5.0600000000000023</v>
      </c>
      <c r="Y56" s="2"/>
      <c r="Z56" s="6">
        <f t="shared" si="39"/>
        <v>7.6666666666666702E-2</v>
      </c>
    </row>
    <row r="57" spans="1:26" s="24" customFormat="1" hidden="1" outlineLevel="2" x14ac:dyDescent="0.25">
      <c r="A57" s="29"/>
      <c r="B57" s="11" t="str">
        <f>CONCATENATE("          ", "6284", " - ", "TRASH REMOVAL EXPENSE")</f>
        <v xml:space="preserve">          6284 - TRASH REMOVAL EXPENSE</v>
      </c>
      <c r="C57" s="11"/>
      <c r="D57" s="7"/>
      <c r="E57" s="2"/>
      <c r="F57" s="6">
        <f t="shared" si="32"/>
        <v>0</v>
      </c>
      <c r="G57" s="2"/>
      <c r="H57" s="7">
        <v>2648</v>
      </c>
      <c r="I57" s="2"/>
      <c r="J57" s="6">
        <f t="shared" si="33"/>
        <v>0</v>
      </c>
      <c r="K57" s="2"/>
      <c r="L57" s="7">
        <f t="shared" si="34"/>
        <v>-2648</v>
      </c>
      <c r="M57" s="2"/>
      <c r="N57" s="6">
        <f t="shared" si="35"/>
        <v>-1</v>
      </c>
      <c r="O57" s="11"/>
      <c r="P57" s="7">
        <v>3482</v>
      </c>
      <c r="Q57" s="2"/>
      <c r="R57" s="6">
        <f t="shared" si="36"/>
        <v>0</v>
      </c>
      <c r="S57" s="2"/>
      <c r="T57" s="7">
        <v>5296</v>
      </c>
      <c r="U57" s="2"/>
      <c r="V57" s="6">
        <f t="shared" si="37"/>
        <v>0</v>
      </c>
      <c r="W57" s="2"/>
      <c r="X57" s="7">
        <f t="shared" si="38"/>
        <v>-1814</v>
      </c>
      <c r="Y57" s="2"/>
      <c r="Z57" s="6">
        <f t="shared" si="39"/>
        <v>-0.34252265861027192</v>
      </c>
    </row>
    <row r="58" spans="1:26" s="24" customFormat="1" hidden="1" outlineLevel="2" x14ac:dyDescent="0.25">
      <c r="A58" s="29"/>
      <c r="B58" s="11" t="str">
        <f>CONCATENATE("          ", "6285", " - ", "JANITORIAL SERVICES")</f>
        <v xml:space="preserve">          6285 - JANITORIAL SERVICES</v>
      </c>
      <c r="C58" s="11"/>
      <c r="D58" s="7">
        <v>9853.51</v>
      </c>
      <c r="E58" s="2"/>
      <c r="F58" s="6">
        <f t="shared" si="32"/>
        <v>0</v>
      </c>
      <c r="G58" s="2"/>
      <c r="H58" s="7">
        <v>9146.7199999999993</v>
      </c>
      <c r="I58" s="2"/>
      <c r="J58" s="6">
        <f t="shared" si="33"/>
        <v>0</v>
      </c>
      <c r="K58" s="2"/>
      <c r="L58" s="7">
        <f t="shared" si="34"/>
        <v>706.79000000000087</v>
      </c>
      <c r="M58" s="2"/>
      <c r="N58" s="6">
        <f t="shared" si="35"/>
        <v>7.7272508615110216E-2</v>
      </c>
      <c r="O58" s="11"/>
      <c r="P58" s="7">
        <v>19707.02</v>
      </c>
      <c r="Q58" s="2"/>
      <c r="R58" s="6">
        <f t="shared" si="36"/>
        <v>0</v>
      </c>
      <c r="S58" s="2"/>
      <c r="T58" s="7">
        <v>18555.78</v>
      </c>
      <c r="U58" s="2"/>
      <c r="V58" s="6">
        <f t="shared" si="37"/>
        <v>0</v>
      </c>
      <c r="W58" s="2"/>
      <c r="X58" s="7">
        <f t="shared" si="38"/>
        <v>1151.2400000000016</v>
      </c>
      <c r="Y58" s="2"/>
      <c r="Z58" s="6">
        <f t="shared" si="39"/>
        <v>6.2042123801855899E-2</v>
      </c>
    </row>
    <row r="59" spans="1:26" s="24" customFormat="1" hidden="1" outlineLevel="2" x14ac:dyDescent="0.25">
      <c r="A59" s="29"/>
      <c r="B59" s="11" t="str">
        <f>CONCATENATE("          ", "6286", " - ", "LAUNDRY EXPENSE")</f>
        <v xml:space="preserve">          6286 - LAUNDRY EXPENSE</v>
      </c>
      <c r="C59" s="11"/>
      <c r="D59" s="7">
        <v>59.6</v>
      </c>
      <c r="E59" s="2"/>
      <c r="F59" s="6">
        <f t="shared" si="32"/>
        <v>0</v>
      </c>
      <c r="G59" s="2"/>
      <c r="H59" s="7">
        <v>105.26</v>
      </c>
      <c r="I59" s="2"/>
      <c r="J59" s="6">
        <f t="shared" si="33"/>
        <v>0</v>
      </c>
      <c r="K59" s="2"/>
      <c r="L59" s="7">
        <f t="shared" si="34"/>
        <v>-45.660000000000004</v>
      </c>
      <c r="M59" s="2"/>
      <c r="N59" s="6">
        <f t="shared" si="35"/>
        <v>-0.43378301349040471</v>
      </c>
      <c r="O59" s="11"/>
      <c r="P59" s="7">
        <v>79.44</v>
      </c>
      <c r="Q59" s="2"/>
      <c r="R59" s="6">
        <f t="shared" si="36"/>
        <v>0</v>
      </c>
      <c r="S59" s="2"/>
      <c r="T59" s="7">
        <v>569.91</v>
      </c>
      <c r="U59" s="2"/>
      <c r="V59" s="6">
        <f t="shared" si="37"/>
        <v>0</v>
      </c>
      <c r="W59" s="2"/>
      <c r="X59" s="7">
        <f t="shared" si="38"/>
        <v>-490.46999999999997</v>
      </c>
      <c r="Y59" s="2"/>
      <c r="Z59" s="6">
        <f t="shared" si="39"/>
        <v>-0.86060956993209459</v>
      </c>
    </row>
    <row r="60" spans="1:26" s="27" customFormat="1" outlineLevel="1" collapsed="1" x14ac:dyDescent="0.25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SUM(OSRRefD22_10x_0)</f>
        <v>4636.45</v>
      </c>
      <c r="E60" s="1"/>
      <c r="F60" s="5">
        <f t="shared" ref="F60:F66" si="40">IF(D$12=0,0,D60/D$12)</f>
        <v>0</v>
      </c>
      <c r="G60" s="1"/>
      <c r="H60" s="1">
        <f>SUM(OSRRefH22_10x_0)</f>
        <v>6042.5400000000009</v>
      </c>
      <c r="I60" s="1"/>
      <c r="J60" s="5">
        <f t="shared" ref="J60:J66" si="41">IF(H$12=0,0,H60/H$12)</f>
        <v>0</v>
      </c>
      <c r="K60" s="1"/>
      <c r="L60" s="1">
        <f t="shared" ref="L60:L66" si="42">+D60-H60</f>
        <v>-1406.0900000000011</v>
      </c>
      <c r="M60" s="1"/>
      <c r="N60" s="5">
        <f t="shared" ref="N60:N66" si="43">IF(H60=0,0,L60/H60)</f>
        <v>-0.23269850096151631</v>
      </c>
      <c r="O60" s="14"/>
      <c r="P60" s="1">
        <f>SUM(OSRRefP22_10x_0)</f>
        <v>7392.39</v>
      </c>
      <c r="Q60" s="1"/>
      <c r="R60" s="5">
        <f t="shared" ref="R60:R66" si="44">IF(P$12=0,0,P60/P$12)</f>
        <v>0</v>
      </c>
      <c r="S60" s="1"/>
      <c r="T60" s="1">
        <f>SUM(OSRRefT22_10x_0)</f>
        <v>14497.93</v>
      </c>
      <c r="U60" s="1"/>
      <c r="V60" s="5">
        <f t="shared" ref="V60:V66" si="45">IF(T$12=0,0,T60/T$12)</f>
        <v>0</v>
      </c>
      <c r="W60" s="1"/>
      <c r="X60" s="1">
        <f t="shared" ref="X60:X66" si="46">+P60-T60</f>
        <v>-7105.54</v>
      </c>
      <c r="Y60" s="1"/>
      <c r="Z60" s="5">
        <f t="shared" ref="Z60:Z66" si="47">IF(T60=0,0,X60/T60)</f>
        <v>-0.4901072084083728</v>
      </c>
    </row>
    <row r="61" spans="1:26" s="24" customFormat="1" hidden="1" outlineLevel="2" x14ac:dyDescent="0.25">
      <c r="A61" s="29"/>
      <c r="B61" s="11" t="str">
        <f>CONCATENATE("          ", "6237", " - ", "JANITORIAL SUPPLIES")</f>
        <v xml:space="preserve">          6237 - JANITORIAL SUPPLIES</v>
      </c>
      <c r="C61" s="11"/>
      <c r="D61" s="7">
        <v>2447.2600000000002</v>
      </c>
      <c r="E61" s="2"/>
      <c r="F61" s="6">
        <f t="shared" si="40"/>
        <v>0</v>
      </c>
      <c r="G61" s="2"/>
      <c r="H61" s="7">
        <v>3132.82</v>
      </c>
      <c r="I61" s="2"/>
      <c r="J61" s="6">
        <f t="shared" si="41"/>
        <v>0</v>
      </c>
      <c r="K61" s="2"/>
      <c r="L61" s="7">
        <f t="shared" si="42"/>
        <v>-685.56</v>
      </c>
      <c r="M61" s="2"/>
      <c r="N61" s="6">
        <f t="shared" si="43"/>
        <v>-0.21883159581463343</v>
      </c>
      <c r="O61" s="11"/>
      <c r="P61" s="7">
        <v>5657.38</v>
      </c>
      <c r="Q61" s="2"/>
      <c r="R61" s="6">
        <f t="shared" si="44"/>
        <v>0</v>
      </c>
      <c r="S61" s="2"/>
      <c r="T61" s="7">
        <v>5216.26</v>
      </c>
      <c r="U61" s="2"/>
      <c r="V61" s="6">
        <f t="shared" si="45"/>
        <v>0</v>
      </c>
      <c r="W61" s="2"/>
      <c r="X61" s="7">
        <f t="shared" si="46"/>
        <v>441.11999999999989</v>
      </c>
      <c r="Y61" s="2"/>
      <c r="Z61" s="6">
        <f t="shared" si="47"/>
        <v>8.4566336800696265E-2</v>
      </c>
    </row>
    <row r="62" spans="1:26" s="24" customFormat="1" hidden="1" outlineLevel="2" x14ac:dyDescent="0.25">
      <c r="A62" s="29"/>
      <c r="B62" s="11" t="str">
        <f>CONCATENATE("          ", "6239", " - ", "KITCHEN SUPPLIES")</f>
        <v xml:space="preserve">          6239 - KITCHEN SUPPLIES</v>
      </c>
      <c r="C62" s="11"/>
      <c r="D62" s="7">
        <v>2519.7399999999998</v>
      </c>
      <c r="E62" s="2"/>
      <c r="F62" s="6">
        <f t="shared" si="40"/>
        <v>0</v>
      </c>
      <c r="G62" s="2"/>
      <c r="H62" s="7">
        <v>816.17</v>
      </c>
      <c r="I62" s="2"/>
      <c r="J62" s="6">
        <f t="shared" si="41"/>
        <v>0</v>
      </c>
      <c r="K62" s="2"/>
      <c r="L62" s="7">
        <f t="shared" si="42"/>
        <v>1703.5699999999997</v>
      </c>
      <c r="M62" s="2"/>
      <c r="N62" s="6">
        <f t="shared" si="43"/>
        <v>2.0872734846906891</v>
      </c>
      <c r="O62" s="11"/>
      <c r="P62" s="7">
        <v>2965.47</v>
      </c>
      <c r="Q62" s="2"/>
      <c r="R62" s="6">
        <f t="shared" si="44"/>
        <v>0</v>
      </c>
      <c r="S62" s="2"/>
      <c r="T62" s="7">
        <v>1754.36</v>
      </c>
      <c r="U62" s="2"/>
      <c r="V62" s="6">
        <f t="shared" si="45"/>
        <v>0</v>
      </c>
      <c r="W62" s="2"/>
      <c r="X62" s="7">
        <f t="shared" si="46"/>
        <v>1211.1099999999999</v>
      </c>
      <c r="Y62" s="2"/>
      <c r="Z62" s="6">
        <f t="shared" si="47"/>
        <v>0.6903429170751727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7">
        <v>-330.55</v>
      </c>
      <c r="E63" s="2"/>
      <c r="F63" s="6">
        <f t="shared" si="40"/>
        <v>0</v>
      </c>
      <c r="G63" s="2"/>
      <c r="H63" s="7">
        <v>469.7</v>
      </c>
      <c r="I63" s="2"/>
      <c r="J63" s="6">
        <f t="shared" si="41"/>
        <v>0</v>
      </c>
      <c r="K63" s="2"/>
      <c r="L63" s="7">
        <f t="shared" si="42"/>
        <v>-800.25</v>
      </c>
      <c r="M63" s="2"/>
      <c r="N63" s="6">
        <f t="shared" si="43"/>
        <v>-1.7037470725995316</v>
      </c>
      <c r="O63" s="11"/>
      <c r="P63" s="7">
        <v>-1463.27</v>
      </c>
      <c r="Q63" s="2"/>
      <c r="R63" s="6">
        <f t="shared" si="44"/>
        <v>0</v>
      </c>
      <c r="S63" s="2"/>
      <c r="T63" s="7">
        <v>5691.99</v>
      </c>
      <c r="U63" s="2"/>
      <c r="V63" s="6">
        <f t="shared" si="45"/>
        <v>0</v>
      </c>
      <c r="W63" s="2"/>
      <c r="X63" s="7">
        <f t="shared" si="46"/>
        <v>-7155.26</v>
      </c>
      <c r="Y63" s="2"/>
      <c r="Z63" s="6">
        <f t="shared" si="47"/>
        <v>-1.2570752935265173</v>
      </c>
    </row>
    <row r="64" spans="1:26" s="24" customFormat="1" hidden="1" outlineLevel="2" x14ac:dyDescent="0.25">
      <c r="A64" s="29"/>
      <c r="B64" s="11" t="str">
        <f>CONCATENATE("          ", "6243", " - ", "PAPER SUPPLIES")</f>
        <v xml:space="preserve">          6243 - PAPER SUPPLIES</v>
      </c>
      <c r="C64" s="11"/>
      <c r="D64" s="7"/>
      <c r="E64" s="2"/>
      <c r="F64" s="6">
        <f t="shared" si="40"/>
        <v>0</v>
      </c>
      <c r="G64" s="2"/>
      <c r="H64" s="7">
        <v>477.7</v>
      </c>
      <c r="I64" s="2"/>
      <c r="J64" s="6">
        <f t="shared" si="41"/>
        <v>0</v>
      </c>
      <c r="K64" s="2"/>
      <c r="L64" s="7">
        <f t="shared" si="42"/>
        <v>-477.7</v>
      </c>
      <c r="M64" s="2"/>
      <c r="N64" s="6">
        <f t="shared" si="43"/>
        <v>-1</v>
      </c>
      <c r="O64" s="11"/>
      <c r="P64" s="7"/>
      <c r="Q64" s="2"/>
      <c r="R64" s="6">
        <f t="shared" si="44"/>
        <v>0</v>
      </c>
      <c r="S64" s="2"/>
      <c r="T64" s="7">
        <v>477.7</v>
      </c>
      <c r="U64" s="2"/>
      <c r="V64" s="6">
        <f t="shared" si="45"/>
        <v>0</v>
      </c>
      <c r="W64" s="2"/>
      <c r="X64" s="7">
        <f t="shared" si="46"/>
        <v>-477.7</v>
      </c>
      <c r="Y64" s="2"/>
      <c r="Z64" s="6">
        <f t="shared" si="47"/>
        <v>-1</v>
      </c>
    </row>
    <row r="65" spans="1:26" s="24" customFormat="1" hidden="1" outlineLevel="2" x14ac:dyDescent="0.25">
      <c r="A65" s="29"/>
      <c r="B65" s="11" t="str">
        <f>CONCATENATE("          ", "6247", " - ", "STORE SUPPLIES")</f>
        <v xml:space="preserve">          6247 - STORE SUPPLIES</v>
      </c>
      <c r="C65" s="11"/>
      <c r="D65" s="7"/>
      <c r="E65" s="2"/>
      <c r="F65" s="6">
        <f t="shared" si="40"/>
        <v>0</v>
      </c>
      <c r="G65" s="2"/>
      <c r="H65" s="7"/>
      <c r="I65" s="2"/>
      <c r="J65" s="6">
        <f t="shared" si="41"/>
        <v>0</v>
      </c>
      <c r="K65" s="2"/>
      <c r="L65" s="7">
        <f t="shared" si="42"/>
        <v>0</v>
      </c>
      <c r="M65" s="2"/>
      <c r="N65" s="6">
        <f t="shared" si="43"/>
        <v>0</v>
      </c>
      <c r="O65" s="11"/>
      <c r="P65" s="7"/>
      <c r="Q65" s="2"/>
      <c r="R65" s="6">
        <f t="shared" si="44"/>
        <v>0</v>
      </c>
      <c r="S65" s="2"/>
      <c r="T65" s="7">
        <v>81.99</v>
      </c>
      <c r="U65" s="2"/>
      <c r="V65" s="6">
        <f t="shared" si="45"/>
        <v>0</v>
      </c>
      <c r="W65" s="2"/>
      <c r="X65" s="7">
        <f t="shared" si="46"/>
        <v>-81.99</v>
      </c>
      <c r="Y65" s="2"/>
      <c r="Z65" s="6">
        <f t="shared" si="47"/>
        <v>-1</v>
      </c>
    </row>
    <row r="66" spans="1:26" s="24" customFormat="1" hidden="1" outlineLevel="2" x14ac:dyDescent="0.25">
      <c r="A66" s="29"/>
      <c r="B66" s="11" t="str">
        <f>CONCATENATE("          ", "6248", " - ", "UNIFORMS")</f>
        <v xml:space="preserve">          6248 - UNIFORMS</v>
      </c>
      <c r="C66" s="11"/>
      <c r="D66" s="7"/>
      <c r="E66" s="2"/>
      <c r="F66" s="6">
        <f t="shared" si="40"/>
        <v>0</v>
      </c>
      <c r="G66" s="2"/>
      <c r="H66" s="7">
        <v>1146.1500000000001</v>
      </c>
      <c r="I66" s="2"/>
      <c r="J66" s="6">
        <f t="shared" si="41"/>
        <v>0</v>
      </c>
      <c r="K66" s="2"/>
      <c r="L66" s="7">
        <f t="shared" si="42"/>
        <v>-1146.1500000000001</v>
      </c>
      <c r="M66" s="2"/>
      <c r="N66" s="6">
        <f t="shared" si="43"/>
        <v>-1</v>
      </c>
      <c r="O66" s="11"/>
      <c r="P66" s="7">
        <v>232.81</v>
      </c>
      <c r="Q66" s="2"/>
      <c r="R66" s="6">
        <f t="shared" si="44"/>
        <v>0</v>
      </c>
      <c r="S66" s="2"/>
      <c r="T66" s="7">
        <v>1275.6300000000001</v>
      </c>
      <c r="U66" s="2"/>
      <c r="V66" s="6">
        <f t="shared" si="45"/>
        <v>0</v>
      </c>
      <c r="W66" s="2"/>
      <c r="X66" s="7">
        <f t="shared" si="46"/>
        <v>-1042.8200000000002</v>
      </c>
      <c r="Y66" s="2"/>
      <c r="Z66" s="6">
        <f t="shared" si="47"/>
        <v>-0.81749410095403841</v>
      </c>
    </row>
    <row r="67" spans="1:26" s="27" customFormat="1" outlineLevel="1" collapsed="1" x14ac:dyDescent="0.25">
      <c r="A67" s="28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SUM(OSRRefD22_11x_0)</f>
        <v>38.5</v>
      </c>
      <c r="E67" s="1"/>
      <c r="F67" s="5">
        <f t="shared" ref="F67:F74" si="48">IF(D$12=0,0,D67/D$12)</f>
        <v>0</v>
      </c>
      <c r="G67" s="1"/>
      <c r="H67" s="1">
        <f>SUM(OSRRefH22_11x_0)</f>
        <v>489.6</v>
      </c>
      <c r="I67" s="1"/>
      <c r="J67" s="5">
        <f t="shared" ref="J67:J74" si="49">IF(H$12=0,0,H67/H$12)</f>
        <v>0</v>
      </c>
      <c r="K67" s="1"/>
      <c r="L67" s="1">
        <f t="shared" ref="L67:L74" si="50">+D67-H67</f>
        <v>-451.1</v>
      </c>
      <c r="M67" s="1"/>
      <c r="N67" s="5">
        <f t="shared" ref="N67:N74" si="51">IF(H67=0,0,L67/H67)</f>
        <v>-0.92136437908496738</v>
      </c>
      <c r="O67" s="14"/>
      <c r="P67" s="1">
        <f>SUM(OSRRefP22_11x_0)</f>
        <v>472.55</v>
      </c>
      <c r="Q67" s="1"/>
      <c r="R67" s="5">
        <f t="shared" ref="R67:R74" si="52">IF(P$12=0,0,P67/P$12)</f>
        <v>0</v>
      </c>
      <c r="S67" s="1"/>
      <c r="T67" s="1">
        <f>SUM(OSRRefT22_11x_0)</f>
        <v>766.25</v>
      </c>
      <c r="U67" s="1"/>
      <c r="V67" s="5">
        <f t="shared" ref="V67:V74" si="53">IF(T$12=0,0,T67/T$12)</f>
        <v>0</v>
      </c>
      <c r="W67" s="1"/>
      <c r="X67" s="1">
        <f t="shared" ref="X67:X74" si="54">+P67-T67</f>
        <v>-293.7</v>
      </c>
      <c r="Y67" s="1"/>
      <c r="Z67" s="5">
        <f t="shared" ref="Z67:Z74" si="55">IF(T67=0,0,X67/T67)</f>
        <v>-0.38329526916802609</v>
      </c>
    </row>
    <row r="68" spans="1:26" s="24" customFormat="1" hidden="1" outlineLevel="2" x14ac:dyDescent="0.25">
      <c r="A68" s="29"/>
      <c r="B68" s="11" t="str">
        <f>CONCATENATE("          ", "6309", " - ", "TELEPHONE")</f>
        <v xml:space="preserve">          6309 - TELEPHONE</v>
      </c>
      <c r="C68" s="11"/>
      <c r="D68" s="7">
        <v>38.5</v>
      </c>
      <c r="E68" s="2"/>
      <c r="F68" s="6">
        <f t="shared" si="48"/>
        <v>0</v>
      </c>
      <c r="G68" s="2"/>
      <c r="H68" s="7">
        <v>489.6</v>
      </c>
      <c r="I68" s="2"/>
      <c r="J68" s="6">
        <f t="shared" si="49"/>
        <v>0</v>
      </c>
      <c r="K68" s="2"/>
      <c r="L68" s="7">
        <f t="shared" si="50"/>
        <v>-451.1</v>
      </c>
      <c r="M68" s="2"/>
      <c r="N68" s="6">
        <f t="shared" si="51"/>
        <v>-0.92136437908496738</v>
      </c>
      <c r="O68" s="11"/>
      <c r="P68" s="7">
        <v>472.55</v>
      </c>
      <c r="Q68" s="2"/>
      <c r="R68" s="6">
        <f t="shared" si="52"/>
        <v>0</v>
      </c>
      <c r="S68" s="2"/>
      <c r="T68" s="7">
        <v>766.25</v>
      </c>
      <c r="U68" s="2"/>
      <c r="V68" s="6">
        <f t="shared" si="53"/>
        <v>0</v>
      </c>
      <c r="W68" s="2"/>
      <c r="X68" s="7">
        <f t="shared" si="54"/>
        <v>-293.7</v>
      </c>
      <c r="Y68" s="2"/>
      <c r="Z68" s="6">
        <f t="shared" si="55"/>
        <v>-0.38329526916802609</v>
      </c>
    </row>
    <row r="69" spans="1:26" s="27" customFormat="1" outlineLevel="1" collapsed="1" x14ac:dyDescent="0.25">
      <c r="A69" s="28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SUM(OSRRefD22_12x_0)</f>
        <v>0</v>
      </c>
      <c r="E69" s="1"/>
      <c r="F69" s="5">
        <f t="shared" si="48"/>
        <v>0</v>
      </c>
      <c r="G69" s="1"/>
      <c r="H69" s="1">
        <f>SUM(OSRRefH22_12x_0)</f>
        <v>0</v>
      </c>
      <c r="I69" s="1"/>
      <c r="J69" s="5">
        <f t="shared" si="49"/>
        <v>0</v>
      </c>
      <c r="K69" s="1"/>
      <c r="L69" s="1">
        <f t="shared" si="50"/>
        <v>0</v>
      </c>
      <c r="M69" s="1"/>
      <c r="N69" s="5">
        <f t="shared" si="51"/>
        <v>0</v>
      </c>
      <c r="O69" s="14"/>
      <c r="P69" s="1">
        <f>SUM(OSRRefP22_12x_0)</f>
        <v>240</v>
      </c>
      <c r="Q69" s="1"/>
      <c r="R69" s="5">
        <f t="shared" si="52"/>
        <v>0</v>
      </c>
      <c r="S69" s="1"/>
      <c r="T69" s="1">
        <f>SUM(OSRRefT22_12x_0)</f>
        <v>0</v>
      </c>
      <c r="U69" s="1"/>
      <c r="V69" s="5">
        <f t="shared" si="53"/>
        <v>0</v>
      </c>
      <c r="W69" s="1"/>
      <c r="X69" s="1">
        <f t="shared" si="54"/>
        <v>240</v>
      </c>
      <c r="Y69" s="1"/>
      <c r="Z69" s="5">
        <f t="shared" si="55"/>
        <v>0</v>
      </c>
    </row>
    <row r="70" spans="1:26" s="24" customFormat="1" hidden="1" outlineLevel="2" x14ac:dyDescent="0.25">
      <c r="A70" s="29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8"/>
        <v>0</v>
      </c>
      <c r="G70" s="2"/>
      <c r="H70" s="7"/>
      <c r="I70" s="2"/>
      <c r="J70" s="6">
        <f t="shared" si="49"/>
        <v>0</v>
      </c>
      <c r="K70" s="2"/>
      <c r="L70" s="7">
        <f t="shared" si="50"/>
        <v>0</v>
      </c>
      <c r="M70" s="2"/>
      <c r="N70" s="6">
        <f t="shared" si="51"/>
        <v>0</v>
      </c>
      <c r="O70" s="11"/>
      <c r="P70" s="7">
        <v>240</v>
      </c>
      <c r="Q70" s="2"/>
      <c r="R70" s="6">
        <f t="shared" si="52"/>
        <v>0</v>
      </c>
      <c r="S70" s="2"/>
      <c r="T70" s="7"/>
      <c r="U70" s="2"/>
      <c r="V70" s="6">
        <f t="shared" si="53"/>
        <v>0</v>
      </c>
      <c r="W70" s="2"/>
      <c r="X70" s="7">
        <f t="shared" si="54"/>
        <v>240</v>
      </c>
      <c r="Y70" s="2"/>
      <c r="Z70" s="6">
        <f t="shared" si="55"/>
        <v>0</v>
      </c>
    </row>
    <row r="71" spans="1:26" s="27" customFormat="1" outlineLevel="1" collapsed="1" x14ac:dyDescent="0.25">
      <c r="A71" s="28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SUM(OSRRefD22_13x_0)</f>
        <v>87.039999999999992</v>
      </c>
      <c r="E71" s="1"/>
      <c r="F71" s="5">
        <f t="shared" si="48"/>
        <v>0</v>
      </c>
      <c r="G71" s="1"/>
      <c r="H71" s="1">
        <f>SUM(OSRRefH22_13x_0)</f>
        <v>82.31</v>
      </c>
      <c r="I71" s="1"/>
      <c r="J71" s="5">
        <f t="shared" si="49"/>
        <v>0</v>
      </c>
      <c r="K71" s="1"/>
      <c r="L71" s="1">
        <f t="shared" si="50"/>
        <v>4.7299999999999898</v>
      </c>
      <c r="M71" s="1"/>
      <c r="N71" s="5">
        <f t="shared" si="51"/>
        <v>5.7465678532377468E-2</v>
      </c>
      <c r="O71" s="14"/>
      <c r="P71" s="1">
        <f>SUM(OSRRefP22_13x_0)</f>
        <v>851.36000000000013</v>
      </c>
      <c r="Q71" s="1"/>
      <c r="R71" s="5">
        <f t="shared" si="52"/>
        <v>0</v>
      </c>
      <c r="S71" s="1"/>
      <c r="T71" s="1">
        <f>SUM(OSRRefT22_13x_0)</f>
        <v>330.4</v>
      </c>
      <c r="U71" s="1"/>
      <c r="V71" s="5">
        <f t="shared" si="53"/>
        <v>0</v>
      </c>
      <c r="W71" s="1"/>
      <c r="X71" s="1">
        <f t="shared" si="54"/>
        <v>520.96000000000015</v>
      </c>
      <c r="Y71" s="1"/>
      <c r="Z71" s="5">
        <f t="shared" si="55"/>
        <v>1.5767554479418893</v>
      </c>
    </row>
    <row r="72" spans="1:26" s="24" customFormat="1" hidden="1" outlineLevel="2" x14ac:dyDescent="0.25">
      <c r="A72" s="29"/>
      <c r="B72" s="11" t="str">
        <f>CONCATENATE("          ", "6292", " - ", "TRAVEL/CONFERENCE")</f>
        <v xml:space="preserve">          6292 - TRAVEL/CONFERENCE</v>
      </c>
      <c r="C72" s="11"/>
      <c r="D72" s="7">
        <v>40.46</v>
      </c>
      <c r="E72" s="2"/>
      <c r="F72" s="6">
        <f t="shared" si="48"/>
        <v>0</v>
      </c>
      <c r="G72" s="2"/>
      <c r="H72" s="7"/>
      <c r="I72" s="2"/>
      <c r="J72" s="6">
        <f t="shared" si="49"/>
        <v>0</v>
      </c>
      <c r="K72" s="2"/>
      <c r="L72" s="7">
        <f t="shared" si="50"/>
        <v>40.46</v>
      </c>
      <c r="M72" s="2"/>
      <c r="N72" s="6">
        <f t="shared" si="51"/>
        <v>0</v>
      </c>
      <c r="O72" s="11"/>
      <c r="P72" s="7">
        <v>545.69000000000005</v>
      </c>
      <c r="Q72" s="2"/>
      <c r="R72" s="6">
        <f t="shared" si="52"/>
        <v>0</v>
      </c>
      <c r="S72" s="2"/>
      <c r="T72" s="7">
        <v>178.03</v>
      </c>
      <c r="U72" s="2"/>
      <c r="V72" s="6">
        <f t="shared" si="53"/>
        <v>0</v>
      </c>
      <c r="W72" s="2"/>
      <c r="X72" s="7">
        <f t="shared" si="54"/>
        <v>367.66000000000008</v>
      </c>
      <c r="Y72" s="2"/>
      <c r="Z72" s="6">
        <f t="shared" si="55"/>
        <v>2.0651575577149921</v>
      </c>
    </row>
    <row r="73" spans="1:26" s="24" customFormat="1" hidden="1" outlineLevel="2" x14ac:dyDescent="0.25">
      <c r="A73" s="29"/>
      <c r="B73" s="11" t="str">
        <f>CONCATENATE("          ", "6294", " - ", "TRAVEL OPERATIONAL")</f>
        <v xml:space="preserve">          6294 - TRAVEL OPERATIONAL</v>
      </c>
      <c r="C73" s="11"/>
      <c r="D73" s="7"/>
      <c r="E73" s="2"/>
      <c r="F73" s="6">
        <f t="shared" si="48"/>
        <v>0</v>
      </c>
      <c r="G73" s="2"/>
      <c r="H73" s="7"/>
      <c r="I73" s="2"/>
      <c r="J73" s="6">
        <f t="shared" si="49"/>
        <v>0</v>
      </c>
      <c r="K73" s="2"/>
      <c r="L73" s="7">
        <f t="shared" si="50"/>
        <v>0</v>
      </c>
      <c r="M73" s="2"/>
      <c r="N73" s="6">
        <f t="shared" si="51"/>
        <v>0</v>
      </c>
      <c r="O73" s="11"/>
      <c r="P73" s="7">
        <v>45.49</v>
      </c>
      <c r="Q73" s="2"/>
      <c r="R73" s="6">
        <f t="shared" si="52"/>
        <v>0</v>
      </c>
      <c r="S73" s="2"/>
      <c r="T73" s="7"/>
      <c r="U73" s="2"/>
      <c r="V73" s="6">
        <f t="shared" si="53"/>
        <v>0</v>
      </c>
      <c r="W73" s="2"/>
      <c r="X73" s="7">
        <f t="shared" si="54"/>
        <v>45.49</v>
      </c>
      <c r="Y73" s="2"/>
      <c r="Z73" s="6">
        <f t="shared" si="55"/>
        <v>0</v>
      </c>
    </row>
    <row r="74" spans="1:26" s="24" customFormat="1" hidden="1" outlineLevel="2" x14ac:dyDescent="0.25">
      <c r="A74" s="29"/>
      <c r="B74" s="11" t="str">
        <f>CONCATENATE("          ", "6298", " - ", "VEHICLE MILEAGE")</f>
        <v xml:space="preserve">          6298 - VEHICLE MILEAGE</v>
      </c>
      <c r="C74" s="11"/>
      <c r="D74" s="7">
        <v>46.58</v>
      </c>
      <c r="E74" s="2"/>
      <c r="F74" s="6">
        <f t="shared" si="48"/>
        <v>0</v>
      </c>
      <c r="G74" s="2"/>
      <c r="H74" s="7">
        <v>82.31</v>
      </c>
      <c r="I74" s="2"/>
      <c r="J74" s="6">
        <f t="shared" si="49"/>
        <v>0</v>
      </c>
      <c r="K74" s="2"/>
      <c r="L74" s="7">
        <f t="shared" si="50"/>
        <v>-35.730000000000004</v>
      </c>
      <c r="M74" s="2"/>
      <c r="N74" s="6">
        <f t="shared" si="51"/>
        <v>-0.43409063297290734</v>
      </c>
      <c r="O74" s="11"/>
      <c r="P74" s="7">
        <v>260.18</v>
      </c>
      <c r="Q74" s="2"/>
      <c r="R74" s="6">
        <f t="shared" si="52"/>
        <v>0</v>
      </c>
      <c r="S74" s="2"/>
      <c r="T74" s="7">
        <v>152.37</v>
      </c>
      <c r="U74" s="2"/>
      <c r="V74" s="6">
        <f t="shared" si="53"/>
        <v>0</v>
      </c>
      <c r="W74" s="2"/>
      <c r="X74" s="7">
        <f t="shared" si="54"/>
        <v>107.81</v>
      </c>
      <c r="Y74" s="2"/>
      <c r="Z74" s="6">
        <f t="shared" si="55"/>
        <v>0.7075539804423443</v>
      </c>
    </row>
    <row r="75" spans="1:26" s="27" customFormat="1" outlineLevel="1" collapsed="1" x14ac:dyDescent="0.25">
      <c r="A75" s="28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SUM(OSRRefD22_14x_0)</f>
        <v>0</v>
      </c>
      <c r="E75" s="1"/>
      <c r="F75" s="5">
        <f t="shared" ref="F75:F76" si="56">IF(D$12=0,0,D75/D$12)</f>
        <v>0</v>
      </c>
      <c r="G75" s="1"/>
      <c r="H75" s="1">
        <f>SUM(OSRRefH22_14x_0)</f>
        <v>12784</v>
      </c>
      <c r="I75" s="1"/>
      <c r="J75" s="5">
        <f t="shared" ref="J75:J76" si="57">IF(H$12=0,0,H75/H$12)</f>
        <v>0</v>
      </c>
      <c r="K75" s="1"/>
      <c r="L75" s="1">
        <f t="shared" ref="L75:L76" si="58">+D75-H75</f>
        <v>-12784</v>
      </c>
      <c r="M75" s="1"/>
      <c r="N75" s="5">
        <f t="shared" ref="N75:N76" si="59">IF(H75=0,0,L75/H75)</f>
        <v>-1</v>
      </c>
      <c r="O75" s="14"/>
      <c r="P75" s="1">
        <f>SUM(OSRRefP22_14x_0)</f>
        <v>11354</v>
      </c>
      <c r="Q75" s="1"/>
      <c r="R75" s="5">
        <f t="shared" ref="R75:R76" si="60">IF(P$12=0,0,P75/P$12)</f>
        <v>0</v>
      </c>
      <c r="S75" s="1"/>
      <c r="T75" s="1">
        <f>SUM(OSRRefT22_14x_0)</f>
        <v>25568</v>
      </c>
      <c r="U75" s="1"/>
      <c r="V75" s="5">
        <f t="shared" ref="V75:V76" si="61">IF(T$12=0,0,T75/T$12)</f>
        <v>0</v>
      </c>
      <c r="W75" s="1"/>
      <c r="X75" s="1">
        <f t="shared" ref="X75:X76" si="62">+P75-T75</f>
        <v>-14214</v>
      </c>
      <c r="Y75" s="1"/>
      <c r="Z75" s="5">
        <f t="shared" ref="Z75:Z76" si="63">IF(T75=0,0,X75/T75)</f>
        <v>-0.55592928660826035</v>
      </c>
    </row>
    <row r="76" spans="1:26" s="24" customFormat="1" hidden="1" outlineLevel="2" x14ac:dyDescent="0.25">
      <c r="A76" s="29"/>
      <c r="B76" s="11" t="str">
        <f>CONCATENATE("          ", "6274", " - ", "UTILITIES")</f>
        <v xml:space="preserve">          6274 - UTILITIES</v>
      </c>
      <c r="C76" s="11"/>
      <c r="D76" s="7"/>
      <c r="E76" s="2"/>
      <c r="F76" s="6">
        <f t="shared" si="56"/>
        <v>0</v>
      </c>
      <c r="G76" s="2"/>
      <c r="H76" s="7">
        <v>12784</v>
      </c>
      <c r="I76" s="2"/>
      <c r="J76" s="6">
        <f t="shared" si="57"/>
        <v>0</v>
      </c>
      <c r="K76" s="2"/>
      <c r="L76" s="7">
        <f t="shared" si="58"/>
        <v>-12784</v>
      </c>
      <c r="M76" s="2"/>
      <c r="N76" s="6">
        <f t="shared" si="59"/>
        <v>-1</v>
      </c>
      <c r="O76" s="11"/>
      <c r="P76" s="7">
        <v>11354</v>
      </c>
      <c r="Q76" s="2"/>
      <c r="R76" s="6">
        <f t="shared" si="60"/>
        <v>0</v>
      </c>
      <c r="S76" s="2"/>
      <c r="T76" s="7">
        <v>25568</v>
      </c>
      <c r="U76" s="2"/>
      <c r="V76" s="6">
        <f t="shared" si="61"/>
        <v>0</v>
      </c>
      <c r="W76" s="2"/>
      <c r="X76" s="7">
        <f t="shared" si="62"/>
        <v>-14214</v>
      </c>
      <c r="Y76" s="2"/>
      <c r="Z76" s="6">
        <f t="shared" si="63"/>
        <v>-0.55592928660826035</v>
      </c>
    </row>
    <row r="77" spans="1:26" s="62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25">
      <c r="A78" s="10"/>
      <c r="B78" s="25" t="s">
        <v>0</v>
      </c>
      <c r="C78" s="10"/>
      <c r="D78" s="4">
        <f>SUM(OSRRefD25x_0)</f>
        <v>402.28</v>
      </c>
      <c r="E78" s="4"/>
      <c r="F78" s="12">
        <f t="shared" ref="F78:F80" si="64">IF(D$12=0,0,D78/D$12)</f>
        <v>0</v>
      </c>
      <c r="G78" s="4"/>
      <c r="H78" s="4">
        <f>SUM(OSRRefH25x_0)</f>
        <v>1328.21</v>
      </c>
      <c r="I78" s="4"/>
      <c r="J78" s="12">
        <f t="shared" ref="J78:J80" si="65">IF(H$12=0,0,H78/H$12)</f>
        <v>0</v>
      </c>
      <c r="K78" s="4"/>
      <c r="L78" s="4">
        <f t="shared" ref="L78:L80" si="66">+D78-H78</f>
        <v>-925.93000000000006</v>
      </c>
      <c r="M78" s="4"/>
      <c r="N78" s="12">
        <f t="shared" ref="N78:N80" si="67">IF(H78=0,0,L78/H78)</f>
        <v>-0.69712620745213483</v>
      </c>
      <c r="O78" s="10"/>
      <c r="P78" s="4">
        <f>SUM(OSRRefP25x_0)</f>
        <v>2815.14</v>
      </c>
      <c r="Q78" s="4"/>
      <c r="R78" s="12">
        <f t="shared" ref="R78:R80" si="68">IF(P$12=0,0,P78/P$12)</f>
        <v>0</v>
      </c>
      <c r="S78" s="4"/>
      <c r="T78" s="4">
        <f>SUM(OSRRefT25x_0)</f>
        <v>1830.54</v>
      </c>
      <c r="U78" s="4"/>
      <c r="V78" s="12">
        <f t="shared" ref="V78:V80" si="69">IF(T$12=0,0,T78/T$12)</f>
        <v>0</v>
      </c>
      <c r="W78" s="4"/>
      <c r="X78" s="4">
        <f t="shared" ref="X78:X80" si="70">+P78-T78</f>
        <v>984.59999999999991</v>
      </c>
      <c r="Y78" s="4"/>
      <c r="Z78" s="12">
        <f t="shared" ref="Z78:Z80" si="71">IF(T78=0,0,X78/T78)</f>
        <v>0.53787406994657305</v>
      </c>
    </row>
    <row r="79" spans="1:26" s="24" customFormat="1" hidden="1" outlineLevel="1" x14ac:dyDescent="0.25">
      <c r="A79" s="50"/>
      <c r="B79" s="11" t="str">
        <f>CONCATENATE("          ", "9150", " - ", "MISC. INCOME")</f>
        <v xml:space="preserve">          9150 - MISC. INCOME</v>
      </c>
      <c r="C79" s="11"/>
      <c r="D79" s="2">
        <f>--402.28</f>
        <v>402.28</v>
      </c>
      <c r="E79" s="2"/>
      <c r="F79" s="21">
        <f t="shared" si="64"/>
        <v>0</v>
      </c>
      <c r="G79" s="2"/>
      <c r="H79" s="2">
        <f>--1328.21</f>
        <v>1328.21</v>
      </c>
      <c r="I79" s="2"/>
      <c r="J79" s="21">
        <f t="shared" si="65"/>
        <v>0</v>
      </c>
      <c r="K79" s="2"/>
      <c r="L79" s="2">
        <f t="shared" si="66"/>
        <v>-925.93000000000006</v>
      </c>
      <c r="M79" s="2"/>
      <c r="N79" s="21">
        <f t="shared" si="67"/>
        <v>-0.69712620745213483</v>
      </c>
      <c r="O79" s="11"/>
      <c r="P79" s="2">
        <f>--1804.21</f>
        <v>1804.21</v>
      </c>
      <c r="Q79" s="2"/>
      <c r="R79" s="21">
        <f t="shared" si="68"/>
        <v>0</v>
      </c>
      <c r="S79" s="2"/>
      <c r="T79" s="2">
        <f>--1331.89</f>
        <v>1331.89</v>
      </c>
      <c r="U79" s="2"/>
      <c r="V79" s="21">
        <f t="shared" si="69"/>
        <v>0</v>
      </c>
      <c r="W79" s="2"/>
      <c r="X79" s="2">
        <f t="shared" si="70"/>
        <v>472.31999999999994</v>
      </c>
      <c r="Y79" s="2"/>
      <c r="Z79" s="21">
        <f t="shared" si="71"/>
        <v>0.35462388035047931</v>
      </c>
    </row>
    <row r="80" spans="1:26" s="24" customFormat="1" hidden="1" outlineLevel="1" x14ac:dyDescent="0.25">
      <c r="A80" s="50"/>
      <c r="B80" s="11" t="str">
        <f>CONCATENATE("          ", "9160", " - ", "MISC. INCOME")</f>
        <v xml:space="preserve">          9160 - MISC. INCOME</v>
      </c>
      <c r="C80" s="11"/>
      <c r="D80" s="2">
        <f>0</f>
        <v>0</v>
      </c>
      <c r="E80" s="2"/>
      <c r="F80" s="21">
        <f t="shared" si="64"/>
        <v>0</v>
      </c>
      <c r="G80" s="2"/>
      <c r="H80" s="2">
        <f>0</f>
        <v>0</v>
      </c>
      <c r="I80" s="2"/>
      <c r="J80" s="21">
        <f t="shared" si="65"/>
        <v>0</v>
      </c>
      <c r="K80" s="2"/>
      <c r="L80" s="2">
        <f t="shared" si="66"/>
        <v>0</v>
      </c>
      <c r="M80" s="2"/>
      <c r="N80" s="21">
        <f t="shared" si="67"/>
        <v>0</v>
      </c>
      <c r="O80" s="11"/>
      <c r="P80" s="2">
        <f>--1010.93</f>
        <v>1010.93</v>
      </c>
      <c r="Q80" s="2"/>
      <c r="R80" s="21">
        <f t="shared" si="68"/>
        <v>0</v>
      </c>
      <c r="S80" s="2"/>
      <c r="T80" s="2">
        <f>--498.65</f>
        <v>498.65</v>
      </c>
      <c r="U80" s="2"/>
      <c r="V80" s="21">
        <f t="shared" si="69"/>
        <v>0</v>
      </c>
      <c r="W80" s="2"/>
      <c r="X80" s="2">
        <f t="shared" si="70"/>
        <v>512.28</v>
      </c>
      <c r="Y80" s="2"/>
      <c r="Z80" s="21">
        <f t="shared" si="71"/>
        <v>1.0273338012634112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6" t="s">
        <v>3</v>
      </c>
      <c r="C82" s="26"/>
      <c r="D82" s="20">
        <f>+D16-D18+D78</f>
        <v>-74946.680000000008</v>
      </c>
      <c r="E82" s="13"/>
      <c r="F82" s="19">
        <f>IF(D$12=0,0,D82/D$12)</f>
        <v>0</v>
      </c>
      <c r="G82" s="13"/>
      <c r="H82" s="20">
        <f>+H16-H18+H78</f>
        <v>-91880.609999999986</v>
      </c>
      <c r="I82" s="13"/>
      <c r="J82" s="19">
        <f>IF(H$12=0,0,H82/H$12)</f>
        <v>0</v>
      </c>
      <c r="K82" s="15"/>
      <c r="L82" s="20">
        <f>+D82-H82</f>
        <v>16933.929999999978</v>
      </c>
      <c r="M82" s="15"/>
      <c r="N82" s="19">
        <f>IF(H82=0,0,L82/H82)</f>
        <v>-0.18430363054838209</v>
      </c>
      <c r="O82" s="25"/>
      <c r="P82" s="20">
        <f>+P16-P18+P78</f>
        <v>-168905.79999999996</v>
      </c>
      <c r="Q82" s="13"/>
      <c r="R82" s="19">
        <f>IF(P$12=0,0,P82/P$12)</f>
        <v>0</v>
      </c>
      <c r="S82" s="13"/>
      <c r="T82" s="20">
        <f>+T16-T18+T78</f>
        <v>-185302.36999999997</v>
      </c>
      <c r="U82" s="13"/>
      <c r="V82" s="19">
        <f>IF(T$12=0,0,T82/T$12)</f>
        <v>0</v>
      </c>
      <c r="W82" s="15"/>
      <c r="X82" s="20">
        <f>+P82-T82</f>
        <v>16396.570000000007</v>
      </c>
      <c r="Y82" s="15"/>
      <c r="Z82" s="19">
        <f>IF(T82=0,0,X82/T82)</f>
        <v>-8.8485484562339969E-2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/>
      <c r="E84" s="4"/>
      <c r="F84" s="12">
        <f>IF(D$12=0,0,D84/D$12)</f>
        <v>0</v>
      </c>
      <c r="G84" s="4"/>
      <c r="H84" s="4"/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/>
      <c r="Q84" s="4"/>
      <c r="R84" s="12">
        <f>IF(P$12=0,0,P84/P$12)</f>
        <v>0</v>
      </c>
      <c r="S84" s="4"/>
      <c r="T84" s="4"/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4</v>
      </c>
      <c r="C86" s="26"/>
      <c r="D86" s="31">
        <f>+D82-D84</f>
        <v>-74946.680000000008</v>
      </c>
      <c r="E86" s="13"/>
      <c r="F86" s="36">
        <f>IF(D$12=0,0,D86/D$12)</f>
        <v>0</v>
      </c>
      <c r="G86" s="13"/>
      <c r="H86" s="31">
        <f>+H82-H84</f>
        <v>-91880.609999999986</v>
      </c>
      <c r="I86" s="13"/>
      <c r="J86" s="36">
        <f>IF(H$12=0,0,H86/H$12)</f>
        <v>0</v>
      </c>
      <c r="K86" s="15"/>
      <c r="L86" s="31">
        <f>D86-H86</f>
        <v>16933.929999999978</v>
      </c>
      <c r="M86" s="15"/>
      <c r="N86" s="36">
        <f>IF(H86=0,0,L86/H86)</f>
        <v>-0.18430363054838209</v>
      </c>
      <c r="O86" s="25"/>
      <c r="P86" s="31">
        <f>+P82-P84</f>
        <v>-168905.79999999996</v>
      </c>
      <c r="Q86" s="13"/>
      <c r="R86" s="36">
        <f>IF(P$12=0,0,P86/P$12)</f>
        <v>0</v>
      </c>
      <c r="S86" s="13"/>
      <c r="T86" s="31">
        <f>+T82-T84</f>
        <v>-185302.36999999997</v>
      </c>
      <c r="U86" s="13"/>
      <c r="V86" s="36">
        <f>IF(T$12=0,0,T86/T$12)</f>
        <v>0</v>
      </c>
      <c r="W86" s="15"/>
      <c r="X86" s="31">
        <f>P86-T86</f>
        <v>16396.570000000007</v>
      </c>
      <c r="Y86" s="15"/>
      <c r="Z86" s="36">
        <f>IF(T86=0,0,X86/T86)</f>
        <v>-8.8485484562339969E-2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6" t="s">
        <v>5</v>
      </c>
      <c r="C89" s="26"/>
      <c r="D89" s="32">
        <f>SUM(D86:D88)</f>
        <v>-74946.680000000008</v>
      </c>
      <c r="E89" s="13"/>
      <c r="F89" s="30">
        <f>IF(D$12=0,0,D89/D$12)</f>
        <v>0</v>
      </c>
      <c r="G89" s="13"/>
      <c r="H89" s="32">
        <f>SUM(H86:H88)</f>
        <v>-91880.609999999986</v>
      </c>
      <c r="I89" s="13"/>
      <c r="J89" s="30">
        <f>IF(H$12=0,0,H89/H$12)</f>
        <v>0</v>
      </c>
      <c r="K89" s="15"/>
      <c r="L89" s="32">
        <f>+D89-H89</f>
        <v>16933.929999999978</v>
      </c>
      <c r="M89" s="15"/>
      <c r="N89" s="30">
        <f>IF(H89=0,0,L89/H89)</f>
        <v>-0.18430363054838209</v>
      </c>
      <c r="O89" s="25"/>
      <c r="P89" s="32">
        <f>SUM(P86:P88)</f>
        <v>-168905.79999999996</v>
      </c>
      <c r="Q89" s="13"/>
      <c r="R89" s="30">
        <f>IF(P$12=0,0,P89/P$12)</f>
        <v>0</v>
      </c>
      <c r="S89" s="13"/>
      <c r="T89" s="32">
        <f>SUM(T86:T88)</f>
        <v>-185302.36999999997</v>
      </c>
      <c r="U89" s="13"/>
      <c r="V89" s="30">
        <f>IF(T$12=0,0,T89/T$12)</f>
        <v>0</v>
      </c>
      <c r="W89" s="15"/>
      <c r="X89" s="32">
        <f>+P89-T89</f>
        <v>16396.570000000007</v>
      </c>
      <c r="Y89" s="15"/>
      <c r="Z89" s="30">
        <f>IF(T89=0,0,X89/T89)</f>
        <v>-8.8485484562339969E-2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7">
        <v>43732.710018900463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60" t="s">
        <v>313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6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","412", " - ", "Chartroom")</f>
        <v>Department 412 - Chartroom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65473.24</v>
      </c>
      <c r="E12" s="4"/>
      <c r="F12" s="12"/>
      <c r="G12" s="4"/>
      <c r="H12" s="4">
        <f>SUM(OSRRefH13x_0)</f>
        <v>82010.48</v>
      </c>
      <c r="I12" s="4"/>
      <c r="J12" s="12"/>
      <c r="K12" s="4"/>
      <c r="L12" s="4">
        <f t="shared" ref="L12:L14" si="0">+D12-H12</f>
        <v>-16537.239999999998</v>
      </c>
      <c r="M12" s="4"/>
      <c r="N12" s="12">
        <f t="shared" ref="N12:N14" si="1">IF(H12=0,0,L12/H12)</f>
        <v>-0.20164788695298452</v>
      </c>
      <c r="O12" s="10"/>
      <c r="P12" s="4">
        <f>SUM(OSRRefP13x_0)</f>
        <v>112682.89</v>
      </c>
      <c r="Q12" s="4"/>
      <c r="R12" s="12"/>
      <c r="S12" s="4"/>
      <c r="T12" s="4">
        <f>SUM(OSRRefT13x_0)</f>
        <v>180402.48</v>
      </c>
      <c r="U12" s="4"/>
      <c r="V12" s="12"/>
      <c r="W12" s="4"/>
      <c r="X12" s="4">
        <f t="shared" ref="X12:X14" si="2">+P12-T12</f>
        <v>-67719.590000000011</v>
      </c>
      <c r="Y12" s="4"/>
      <c r="Z12" s="12">
        <f t="shared" ref="Z12:Z14" si="3">IF(T12=0,0,X12/T12)</f>
        <v>-0.37538059343751817</v>
      </c>
    </row>
    <row r="13" spans="1:26" s="24" customFormat="1" hidden="1" outlineLevel="1" x14ac:dyDescent="0.25">
      <c r="A13" s="50"/>
      <c r="B13" s="11" t="str">
        <f>CONCATENATE("          ", "4052", " - ", "TAXABLE SALES-FOOD")</f>
        <v xml:space="preserve">          4052 - TAXABLE SALES-FOOD</v>
      </c>
      <c r="C13" s="11"/>
      <c r="D13" s="2">
        <f>--61482.81</f>
        <v>61482.81</v>
      </c>
      <c r="E13" s="2"/>
      <c r="F13" s="21"/>
      <c r="G13" s="2"/>
      <c r="H13" s="2">
        <f>--78171.69</f>
        <v>78171.69</v>
      </c>
      <c r="I13" s="2"/>
      <c r="J13" s="21"/>
      <c r="K13" s="2"/>
      <c r="L13" s="2">
        <f t="shared" si="0"/>
        <v>-16688.880000000005</v>
      </c>
      <c r="M13" s="2"/>
      <c r="N13" s="21">
        <f t="shared" si="1"/>
        <v>-0.21349007549919932</v>
      </c>
      <c r="O13" s="11"/>
      <c r="P13" s="2">
        <f>--105025.37</f>
        <v>105025.37</v>
      </c>
      <c r="Q13" s="2"/>
      <c r="R13" s="21"/>
      <c r="S13" s="2"/>
      <c r="T13" s="2">
        <f>--172729.95</f>
        <v>172729.95</v>
      </c>
      <c r="U13" s="2"/>
      <c r="V13" s="21"/>
      <c r="W13" s="2"/>
      <c r="X13" s="2">
        <f t="shared" si="2"/>
        <v>-67704.580000000016</v>
      </c>
      <c r="Y13" s="2"/>
      <c r="Z13" s="21">
        <f t="shared" si="3"/>
        <v>-0.39196780870949138</v>
      </c>
    </row>
    <row r="14" spans="1:26" s="24" customFormat="1" hidden="1" outlineLevel="1" x14ac:dyDescent="0.25">
      <c r="A14" s="50"/>
      <c r="B14" s="11" t="str">
        <f>CONCATENATE("          ", "4152", " - ", "NON-TAXABLE SALES-FOOD")</f>
        <v xml:space="preserve">          4152 - NON-TAXABLE SALES-FOOD</v>
      </c>
      <c r="C14" s="11"/>
      <c r="D14" s="2">
        <f>--3990.43</f>
        <v>3990.43</v>
      </c>
      <c r="E14" s="2"/>
      <c r="F14" s="21"/>
      <c r="G14" s="2"/>
      <c r="H14" s="2">
        <f>--3838.79</f>
        <v>3838.79</v>
      </c>
      <c r="I14" s="2"/>
      <c r="J14" s="21"/>
      <c r="K14" s="2"/>
      <c r="L14" s="2">
        <f t="shared" si="0"/>
        <v>151.63999999999987</v>
      </c>
      <c r="M14" s="2"/>
      <c r="N14" s="21">
        <f t="shared" si="1"/>
        <v>3.9502030587763297E-2</v>
      </c>
      <c r="O14" s="11"/>
      <c r="P14" s="2">
        <f>--7657.52</f>
        <v>7657.52</v>
      </c>
      <c r="Q14" s="2"/>
      <c r="R14" s="21"/>
      <c r="S14" s="2"/>
      <c r="T14" s="2">
        <f>--7672.53</f>
        <v>7672.53</v>
      </c>
      <c r="U14" s="2"/>
      <c r="V14" s="21"/>
      <c r="W14" s="2"/>
      <c r="X14" s="2">
        <f t="shared" si="2"/>
        <v>-15.009999999999309</v>
      </c>
      <c r="Y14" s="2"/>
      <c r="Z14" s="21">
        <f t="shared" si="3"/>
        <v>-1.956329919856854E-3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19230.080000000002</v>
      </c>
      <c r="E16" s="4"/>
      <c r="F16" s="12">
        <f t="shared" ref="F16:F17" si="4">IF(D$12=0,0,D16/D$12)</f>
        <v>0.29370900233438885</v>
      </c>
      <c r="G16" s="4"/>
      <c r="H16" s="4">
        <f>SUM(OSRRefH16x_0)</f>
        <v>23437.84</v>
      </c>
      <c r="I16" s="4"/>
      <c r="J16" s="12">
        <f t="shared" ref="J16:J17" si="5">IF(H$12=0,0,H16/H$12)</f>
        <v>0.28579079161590082</v>
      </c>
      <c r="K16" s="4"/>
      <c r="L16" s="4">
        <f t="shared" ref="L16:L17" si="6">+D16-H16</f>
        <v>-4207.7599999999984</v>
      </c>
      <c r="M16" s="4"/>
      <c r="N16" s="12">
        <f t="shared" ref="N16:N17" si="7">IF(H16=0,0,L16/H16)</f>
        <v>-0.17952848897338655</v>
      </c>
      <c r="O16" s="10"/>
      <c r="P16" s="4">
        <f>SUM(OSRRefP16x_0)</f>
        <v>39004.36</v>
      </c>
      <c r="Q16" s="4"/>
      <c r="R16" s="12">
        <f t="shared" ref="R16:R17" si="8">IF(P$12=0,0,P16/P$12)</f>
        <v>0.34614270187780949</v>
      </c>
      <c r="S16" s="4"/>
      <c r="T16" s="4">
        <f>SUM(OSRRefT16x_0)</f>
        <v>52993.07</v>
      </c>
      <c r="U16" s="4"/>
      <c r="V16" s="12">
        <f t="shared" ref="V16:V17" si="9">IF(T$12=0,0,T16/T$12)</f>
        <v>0.29374912140897397</v>
      </c>
      <c r="W16" s="4"/>
      <c r="X16" s="4">
        <f t="shared" ref="X16:X17" si="10">+P16-T16</f>
        <v>-13988.71</v>
      </c>
      <c r="Y16" s="4"/>
      <c r="Z16" s="12">
        <f t="shared" ref="Z16:Z17" si="11">IF(T16=0,0,X16/T16)</f>
        <v>-0.26397244017000709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19230.080000000002</v>
      </c>
      <c r="E17" s="2"/>
      <c r="F17" s="21">
        <f t="shared" si="4"/>
        <v>0.29370900233438885</v>
      </c>
      <c r="G17" s="2"/>
      <c r="H17" s="2">
        <v>23437.84</v>
      </c>
      <c r="I17" s="2"/>
      <c r="J17" s="21">
        <f t="shared" si="5"/>
        <v>0.28579079161590082</v>
      </c>
      <c r="K17" s="2"/>
      <c r="L17" s="2">
        <f t="shared" si="6"/>
        <v>-4207.7599999999984</v>
      </c>
      <c r="M17" s="2"/>
      <c r="N17" s="21">
        <f t="shared" si="7"/>
        <v>-0.17952848897338655</v>
      </c>
      <c r="O17" s="11"/>
      <c r="P17" s="2">
        <v>39004.36</v>
      </c>
      <c r="Q17" s="2"/>
      <c r="R17" s="21">
        <f t="shared" si="8"/>
        <v>0.34614270187780949</v>
      </c>
      <c r="S17" s="2"/>
      <c r="T17" s="2">
        <v>52993.07</v>
      </c>
      <c r="U17" s="2"/>
      <c r="V17" s="21">
        <f t="shared" si="9"/>
        <v>0.29374912140897397</v>
      </c>
      <c r="W17" s="2"/>
      <c r="X17" s="2">
        <f t="shared" si="10"/>
        <v>-13988.71</v>
      </c>
      <c r="Y17" s="2"/>
      <c r="Z17" s="21">
        <f t="shared" si="11"/>
        <v>-0.26397244017000709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D12-D16</f>
        <v>46243.159999999996</v>
      </c>
      <c r="E19" s="13"/>
      <c r="F19" s="19">
        <f>IF(D$12=0,0,D19/D$12)</f>
        <v>0.7062909976656111</v>
      </c>
      <c r="G19" s="13"/>
      <c r="H19" s="20">
        <f>H12-H16</f>
        <v>58572.639999999999</v>
      </c>
      <c r="I19" s="13"/>
      <c r="J19" s="19">
        <f>IF(H$12=0,0,H19/H$12)</f>
        <v>0.71420920838409918</v>
      </c>
      <c r="K19" s="15"/>
      <c r="L19" s="20">
        <f>+D19-H19</f>
        <v>-12329.480000000003</v>
      </c>
      <c r="M19" s="15"/>
      <c r="N19" s="19">
        <f>IF(H19=0,0,L19/H19)</f>
        <v>-0.21049896333851442</v>
      </c>
      <c r="O19" s="25"/>
      <c r="P19" s="20">
        <f>P12-P16</f>
        <v>73678.53</v>
      </c>
      <c r="Q19" s="13"/>
      <c r="R19" s="19">
        <f>IF(P$12=0,0,P19/P$12)</f>
        <v>0.65385729812219051</v>
      </c>
      <c r="S19" s="13"/>
      <c r="T19" s="20">
        <f>T12-T16</f>
        <v>127409.41</v>
      </c>
      <c r="U19" s="13"/>
      <c r="V19" s="19">
        <f>IF(T$12=0,0,T19/T$12)</f>
        <v>0.70625087859102598</v>
      </c>
      <c r="W19" s="15"/>
      <c r="X19" s="20">
        <f>+P19-T19</f>
        <v>-53730.880000000005</v>
      </c>
      <c r="Y19" s="15"/>
      <c r="Z19" s="19">
        <f>IF(T19=0,0,X19/T19)</f>
        <v>-0.42171830165448537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2">
        <f>SUM(OSRRefD22x_0)</f>
        <v>52101.979999999996</v>
      </c>
      <c r="E21" s="22"/>
      <c r="F21" s="33">
        <f t="shared" ref="F21:F30" si="12">IF(D$12=0,0,D21/D$12)</f>
        <v>0.7957751899860156</v>
      </c>
      <c r="G21" s="22"/>
      <c r="H21" s="22">
        <f>SUM(OSRRefH22x_0)</f>
        <v>55797.080000000009</v>
      </c>
      <c r="I21" s="22"/>
      <c r="J21" s="33">
        <f t="shared" ref="J21:J30" si="13">IF(H$12=0,0,H21/H$12)</f>
        <v>0.68036524112528074</v>
      </c>
      <c r="K21" s="4"/>
      <c r="L21" s="22">
        <f t="shared" ref="L21:L30" si="14">+D21-H21</f>
        <v>-3695.1000000000131</v>
      </c>
      <c r="M21" s="4"/>
      <c r="N21" s="33">
        <f t="shared" ref="N21:N30" si="15">IF(H21=0,0,L21/H21)</f>
        <v>-6.6223895587367881E-2</v>
      </c>
      <c r="O21" s="10"/>
      <c r="P21" s="22">
        <f>SUM(OSRRefP22x_0)</f>
        <v>107142.12999999998</v>
      </c>
      <c r="Q21" s="22"/>
      <c r="R21" s="33">
        <f t="shared" ref="R21:R30" si="16">IF(P$12=0,0,P21/P$12)</f>
        <v>0.95082873717562599</v>
      </c>
      <c r="S21" s="22"/>
      <c r="T21" s="22">
        <f>SUM(OSRRefT22x_0)</f>
        <v>126188.68000000001</v>
      </c>
      <c r="U21" s="22"/>
      <c r="V21" s="33">
        <f t="shared" ref="V21:V30" si="17">IF(T$12=0,0,T21/T$12)</f>
        <v>0.69948417560556819</v>
      </c>
      <c r="W21" s="4"/>
      <c r="X21" s="22">
        <f t="shared" ref="X21:X30" si="18">+P21-T21</f>
        <v>-19046.550000000032</v>
      </c>
      <c r="Y21" s="4"/>
      <c r="Z21" s="33">
        <f t="shared" ref="Z21:Z30" si="19">IF(T21=0,0,X21/T21)</f>
        <v>-0.15093707296090292</v>
      </c>
    </row>
    <row r="22" spans="1:26" s="27" customFormat="1" outlineLevel="1" collapsed="1" x14ac:dyDescent="0.25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12581.25</v>
      </c>
      <c r="E22" s="1"/>
      <c r="F22" s="5">
        <f t="shared" si="12"/>
        <v>0.19215865901855475</v>
      </c>
      <c r="G22" s="1"/>
      <c r="H22" s="1">
        <f>SUM(OSRRefH22_0x_0)</f>
        <v>13216.060000000001</v>
      </c>
      <c r="I22" s="1"/>
      <c r="J22" s="5">
        <f t="shared" si="13"/>
        <v>0.16115086754765978</v>
      </c>
      <c r="K22" s="1"/>
      <c r="L22" s="1">
        <f t="shared" si="14"/>
        <v>-634.81000000000131</v>
      </c>
      <c r="M22" s="1"/>
      <c r="N22" s="5">
        <f t="shared" si="15"/>
        <v>-4.8033226241406386E-2</v>
      </c>
      <c r="O22" s="14"/>
      <c r="P22" s="1">
        <f>SUM(OSRRefP22_0x_0)</f>
        <v>26473.19</v>
      </c>
      <c r="Q22" s="1"/>
      <c r="R22" s="5">
        <f t="shared" si="16"/>
        <v>0.23493531271695284</v>
      </c>
      <c r="S22" s="1"/>
      <c r="T22" s="1">
        <f>SUM(OSRRefT22_0x_0)</f>
        <v>24348.170000000002</v>
      </c>
      <c r="U22" s="1"/>
      <c r="V22" s="5">
        <f t="shared" si="17"/>
        <v>0.13496582752077466</v>
      </c>
      <c r="W22" s="1"/>
      <c r="X22" s="1">
        <f t="shared" si="18"/>
        <v>2125.0199999999968</v>
      </c>
      <c r="Y22" s="1"/>
      <c r="Z22" s="5">
        <f t="shared" si="19"/>
        <v>8.7276374364069112E-2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>
        <v>2629.07</v>
      </c>
      <c r="E23" s="2"/>
      <c r="F23" s="6">
        <f t="shared" si="12"/>
        <v>4.0154878542745104E-2</v>
      </c>
      <c r="G23" s="2"/>
      <c r="H23" s="7">
        <v>3170.56</v>
      </c>
      <c r="I23" s="2"/>
      <c r="J23" s="6">
        <f t="shared" si="13"/>
        <v>3.8660424862773636E-2</v>
      </c>
      <c r="K23" s="2"/>
      <c r="L23" s="7">
        <f t="shared" si="14"/>
        <v>-541.48999999999978</v>
      </c>
      <c r="M23" s="2"/>
      <c r="N23" s="6">
        <f t="shared" si="15"/>
        <v>-0.1707868641501816</v>
      </c>
      <c r="O23" s="11"/>
      <c r="P23" s="7">
        <v>4973.53</v>
      </c>
      <c r="Q23" s="2"/>
      <c r="R23" s="6">
        <f t="shared" si="16"/>
        <v>4.4137401871748229E-2</v>
      </c>
      <c r="S23" s="2"/>
      <c r="T23" s="7">
        <v>5495</v>
      </c>
      <c r="U23" s="2"/>
      <c r="V23" s="6">
        <f t="shared" si="17"/>
        <v>3.0459669955756705E-2</v>
      </c>
      <c r="W23" s="2"/>
      <c r="X23" s="7">
        <f t="shared" si="18"/>
        <v>-521.47000000000025</v>
      </c>
      <c r="Y23" s="2"/>
      <c r="Z23" s="6">
        <f t="shared" si="19"/>
        <v>-9.489899909008194E-2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>
        <v>1118.72</v>
      </c>
      <c r="E24" s="2"/>
      <c r="F24" s="6">
        <f t="shared" si="12"/>
        <v>1.7086675411206165E-2</v>
      </c>
      <c r="G24" s="2"/>
      <c r="H24" s="7">
        <v>1219.9000000000001</v>
      </c>
      <c r="I24" s="2"/>
      <c r="J24" s="6">
        <f t="shared" si="13"/>
        <v>1.4874928179910667E-2</v>
      </c>
      <c r="K24" s="2"/>
      <c r="L24" s="7">
        <f t="shared" si="14"/>
        <v>-101.18000000000006</v>
      </c>
      <c r="M24" s="2"/>
      <c r="N24" s="6">
        <f t="shared" si="15"/>
        <v>-8.2941224690548446E-2</v>
      </c>
      <c r="O24" s="11"/>
      <c r="P24" s="7">
        <v>2109.91</v>
      </c>
      <c r="Q24" s="2"/>
      <c r="R24" s="6">
        <f t="shared" si="16"/>
        <v>1.8724315643661605E-2</v>
      </c>
      <c r="S24" s="2"/>
      <c r="T24" s="7">
        <v>2584.6</v>
      </c>
      <c r="U24" s="2"/>
      <c r="V24" s="6">
        <f t="shared" si="17"/>
        <v>1.4326854043248185E-2</v>
      </c>
      <c r="W24" s="2"/>
      <c r="X24" s="7">
        <f t="shared" si="18"/>
        <v>-474.69000000000005</v>
      </c>
      <c r="Y24" s="2"/>
      <c r="Z24" s="6">
        <f t="shared" si="19"/>
        <v>-0.1836609146483015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7">
        <v>5334.36</v>
      </c>
      <c r="E25" s="2"/>
      <c r="F25" s="6">
        <f t="shared" si="12"/>
        <v>8.1473896816470354E-2</v>
      </c>
      <c r="G25" s="2"/>
      <c r="H25" s="7">
        <v>5466.7</v>
      </c>
      <c r="I25" s="2"/>
      <c r="J25" s="6">
        <f t="shared" si="13"/>
        <v>6.6658553882381857E-2</v>
      </c>
      <c r="K25" s="2"/>
      <c r="L25" s="7">
        <f t="shared" si="14"/>
        <v>-132.34000000000015</v>
      </c>
      <c r="M25" s="2"/>
      <c r="N25" s="6">
        <f t="shared" si="15"/>
        <v>-2.4208388973237994E-2</v>
      </c>
      <c r="O25" s="11"/>
      <c r="P25" s="7">
        <v>10668.72</v>
      </c>
      <c r="Q25" s="2"/>
      <c r="R25" s="6">
        <f t="shared" si="16"/>
        <v>9.4679147828033161E-2</v>
      </c>
      <c r="S25" s="2"/>
      <c r="T25" s="7">
        <v>7503.96</v>
      </c>
      <c r="U25" s="2"/>
      <c r="V25" s="6">
        <f t="shared" si="17"/>
        <v>4.1595658773648785E-2</v>
      </c>
      <c r="W25" s="2"/>
      <c r="X25" s="7">
        <f t="shared" si="18"/>
        <v>3164.7599999999993</v>
      </c>
      <c r="Y25" s="2"/>
      <c r="Z25" s="6">
        <f t="shared" si="19"/>
        <v>0.42174531847184676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>
        <v>79.900000000000006</v>
      </c>
      <c r="E26" s="2"/>
      <c r="F26" s="6">
        <f t="shared" si="12"/>
        <v>1.2203459000959783E-3</v>
      </c>
      <c r="G26" s="2"/>
      <c r="H26" s="7">
        <v>96.11</v>
      </c>
      <c r="I26" s="2"/>
      <c r="J26" s="6">
        <f t="shared" si="13"/>
        <v>1.1719233932053561E-3</v>
      </c>
      <c r="K26" s="2"/>
      <c r="L26" s="7">
        <f t="shared" si="14"/>
        <v>-16.209999999999994</v>
      </c>
      <c r="M26" s="2"/>
      <c r="N26" s="6">
        <f t="shared" si="15"/>
        <v>-0.16866090937467479</v>
      </c>
      <c r="O26" s="11"/>
      <c r="P26" s="7">
        <v>150.83000000000001</v>
      </c>
      <c r="Q26" s="2"/>
      <c r="R26" s="6">
        <f t="shared" si="16"/>
        <v>1.3385350695212025E-3</v>
      </c>
      <c r="S26" s="2"/>
      <c r="T26" s="7">
        <v>203.23</v>
      </c>
      <c r="U26" s="2"/>
      <c r="V26" s="6">
        <f t="shared" si="17"/>
        <v>1.1265366196739645E-3</v>
      </c>
      <c r="W26" s="2"/>
      <c r="X26" s="7">
        <f t="shared" si="18"/>
        <v>-52.399999999999977</v>
      </c>
      <c r="Y26" s="2"/>
      <c r="Z26" s="6">
        <f t="shared" si="19"/>
        <v>-0.25783594941691668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7">
        <v>1165.79</v>
      </c>
      <c r="E27" s="2"/>
      <c r="F27" s="6">
        <f t="shared" si="12"/>
        <v>1.780559507976083E-2</v>
      </c>
      <c r="G27" s="2"/>
      <c r="H27" s="7">
        <v>1045.72</v>
      </c>
      <c r="I27" s="2"/>
      <c r="J27" s="6">
        <f t="shared" si="13"/>
        <v>1.2751053280019823E-2</v>
      </c>
      <c r="K27" s="2"/>
      <c r="L27" s="7">
        <f t="shared" si="14"/>
        <v>120.06999999999994</v>
      </c>
      <c r="M27" s="2"/>
      <c r="N27" s="6">
        <f t="shared" si="15"/>
        <v>0.11482041081742717</v>
      </c>
      <c r="O27" s="11"/>
      <c r="P27" s="7">
        <v>2331.58</v>
      </c>
      <c r="Q27" s="2"/>
      <c r="R27" s="6">
        <f t="shared" si="16"/>
        <v>2.0691517585322845E-2</v>
      </c>
      <c r="S27" s="2"/>
      <c r="T27" s="7">
        <v>2599.0700000000002</v>
      </c>
      <c r="U27" s="2"/>
      <c r="V27" s="6">
        <f t="shared" si="17"/>
        <v>1.4407063583604838E-2</v>
      </c>
      <c r="W27" s="2"/>
      <c r="X27" s="7">
        <f t="shared" si="18"/>
        <v>-267.49000000000024</v>
      </c>
      <c r="Y27" s="2"/>
      <c r="Z27" s="6">
        <f t="shared" si="19"/>
        <v>-0.10291758205819783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>
        <v>955.42</v>
      </c>
      <c r="E28" s="2"/>
      <c r="F28" s="6">
        <f t="shared" si="12"/>
        <v>1.4592526656692108E-2</v>
      </c>
      <c r="G28" s="2"/>
      <c r="H28" s="7">
        <v>904.7</v>
      </c>
      <c r="I28" s="2"/>
      <c r="J28" s="6">
        <f t="shared" si="13"/>
        <v>1.1031516947590114E-2</v>
      </c>
      <c r="K28" s="2"/>
      <c r="L28" s="7">
        <f t="shared" si="14"/>
        <v>50.719999999999914</v>
      </c>
      <c r="M28" s="2"/>
      <c r="N28" s="6">
        <f t="shared" si="15"/>
        <v>5.60627832430639E-2</v>
      </c>
      <c r="O28" s="11"/>
      <c r="P28" s="7">
        <v>2387.4899999999998</v>
      </c>
      <c r="Q28" s="2"/>
      <c r="R28" s="6">
        <f t="shared" si="16"/>
        <v>2.1187688743162337E-2</v>
      </c>
      <c r="S28" s="2"/>
      <c r="T28" s="7">
        <v>2338.48</v>
      </c>
      <c r="U28" s="2"/>
      <c r="V28" s="6">
        <f t="shared" si="17"/>
        <v>1.2962571246248942E-2</v>
      </c>
      <c r="W28" s="2"/>
      <c r="X28" s="7">
        <f t="shared" si="18"/>
        <v>49.009999999999764</v>
      </c>
      <c r="Y28" s="2"/>
      <c r="Z28" s="6">
        <f t="shared" si="19"/>
        <v>2.0958058225856009E-2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>
        <v>802.42</v>
      </c>
      <c r="E29" s="2"/>
      <c r="F29" s="6">
        <f t="shared" si="12"/>
        <v>1.2255694082040235E-2</v>
      </c>
      <c r="G29" s="2"/>
      <c r="H29" s="7">
        <v>759.66</v>
      </c>
      <c r="I29" s="2"/>
      <c r="J29" s="6">
        <f t="shared" si="13"/>
        <v>9.2629624896720525E-3</v>
      </c>
      <c r="K29" s="2"/>
      <c r="L29" s="7">
        <f t="shared" si="14"/>
        <v>42.759999999999991</v>
      </c>
      <c r="M29" s="2"/>
      <c r="N29" s="6">
        <f t="shared" si="15"/>
        <v>5.628833952031171E-2</v>
      </c>
      <c r="O29" s="11"/>
      <c r="P29" s="7">
        <v>2866.72</v>
      </c>
      <c r="Q29" s="2"/>
      <c r="R29" s="6">
        <f t="shared" si="16"/>
        <v>2.5440597059589079E-2</v>
      </c>
      <c r="S29" s="2"/>
      <c r="T29" s="7">
        <v>2521.4899999999998</v>
      </c>
      <c r="U29" s="2"/>
      <c r="V29" s="6">
        <f t="shared" si="17"/>
        <v>1.3977025149543397E-2</v>
      </c>
      <c r="W29" s="2"/>
      <c r="X29" s="7">
        <f t="shared" si="18"/>
        <v>345.23</v>
      </c>
      <c r="Y29" s="2"/>
      <c r="Z29" s="6">
        <f t="shared" si="19"/>
        <v>0.1369150779896014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7">
        <v>495.57</v>
      </c>
      <c r="E30" s="2"/>
      <c r="F30" s="6">
        <f t="shared" si="12"/>
        <v>7.5690465295439784E-3</v>
      </c>
      <c r="G30" s="2"/>
      <c r="H30" s="7">
        <v>552.71</v>
      </c>
      <c r="I30" s="2"/>
      <c r="J30" s="6">
        <f t="shared" si="13"/>
        <v>6.7395045121062588E-3</v>
      </c>
      <c r="K30" s="2"/>
      <c r="L30" s="7">
        <f t="shared" si="14"/>
        <v>-57.140000000000043</v>
      </c>
      <c r="M30" s="2"/>
      <c r="N30" s="6">
        <f t="shared" si="15"/>
        <v>-0.10338152014618886</v>
      </c>
      <c r="O30" s="11"/>
      <c r="P30" s="7">
        <v>984.41</v>
      </c>
      <c r="Q30" s="2"/>
      <c r="R30" s="6">
        <f t="shared" si="16"/>
        <v>8.7361089159143854E-3</v>
      </c>
      <c r="S30" s="2"/>
      <c r="T30" s="7">
        <v>1102.3399999999999</v>
      </c>
      <c r="U30" s="2"/>
      <c r="V30" s="6">
        <f t="shared" si="17"/>
        <v>6.1104481490498351E-3</v>
      </c>
      <c r="W30" s="2"/>
      <c r="X30" s="7">
        <f t="shared" si="18"/>
        <v>-117.92999999999995</v>
      </c>
      <c r="Y30" s="2"/>
      <c r="Z30" s="6">
        <f t="shared" si="19"/>
        <v>-0.10698151205617137</v>
      </c>
    </row>
    <row r="31" spans="1:26" s="27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34618.85</v>
      </c>
      <c r="E31" s="1"/>
      <c r="F31" s="5">
        <f t="shared" ref="F31:F37" si="20">IF(D$12=0,0,D31/D$12)</f>
        <v>0.52874808089533987</v>
      </c>
      <c r="G31" s="1"/>
      <c r="H31" s="1">
        <f>SUM(OSRRefH22_1x_0)</f>
        <v>36627.22</v>
      </c>
      <c r="I31" s="1"/>
      <c r="J31" s="5">
        <f t="shared" ref="J31:J37" si="21">IF(H$12=0,0,H31/H$12)</f>
        <v>0.44661633488793145</v>
      </c>
      <c r="K31" s="1"/>
      <c r="L31" s="1">
        <f t="shared" ref="L31:L37" si="22">+D31-H31</f>
        <v>-2008.3700000000026</v>
      </c>
      <c r="M31" s="1"/>
      <c r="N31" s="5">
        <f t="shared" ref="N31:N37" si="23">IF(H31=0,0,L31/H31)</f>
        <v>-5.4832717306964672E-2</v>
      </c>
      <c r="O31" s="14"/>
      <c r="P31" s="1">
        <f>SUM(OSRRefP22_1x_0)</f>
        <v>69455.839999999997</v>
      </c>
      <c r="Q31" s="1"/>
      <c r="R31" s="5">
        <f t="shared" ref="R31:R37" si="24">IF(P$12=0,0,P31/P$12)</f>
        <v>0.61638319712957301</v>
      </c>
      <c r="S31" s="1"/>
      <c r="T31" s="1">
        <f>SUM(OSRRefT22_1x_0)</f>
        <v>75137.2</v>
      </c>
      <c r="U31" s="1"/>
      <c r="V31" s="5">
        <f t="shared" ref="V31:V37" si="25">IF(T$12=0,0,T31/T$12)</f>
        <v>0.41649760025471927</v>
      </c>
      <c r="W31" s="1"/>
      <c r="X31" s="1">
        <f t="shared" ref="X31:X37" si="26">+P31-T31</f>
        <v>-5681.3600000000006</v>
      </c>
      <c r="Y31" s="1"/>
      <c r="Z31" s="5">
        <f t="shared" ref="Z31:Z37" si="27">IF(T31=0,0,X31/T31)</f>
        <v>-7.5613145020043349E-2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14470.02</v>
      </c>
      <c r="E32" s="2"/>
      <c r="F32" s="6">
        <f t="shared" si="20"/>
        <v>0.22100662805139934</v>
      </c>
      <c r="G32" s="2"/>
      <c r="H32" s="7">
        <v>12291.72</v>
      </c>
      <c r="I32" s="2"/>
      <c r="J32" s="6">
        <f t="shared" si="21"/>
        <v>0.14987986901186287</v>
      </c>
      <c r="K32" s="2"/>
      <c r="L32" s="7">
        <f t="shared" si="22"/>
        <v>2178.3000000000011</v>
      </c>
      <c r="M32" s="2"/>
      <c r="N32" s="6">
        <f t="shared" si="23"/>
        <v>0.17721685817770022</v>
      </c>
      <c r="O32" s="11"/>
      <c r="P32" s="7">
        <v>30270.92</v>
      </c>
      <c r="Q32" s="2"/>
      <c r="R32" s="6">
        <f t="shared" si="24"/>
        <v>0.26863812243367202</v>
      </c>
      <c r="S32" s="2"/>
      <c r="T32" s="7">
        <v>26323.9</v>
      </c>
      <c r="U32" s="2"/>
      <c r="V32" s="6">
        <f t="shared" si="25"/>
        <v>0.14591761709705986</v>
      </c>
      <c r="W32" s="2"/>
      <c r="X32" s="7">
        <f t="shared" si="26"/>
        <v>3947.0199999999968</v>
      </c>
      <c r="Y32" s="2"/>
      <c r="Z32" s="6">
        <f t="shared" si="27"/>
        <v>0.14994054832300671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>
        <v>6301.86</v>
      </c>
      <c r="E33" s="2"/>
      <c r="F33" s="6">
        <f t="shared" si="20"/>
        <v>9.6250926332651324E-2</v>
      </c>
      <c r="G33" s="2"/>
      <c r="H33" s="7">
        <v>7551.32</v>
      </c>
      <c r="I33" s="2"/>
      <c r="J33" s="6">
        <f t="shared" si="21"/>
        <v>9.2077500338981072E-2</v>
      </c>
      <c r="K33" s="2"/>
      <c r="L33" s="7">
        <f t="shared" si="22"/>
        <v>-1249.46</v>
      </c>
      <c r="M33" s="2"/>
      <c r="N33" s="6">
        <f t="shared" si="23"/>
        <v>-0.16546246219204061</v>
      </c>
      <c r="O33" s="11"/>
      <c r="P33" s="7">
        <v>10702.51</v>
      </c>
      <c r="Q33" s="2"/>
      <c r="R33" s="6">
        <f t="shared" si="24"/>
        <v>9.497901589140996E-2</v>
      </c>
      <c r="S33" s="2"/>
      <c r="T33" s="7">
        <v>12302.2</v>
      </c>
      <c r="U33" s="2"/>
      <c r="V33" s="6">
        <f t="shared" si="25"/>
        <v>6.8193075837981829E-2</v>
      </c>
      <c r="W33" s="2"/>
      <c r="X33" s="7">
        <f t="shared" si="26"/>
        <v>-1599.6900000000005</v>
      </c>
      <c r="Y33" s="2"/>
      <c r="Z33" s="6">
        <f t="shared" si="27"/>
        <v>-0.13003283965469595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7483.58</v>
      </c>
      <c r="E34" s="2"/>
      <c r="F34" s="6">
        <f t="shared" si="20"/>
        <v>0.11429982692165533</v>
      </c>
      <c r="G34" s="2"/>
      <c r="H34" s="7">
        <v>13391.77</v>
      </c>
      <c r="I34" s="2"/>
      <c r="J34" s="6">
        <f t="shared" si="21"/>
        <v>0.16329339859978872</v>
      </c>
      <c r="K34" s="2"/>
      <c r="L34" s="7">
        <f t="shared" si="22"/>
        <v>-5908.1900000000005</v>
      </c>
      <c r="M34" s="2"/>
      <c r="N34" s="6">
        <f t="shared" si="23"/>
        <v>-0.44118066543854922</v>
      </c>
      <c r="O34" s="11"/>
      <c r="P34" s="7">
        <v>13678.83</v>
      </c>
      <c r="Q34" s="2"/>
      <c r="R34" s="6">
        <f t="shared" si="24"/>
        <v>0.12139225396153755</v>
      </c>
      <c r="S34" s="2"/>
      <c r="T34" s="7">
        <v>21688.17</v>
      </c>
      <c r="U34" s="2"/>
      <c r="V34" s="6">
        <f t="shared" si="25"/>
        <v>0.12022101913454847</v>
      </c>
      <c r="W34" s="2"/>
      <c r="X34" s="7">
        <f t="shared" si="26"/>
        <v>-8009.3399999999983</v>
      </c>
      <c r="Y34" s="2"/>
      <c r="Z34" s="6">
        <f t="shared" si="27"/>
        <v>-0.36929533473778559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0"/>
        <v>0</v>
      </c>
      <c r="G35" s="2"/>
      <c r="H35" s="7"/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>
        <v>329.88</v>
      </c>
      <c r="Q35" s="2"/>
      <c r="R35" s="6">
        <f t="shared" si="24"/>
        <v>2.9275074503325215E-3</v>
      </c>
      <c r="S35" s="2"/>
      <c r="T35" s="7"/>
      <c r="U35" s="2"/>
      <c r="V35" s="6">
        <f t="shared" si="25"/>
        <v>0</v>
      </c>
      <c r="W35" s="2"/>
      <c r="X35" s="7">
        <f t="shared" si="26"/>
        <v>329.88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4762.6499999999996</v>
      </c>
      <c r="E36" s="2"/>
      <c r="F36" s="6">
        <f t="shared" si="20"/>
        <v>7.2741932429187861E-2</v>
      </c>
      <c r="G36" s="2"/>
      <c r="H36" s="7">
        <v>500.68</v>
      </c>
      <c r="I36" s="2"/>
      <c r="J36" s="6">
        <f t="shared" si="21"/>
        <v>6.1050734003751722E-3</v>
      </c>
      <c r="K36" s="2"/>
      <c r="L36" s="7">
        <f t="shared" si="22"/>
        <v>4261.9699999999993</v>
      </c>
      <c r="M36" s="2"/>
      <c r="N36" s="6">
        <f t="shared" si="23"/>
        <v>8.5123631860669473</v>
      </c>
      <c r="O36" s="11"/>
      <c r="P36" s="7">
        <v>12187.54</v>
      </c>
      <c r="Q36" s="2"/>
      <c r="R36" s="6">
        <f t="shared" si="24"/>
        <v>0.10815785786111805</v>
      </c>
      <c r="S36" s="2"/>
      <c r="T36" s="7">
        <v>10571.06</v>
      </c>
      <c r="U36" s="2"/>
      <c r="V36" s="6">
        <f t="shared" si="25"/>
        <v>5.8597088022293256E-2</v>
      </c>
      <c r="W36" s="2"/>
      <c r="X36" s="7">
        <f t="shared" si="26"/>
        <v>1616.4800000000014</v>
      </c>
      <c r="Y36" s="2"/>
      <c r="Z36" s="6">
        <f t="shared" si="27"/>
        <v>0.15291560165205773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>
        <v>1600.74</v>
      </c>
      <c r="E37" s="2"/>
      <c r="F37" s="6">
        <f t="shared" si="20"/>
        <v>2.444876716044601E-2</v>
      </c>
      <c r="G37" s="2"/>
      <c r="H37" s="7">
        <v>2891.73</v>
      </c>
      <c r="I37" s="2"/>
      <c r="J37" s="6">
        <f t="shared" si="21"/>
        <v>3.5260493536923579E-2</v>
      </c>
      <c r="K37" s="2"/>
      <c r="L37" s="7">
        <f t="shared" si="22"/>
        <v>-1290.99</v>
      </c>
      <c r="M37" s="2"/>
      <c r="N37" s="6">
        <f t="shared" si="23"/>
        <v>-0.44644209521635836</v>
      </c>
      <c r="O37" s="11"/>
      <c r="P37" s="7">
        <v>2286.16</v>
      </c>
      <c r="Q37" s="2"/>
      <c r="R37" s="6">
        <f t="shared" si="24"/>
        <v>2.0288439531502962E-2</v>
      </c>
      <c r="S37" s="2"/>
      <c r="T37" s="7">
        <v>4251.87</v>
      </c>
      <c r="U37" s="2"/>
      <c r="V37" s="6">
        <f t="shared" si="25"/>
        <v>2.3568800162835898E-2</v>
      </c>
      <c r="W37" s="2"/>
      <c r="X37" s="7">
        <f t="shared" si="26"/>
        <v>-1965.71</v>
      </c>
      <c r="Y37" s="2"/>
      <c r="Z37" s="6">
        <f t="shared" si="27"/>
        <v>-0.46231658070449005</v>
      </c>
    </row>
    <row r="38" spans="1:26" s="27" customFormat="1" outlineLevel="1" collapsed="1" x14ac:dyDescent="0.25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2" si="28">IF(D$12=0,0,D38/D$12)</f>
        <v>0</v>
      </c>
      <c r="G38" s="1"/>
      <c r="H38" s="1">
        <f>SUM(OSRRefH22_2x_0)</f>
        <v>117.49</v>
      </c>
      <c r="I38" s="1"/>
      <c r="J38" s="5">
        <f t="shared" ref="J38:J52" si="29">IF(H$12=0,0,H38/H$12)</f>
        <v>1.4326217819966424E-3</v>
      </c>
      <c r="K38" s="1"/>
      <c r="L38" s="1">
        <f t="shared" ref="L38:L52" si="30">+D38-H38</f>
        <v>-117.49</v>
      </c>
      <c r="M38" s="1"/>
      <c r="N38" s="5">
        <f t="shared" ref="N38:N52" si="31">IF(H38=0,0,L38/H38)</f>
        <v>-1</v>
      </c>
      <c r="O38" s="14"/>
      <c r="P38" s="1">
        <f>SUM(OSRRefP22_2x_0)</f>
        <v>12.52</v>
      </c>
      <c r="Q38" s="1"/>
      <c r="R38" s="5">
        <f t="shared" ref="R38:R52" si="32">IF(P$12=0,0,P38/P$12)</f>
        <v>1.1110826142283003E-4</v>
      </c>
      <c r="S38" s="1"/>
      <c r="T38" s="1">
        <f>SUM(OSRRefT22_2x_0)</f>
        <v>509.99</v>
      </c>
      <c r="U38" s="1"/>
      <c r="V38" s="5">
        <f t="shared" ref="V38:V52" si="33">IF(T$12=0,0,T38/T$12)</f>
        <v>2.8269567025907849E-3</v>
      </c>
      <c r="W38" s="1"/>
      <c r="X38" s="1">
        <f t="shared" ref="X38:X52" si="34">+P38-T38</f>
        <v>-497.47</v>
      </c>
      <c r="Y38" s="1"/>
      <c r="Z38" s="5">
        <f t="shared" ref="Z38:Z52" si="35">IF(T38=0,0,X38/T38)</f>
        <v>-0.97545049902939274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28"/>
        <v>0</v>
      </c>
      <c r="G39" s="2"/>
      <c r="H39" s="7">
        <v>117.49</v>
      </c>
      <c r="I39" s="2"/>
      <c r="J39" s="6">
        <f t="shared" si="29"/>
        <v>1.4326217819966424E-3</v>
      </c>
      <c r="K39" s="2"/>
      <c r="L39" s="7">
        <f t="shared" si="30"/>
        <v>-117.49</v>
      </c>
      <c r="M39" s="2"/>
      <c r="N39" s="6">
        <f t="shared" si="31"/>
        <v>-1</v>
      </c>
      <c r="O39" s="11"/>
      <c r="P39" s="7">
        <v>12.52</v>
      </c>
      <c r="Q39" s="2"/>
      <c r="R39" s="6">
        <f t="shared" si="32"/>
        <v>1.1110826142283003E-4</v>
      </c>
      <c r="S39" s="2"/>
      <c r="T39" s="7">
        <v>509.99</v>
      </c>
      <c r="U39" s="2"/>
      <c r="V39" s="6">
        <f t="shared" si="33"/>
        <v>2.8269567025907849E-3</v>
      </c>
      <c r="W39" s="2"/>
      <c r="X39" s="7">
        <f t="shared" si="34"/>
        <v>-497.47</v>
      </c>
      <c r="Y39" s="2"/>
      <c r="Z39" s="6">
        <f t="shared" si="35"/>
        <v>-0.97545049902939274</v>
      </c>
    </row>
    <row r="40" spans="1:26" s="27" customFormat="1" outlineLevel="1" collapsed="1" x14ac:dyDescent="0.25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0.24</v>
      </c>
      <c r="E40" s="1"/>
      <c r="F40" s="5">
        <f t="shared" si="28"/>
        <v>3.6656197249441144E-6</v>
      </c>
      <c r="G40" s="1"/>
      <c r="H40" s="1">
        <f>SUM(OSRRefH22_3x_0)</f>
        <v>-0.64</v>
      </c>
      <c r="I40" s="1"/>
      <c r="J40" s="5">
        <f t="shared" si="29"/>
        <v>-7.803880674762543E-6</v>
      </c>
      <c r="K40" s="1"/>
      <c r="L40" s="1">
        <f t="shared" si="30"/>
        <v>0.88</v>
      </c>
      <c r="M40" s="1"/>
      <c r="N40" s="5">
        <f t="shared" si="31"/>
        <v>-1.375</v>
      </c>
      <c r="O40" s="14"/>
      <c r="P40" s="1">
        <f>SUM(OSRRefP22_3x_0)</f>
        <v>0.73</v>
      </c>
      <c r="Q40" s="1"/>
      <c r="R40" s="5">
        <f t="shared" si="32"/>
        <v>6.4783570957400895E-6</v>
      </c>
      <c r="S40" s="1"/>
      <c r="T40" s="1">
        <f>SUM(OSRRefT22_3x_0)</f>
        <v>-4.5999999999999996</v>
      </c>
      <c r="U40" s="1"/>
      <c r="V40" s="5">
        <f t="shared" si="33"/>
        <v>-2.5498540818285865E-5</v>
      </c>
      <c r="W40" s="1"/>
      <c r="X40" s="1">
        <f t="shared" si="34"/>
        <v>5.33</v>
      </c>
      <c r="Y40" s="1"/>
      <c r="Z40" s="5">
        <f t="shared" si="35"/>
        <v>-1.1586956521739131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>
        <v>0.24</v>
      </c>
      <c r="E41" s="2"/>
      <c r="F41" s="6">
        <f t="shared" si="28"/>
        <v>3.6656197249441144E-6</v>
      </c>
      <c r="G41" s="2"/>
      <c r="H41" s="7">
        <v>-0.64</v>
      </c>
      <c r="I41" s="2"/>
      <c r="J41" s="6">
        <f t="shared" si="29"/>
        <v>-7.803880674762543E-6</v>
      </c>
      <c r="K41" s="2"/>
      <c r="L41" s="7">
        <f t="shared" si="30"/>
        <v>0.88</v>
      </c>
      <c r="M41" s="2"/>
      <c r="N41" s="6">
        <f t="shared" si="31"/>
        <v>-1.375</v>
      </c>
      <c r="O41" s="11"/>
      <c r="P41" s="7">
        <v>0.73</v>
      </c>
      <c r="Q41" s="2"/>
      <c r="R41" s="6">
        <f t="shared" si="32"/>
        <v>6.4783570957400895E-6</v>
      </c>
      <c r="S41" s="2"/>
      <c r="T41" s="7">
        <v>-4.5999999999999996</v>
      </c>
      <c r="U41" s="2"/>
      <c r="V41" s="6">
        <f t="shared" si="33"/>
        <v>-2.5498540818285865E-5</v>
      </c>
      <c r="W41" s="2"/>
      <c r="X41" s="7">
        <f t="shared" si="34"/>
        <v>5.33</v>
      </c>
      <c r="Y41" s="2"/>
      <c r="Z41" s="6">
        <f t="shared" si="35"/>
        <v>-1.1586956521739131</v>
      </c>
    </row>
    <row r="42" spans="1:26" s="27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445.95</v>
      </c>
      <c r="E42" s="1"/>
      <c r="F42" s="5">
        <f t="shared" si="28"/>
        <v>6.8111796514117827E-3</v>
      </c>
      <c r="G42" s="1"/>
      <c r="H42" s="1">
        <f>SUM(OSRRefH22_4x_0)</f>
        <v>451.98</v>
      </c>
      <c r="I42" s="1"/>
      <c r="J42" s="5">
        <f t="shared" si="29"/>
        <v>5.5112468552799597E-3</v>
      </c>
      <c r="K42" s="1"/>
      <c r="L42" s="1">
        <f t="shared" si="30"/>
        <v>-6.0300000000000296</v>
      </c>
      <c r="M42" s="1"/>
      <c r="N42" s="5">
        <f t="shared" si="31"/>
        <v>-1.3341298287534912E-2</v>
      </c>
      <c r="O42" s="14"/>
      <c r="P42" s="1">
        <f>SUM(OSRRefP22_4x_0)</f>
        <v>975.7</v>
      </c>
      <c r="Q42" s="1"/>
      <c r="R42" s="5">
        <f t="shared" si="32"/>
        <v>8.658812353854255E-3</v>
      </c>
      <c r="S42" s="1"/>
      <c r="T42" s="1">
        <f>SUM(OSRRefT22_4x_0)</f>
        <v>1264.29</v>
      </c>
      <c r="U42" s="1"/>
      <c r="V42" s="5">
        <f t="shared" si="33"/>
        <v>7.008163080684921E-3</v>
      </c>
      <c r="W42" s="1"/>
      <c r="X42" s="1">
        <f t="shared" si="34"/>
        <v>-288.58999999999992</v>
      </c>
      <c r="Y42" s="1"/>
      <c r="Z42" s="5">
        <f t="shared" si="35"/>
        <v>-0.22826250306496129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445.95</v>
      </c>
      <c r="E43" s="2"/>
      <c r="F43" s="6">
        <f t="shared" si="28"/>
        <v>6.8111796514117827E-3</v>
      </c>
      <c r="G43" s="2"/>
      <c r="H43" s="7">
        <v>451.98</v>
      </c>
      <c r="I43" s="2"/>
      <c r="J43" s="6">
        <f t="shared" si="29"/>
        <v>5.5112468552799597E-3</v>
      </c>
      <c r="K43" s="2"/>
      <c r="L43" s="7">
        <f t="shared" si="30"/>
        <v>-6.0300000000000296</v>
      </c>
      <c r="M43" s="2"/>
      <c r="N43" s="6">
        <f t="shared" si="31"/>
        <v>-1.3341298287534912E-2</v>
      </c>
      <c r="O43" s="11"/>
      <c r="P43" s="7">
        <v>975.7</v>
      </c>
      <c r="Q43" s="2"/>
      <c r="R43" s="6">
        <f t="shared" si="32"/>
        <v>8.658812353854255E-3</v>
      </c>
      <c r="S43" s="2"/>
      <c r="T43" s="7">
        <v>1264.29</v>
      </c>
      <c r="U43" s="2"/>
      <c r="V43" s="6">
        <f t="shared" si="33"/>
        <v>7.008163080684921E-3</v>
      </c>
      <c r="W43" s="2"/>
      <c r="X43" s="7">
        <f t="shared" si="34"/>
        <v>-288.58999999999992</v>
      </c>
      <c r="Y43" s="2"/>
      <c r="Z43" s="6">
        <f t="shared" si="35"/>
        <v>-0.22826250306496129</v>
      </c>
    </row>
    <row r="44" spans="1:26" s="27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297.99</v>
      </c>
      <c r="E44" s="1"/>
      <c r="F44" s="5">
        <f t="shared" si="28"/>
        <v>4.5513250909837363E-3</v>
      </c>
      <c r="G44" s="1"/>
      <c r="H44" s="1">
        <f>SUM(OSRRefH22_5x_0)</f>
        <v>696.82</v>
      </c>
      <c r="I44" s="1"/>
      <c r="J44" s="5">
        <f t="shared" si="29"/>
        <v>8.4967189559188062E-3</v>
      </c>
      <c r="K44" s="1"/>
      <c r="L44" s="1">
        <f t="shared" si="30"/>
        <v>-398.83000000000004</v>
      </c>
      <c r="M44" s="1"/>
      <c r="N44" s="5">
        <f t="shared" si="31"/>
        <v>-0.57235728021583765</v>
      </c>
      <c r="O44" s="14"/>
      <c r="P44" s="1">
        <f>SUM(OSRRefP22_5x_0)</f>
        <v>595.98</v>
      </c>
      <c r="Q44" s="1"/>
      <c r="R44" s="5">
        <f t="shared" si="32"/>
        <v>5.2890017286564093E-3</v>
      </c>
      <c r="S44" s="1"/>
      <c r="T44" s="1">
        <f>SUM(OSRRefT22_5x_0)</f>
        <v>1393.64</v>
      </c>
      <c r="U44" s="1"/>
      <c r="V44" s="5">
        <f t="shared" si="33"/>
        <v>7.7251709621730252E-3</v>
      </c>
      <c r="W44" s="1"/>
      <c r="X44" s="1">
        <f t="shared" si="34"/>
        <v>-797.66000000000008</v>
      </c>
      <c r="Y44" s="1"/>
      <c r="Z44" s="5">
        <f t="shared" si="35"/>
        <v>-0.57235728021583765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297.99</v>
      </c>
      <c r="E45" s="2"/>
      <c r="F45" s="6">
        <f t="shared" si="28"/>
        <v>4.5513250909837363E-3</v>
      </c>
      <c r="G45" s="2"/>
      <c r="H45" s="7">
        <v>696.82</v>
      </c>
      <c r="I45" s="2"/>
      <c r="J45" s="6">
        <f t="shared" si="29"/>
        <v>8.4967189559188062E-3</v>
      </c>
      <c r="K45" s="2"/>
      <c r="L45" s="7">
        <f t="shared" si="30"/>
        <v>-398.83000000000004</v>
      </c>
      <c r="M45" s="2"/>
      <c r="N45" s="6">
        <f t="shared" si="31"/>
        <v>-0.57235728021583765</v>
      </c>
      <c r="O45" s="11"/>
      <c r="P45" s="7">
        <v>595.98</v>
      </c>
      <c r="Q45" s="2"/>
      <c r="R45" s="6">
        <f t="shared" si="32"/>
        <v>5.2890017286564093E-3</v>
      </c>
      <c r="S45" s="2"/>
      <c r="T45" s="7">
        <v>1393.64</v>
      </c>
      <c r="U45" s="2"/>
      <c r="V45" s="6">
        <f t="shared" si="33"/>
        <v>7.7251709621730252E-3</v>
      </c>
      <c r="W45" s="2"/>
      <c r="X45" s="7">
        <f t="shared" si="34"/>
        <v>-797.66000000000008</v>
      </c>
      <c r="Y45" s="2"/>
      <c r="Z45" s="6">
        <f t="shared" si="35"/>
        <v>-0.57235728021583765</v>
      </c>
    </row>
    <row r="46" spans="1:26" s="27" customFormat="1" outlineLevel="1" collapsed="1" x14ac:dyDescent="0.25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24.97</v>
      </c>
      <c r="E46" s="1"/>
      <c r="F46" s="5">
        <f t="shared" si="28"/>
        <v>3.813771855493939E-4</v>
      </c>
      <c r="G46" s="1"/>
      <c r="H46" s="1">
        <f>SUM(OSRRefH22_6x_0)</f>
        <v>116.48</v>
      </c>
      <c r="I46" s="1"/>
      <c r="J46" s="5">
        <f t="shared" si="29"/>
        <v>1.4203062828067829E-3</v>
      </c>
      <c r="K46" s="1"/>
      <c r="L46" s="1">
        <f t="shared" si="30"/>
        <v>-91.51</v>
      </c>
      <c r="M46" s="1"/>
      <c r="N46" s="5">
        <f t="shared" si="31"/>
        <v>-0.78562843406593408</v>
      </c>
      <c r="O46" s="14"/>
      <c r="P46" s="1">
        <f>SUM(OSRRefP22_6x_0)</f>
        <v>24.97</v>
      </c>
      <c r="Q46" s="1"/>
      <c r="R46" s="5">
        <f t="shared" si="32"/>
        <v>2.2159531052141102E-4</v>
      </c>
      <c r="S46" s="1"/>
      <c r="T46" s="1">
        <f>SUM(OSRRefT22_6x_0)</f>
        <v>116.48</v>
      </c>
      <c r="U46" s="1"/>
      <c r="V46" s="5">
        <f t="shared" si="33"/>
        <v>6.456673988073778E-4</v>
      </c>
      <c r="W46" s="1"/>
      <c r="X46" s="1">
        <f t="shared" si="34"/>
        <v>-91.51</v>
      </c>
      <c r="Y46" s="1"/>
      <c r="Z46" s="5">
        <f t="shared" si="35"/>
        <v>-0.78562843406593408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7">
        <v>24.97</v>
      </c>
      <c r="E47" s="2"/>
      <c r="F47" s="6">
        <f t="shared" si="28"/>
        <v>3.813771855493939E-4</v>
      </c>
      <c r="G47" s="2"/>
      <c r="H47" s="7">
        <v>116.48</v>
      </c>
      <c r="I47" s="2"/>
      <c r="J47" s="6">
        <f t="shared" si="29"/>
        <v>1.4203062828067829E-3</v>
      </c>
      <c r="K47" s="2"/>
      <c r="L47" s="7">
        <f t="shared" si="30"/>
        <v>-91.51</v>
      </c>
      <c r="M47" s="2"/>
      <c r="N47" s="6">
        <f t="shared" si="31"/>
        <v>-0.78562843406593408</v>
      </c>
      <c r="O47" s="11"/>
      <c r="P47" s="7">
        <v>24.97</v>
      </c>
      <c r="Q47" s="2"/>
      <c r="R47" s="6">
        <f t="shared" si="32"/>
        <v>2.2159531052141102E-4</v>
      </c>
      <c r="S47" s="2"/>
      <c r="T47" s="7">
        <v>116.48</v>
      </c>
      <c r="U47" s="2"/>
      <c r="V47" s="6">
        <f t="shared" si="33"/>
        <v>6.456673988073778E-4</v>
      </c>
      <c r="W47" s="2"/>
      <c r="X47" s="7">
        <f t="shared" si="34"/>
        <v>-91.51</v>
      </c>
      <c r="Y47" s="2"/>
      <c r="Z47" s="6">
        <f t="shared" si="35"/>
        <v>-0.78562843406593408</v>
      </c>
    </row>
    <row r="48" spans="1:26" s="27" customFormat="1" outlineLevel="1" collapsed="1" x14ac:dyDescent="0.25">
      <c r="A48" s="28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108.98</v>
      </c>
      <c r="E48" s="1"/>
      <c r="F48" s="5">
        <f t="shared" si="28"/>
        <v>1.6644968234350401E-3</v>
      </c>
      <c r="G48" s="1"/>
      <c r="H48" s="1">
        <f>SUM(OSRRefH22_7x_0)</f>
        <v>25</v>
      </c>
      <c r="I48" s="1"/>
      <c r="J48" s="5">
        <f t="shared" si="29"/>
        <v>3.0483908885791186E-4</v>
      </c>
      <c r="K48" s="1"/>
      <c r="L48" s="1">
        <f t="shared" si="30"/>
        <v>83.98</v>
      </c>
      <c r="M48" s="1"/>
      <c r="N48" s="5">
        <f t="shared" si="31"/>
        <v>3.3592</v>
      </c>
      <c r="O48" s="14"/>
      <c r="P48" s="1">
        <f>SUM(OSRRefP22_7x_0)</f>
        <v>1903.53</v>
      </c>
      <c r="Q48" s="1"/>
      <c r="R48" s="5">
        <f t="shared" si="32"/>
        <v>1.6892804222539907E-2</v>
      </c>
      <c r="S48" s="1"/>
      <c r="T48" s="1">
        <f>SUM(OSRRefT22_7x_0)</f>
        <v>1334.2</v>
      </c>
      <c r="U48" s="1"/>
      <c r="V48" s="5">
        <f t="shared" si="33"/>
        <v>7.3956854695123924E-3</v>
      </c>
      <c r="W48" s="1"/>
      <c r="X48" s="1">
        <f t="shared" si="34"/>
        <v>569.32999999999993</v>
      </c>
      <c r="Y48" s="1"/>
      <c r="Z48" s="5">
        <f t="shared" si="35"/>
        <v>0.42672013191425567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>
        <v>108.98</v>
      </c>
      <c r="E49" s="2"/>
      <c r="F49" s="6">
        <f t="shared" si="28"/>
        <v>1.6644968234350401E-3</v>
      </c>
      <c r="G49" s="2"/>
      <c r="H49" s="7">
        <v>25</v>
      </c>
      <c r="I49" s="2"/>
      <c r="J49" s="6">
        <f t="shared" si="29"/>
        <v>3.0483908885791186E-4</v>
      </c>
      <c r="K49" s="2"/>
      <c r="L49" s="7">
        <f t="shared" si="30"/>
        <v>83.98</v>
      </c>
      <c r="M49" s="2"/>
      <c r="N49" s="6">
        <f t="shared" si="31"/>
        <v>3.3592</v>
      </c>
      <c r="O49" s="11"/>
      <c r="P49" s="7">
        <v>1903.53</v>
      </c>
      <c r="Q49" s="2"/>
      <c r="R49" s="6">
        <f t="shared" si="32"/>
        <v>1.6892804222539907E-2</v>
      </c>
      <c r="S49" s="2"/>
      <c r="T49" s="7">
        <v>1334.2</v>
      </c>
      <c r="U49" s="2"/>
      <c r="V49" s="6">
        <f t="shared" si="33"/>
        <v>7.3956854695123924E-3</v>
      </c>
      <c r="W49" s="2"/>
      <c r="X49" s="7">
        <f t="shared" si="34"/>
        <v>569.32999999999993</v>
      </c>
      <c r="Y49" s="2"/>
      <c r="Z49" s="6">
        <f t="shared" si="35"/>
        <v>0.42672013191425567</v>
      </c>
    </row>
    <row r="50" spans="1:26" s="27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542.1400000000001</v>
      </c>
      <c r="E50" s="1"/>
      <c r="F50" s="5">
        <f t="shared" si="28"/>
        <v>8.280329490338344E-3</v>
      </c>
      <c r="G50" s="1"/>
      <c r="H50" s="1">
        <f>SUM(OSRRefH22_8x_0)</f>
        <v>198</v>
      </c>
      <c r="I50" s="1"/>
      <c r="J50" s="5">
        <f t="shared" si="29"/>
        <v>2.4143255837546615E-3</v>
      </c>
      <c r="K50" s="1"/>
      <c r="L50" s="1">
        <f t="shared" si="30"/>
        <v>344.1400000000001</v>
      </c>
      <c r="M50" s="1"/>
      <c r="N50" s="5">
        <f t="shared" si="31"/>
        <v>1.7380808080808086</v>
      </c>
      <c r="O50" s="14"/>
      <c r="P50" s="1">
        <f>SUM(OSRRefP22_8x_0)</f>
        <v>808.01</v>
      </c>
      <c r="Q50" s="1"/>
      <c r="R50" s="5">
        <f t="shared" si="32"/>
        <v>7.1706538588067808E-3</v>
      </c>
      <c r="S50" s="1"/>
      <c r="T50" s="1">
        <f>SUM(OSRRefT22_8x_0)</f>
        <v>7629.82</v>
      </c>
      <c r="U50" s="1"/>
      <c r="V50" s="5">
        <f t="shared" si="33"/>
        <v>4.2293321023081275E-2</v>
      </c>
      <c r="W50" s="1"/>
      <c r="X50" s="1">
        <f t="shared" si="34"/>
        <v>-6821.8099999999995</v>
      </c>
      <c r="Y50" s="1"/>
      <c r="Z50" s="5">
        <f t="shared" si="35"/>
        <v>-0.89409841909769816</v>
      </c>
    </row>
    <row r="51" spans="1:26" s="24" customFormat="1" hidden="1" outlineLevel="2" x14ac:dyDescent="0.25">
      <c r="A51" s="29"/>
      <c r="B51" s="11" t="str">
        <f>CONCATENATE("          ", "6373", " - ", "MAINTENANCE CONTRACTS")</f>
        <v xml:space="preserve">          6373 - MAINTENANCE CONTRACTS</v>
      </c>
      <c r="C51" s="11"/>
      <c r="D51" s="7">
        <v>18.45</v>
      </c>
      <c r="E51" s="2"/>
      <c r="F51" s="6">
        <f t="shared" si="28"/>
        <v>2.8179451635507879E-4</v>
      </c>
      <c r="G51" s="2"/>
      <c r="H51" s="7"/>
      <c r="I51" s="2"/>
      <c r="J51" s="6">
        <f t="shared" si="29"/>
        <v>0</v>
      </c>
      <c r="K51" s="2"/>
      <c r="L51" s="7">
        <f t="shared" si="30"/>
        <v>18.45</v>
      </c>
      <c r="M51" s="2"/>
      <c r="N51" s="6">
        <f t="shared" si="31"/>
        <v>0</v>
      </c>
      <c r="O51" s="11"/>
      <c r="P51" s="7">
        <v>18.45</v>
      </c>
      <c r="Q51" s="2"/>
      <c r="R51" s="6">
        <f t="shared" si="32"/>
        <v>1.6373381974849952E-4</v>
      </c>
      <c r="S51" s="2"/>
      <c r="T51" s="7"/>
      <c r="U51" s="2"/>
      <c r="V51" s="6">
        <f t="shared" si="33"/>
        <v>0</v>
      </c>
      <c r="W51" s="2"/>
      <c r="X51" s="7">
        <f t="shared" si="34"/>
        <v>18.45</v>
      </c>
      <c r="Y51" s="2"/>
      <c r="Z51" s="6">
        <f t="shared" si="35"/>
        <v>0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7">
        <v>523.69000000000005</v>
      </c>
      <c r="E52" s="2"/>
      <c r="F52" s="6">
        <f t="shared" si="28"/>
        <v>7.9985349739832654E-3</v>
      </c>
      <c r="G52" s="2"/>
      <c r="H52" s="7">
        <v>198</v>
      </c>
      <c r="I52" s="2"/>
      <c r="J52" s="6">
        <f t="shared" si="29"/>
        <v>2.4143255837546615E-3</v>
      </c>
      <c r="K52" s="2"/>
      <c r="L52" s="7">
        <f t="shared" si="30"/>
        <v>325.69000000000005</v>
      </c>
      <c r="M52" s="2"/>
      <c r="N52" s="6">
        <f t="shared" si="31"/>
        <v>1.6448989898989901</v>
      </c>
      <c r="O52" s="11"/>
      <c r="P52" s="7">
        <v>789.56</v>
      </c>
      <c r="Q52" s="2"/>
      <c r="R52" s="6">
        <f t="shared" si="32"/>
        <v>7.0069200390582807E-3</v>
      </c>
      <c r="S52" s="2"/>
      <c r="T52" s="7">
        <v>7629.82</v>
      </c>
      <c r="U52" s="2"/>
      <c r="V52" s="6">
        <f t="shared" si="33"/>
        <v>4.2293321023081275E-2</v>
      </c>
      <c r="W52" s="2"/>
      <c r="X52" s="7">
        <f t="shared" si="34"/>
        <v>-6840.26</v>
      </c>
      <c r="Y52" s="2"/>
      <c r="Z52" s="6">
        <f t="shared" si="35"/>
        <v>-0.89651656264499036</v>
      </c>
    </row>
    <row r="53" spans="1:26" s="27" customFormat="1" outlineLevel="1" collapsed="1" x14ac:dyDescent="0.25">
      <c r="A53" s="28"/>
      <c r="B53" s="14" t="str">
        <f>CONCATENATE("     ","Royalty &amp; Commissions                             ")</f>
        <v xml:space="preserve">     Royalty &amp; Commissions                             </v>
      </c>
      <c r="C53" s="14"/>
      <c r="D53" s="1">
        <f>SUM(OSRRefD22_9x_0)</f>
        <v>0</v>
      </c>
      <c r="E53" s="1"/>
      <c r="F53" s="5">
        <f t="shared" ref="F53:F57" si="36">IF(D$12=0,0,D53/D$12)</f>
        <v>0</v>
      </c>
      <c r="G53" s="1"/>
      <c r="H53" s="1">
        <f>SUM(OSRRefH22_9x_0)</f>
        <v>0</v>
      </c>
      <c r="I53" s="1"/>
      <c r="J53" s="5">
        <f t="shared" ref="J53:J57" si="37">IF(H$12=0,0,H53/H$12)</f>
        <v>0</v>
      </c>
      <c r="K53" s="1"/>
      <c r="L53" s="1">
        <f t="shared" ref="L53:L57" si="38">+D53-H53</f>
        <v>0</v>
      </c>
      <c r="M53" s="1"/>
      <c r="N53" s="5">
        <f t="shared" ref="N53:N57" si="39">IF(H53=0,0,L53/H53)</f>
        <v>0</v>
      </c>
      <c r="O53" s="14"/>
      <c r="P53" s="1">
        <f>SUM(OSRRefP22_9x_0)</f>
        <v>0</v>
      </c>
      <c r="Q53" s="1"/>
      <c r="R53" s="5">
        <f t="shared" ref="R53:R57" si="40">IF(P$12=0,0,P53/P$12)</f>
        <v>0</v>
      </c>
      <c r="S53" s="1"/>
      <c r="T53" s="1">
        <f>SUM(OSRRefT22_9x_0)</f>
        <v>2954.27</v>
      </c>
      <c r="U53" s="1"/>
      <c r="V53" s="5">
        <f t="shared" ref="V53:V57" si="41">IF(T$12=0,0,T53/T$12)</f>
        <v>1.6375994387660301E-2</v>
      </c>
      <c r="W53" s="1"/>
      <c r="X53" s="1">
        <f t="shared" ref="X53:X57" si="42">+P53-T53</f>
        <v>-2954.27</v>
      </c>
      <c r="Y53" s="1"/>
      <c r="Z53" s="5">
        <f t="shared" ref="Z53:Z57" si="43">IF(T53=0,0,X53/T53)</f>
        <v>-1</v>
      </c>
    </row>
    <row r="54" spans="1:26" s="24" customFormat="1" hidden="1" outlineLevel="2" x14ac:dyDescent="0.25">
      <c r="A54" s="29"/>
      <c r="B54" s="11" t="str">
        <f>CONCATENATE("          ", "6254", " - ", "ROYALTY &amp; COMMISSIONS")</f>
        <v xml:space="preserve">          6254 - ROYALTY &amp; COMMISSIONS</v>
      </c>
      <c r="C54" s="11"/>
      <c r="D54" s="7"/>
      <c r="E54" s="2"/>
      <c r="F54" s="6">
        <f t="shared" si="36"/>
        <v>0</v>
      </c>
      <c r="G54" s="2"/>
      <c r="H54" s="7"/>
      <c r="I54" s="2"/>
      <c r="J54" s="6">
        <f t="shared" si="37"/>
        <v>0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/>
      <c r="Q54" s="2"/>
      <c r="R54" s="6">
        <f t="shared" si="40"/>
        <v>0</v>
      </c>
      <c r="S54" s="2"/>
      <c r="T54" s="7">
        <v>2954.27</v>
      </c>
      <c r="U54" s="2"/>
      <c r="V54" s="6">
        <f t="shared" si="41"/>
        <v>1.6375994387660301E-2</v>
      </c>
      <c r="W54" s="2"/>
      <c r="X54" s="7">
        <f t="shared" si="42"/>
        <v>-2954.27</v>
      </c>
      <c r="Y54" s="2"/>
      <c r="Z54" s="6">
        <f t="shared" si="43"/>
        <v>-1</v>
      </c>
    </row>
    <row r="55" spans="1:26" s="27" customFormat="1" outlineLevel="1" collapsed="1" x14ac:dyDescent="0.25">
      <c r="A55" s="28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SUM(OSRRefD22_10x_0)</f>
        <v>1850.3700000000001</v>
      </c>
      <c r="E55" s="1"/>
      <c r="F55" s="5">
        <f t="shared" si="36"/>
        <v>2.8261469876853507E-2</v>
      </c>
      <c r="G55" s="1"/>
      <c r="H55" s="1">
        <f>SUM(OSRRefH22_10x_0)</f>
        <v>1728.96</v>
      </c>
      <c r="I55" s="1"/>
      <c r="J55" s="5">
        <f t="shared" si="37"/>
        <v>2.1082183642871011E-2</v>
      </c>
      <c r="K55" s="1"/>
      <c r="L55" s="1">
        <f t="shared" si="38"/>
        <v>121.41000000000008</v>
      </c>
      <c r="M55" s="1"/>
      <c r="N55" s="5">
        <f t="shared" si="39"/>
        <v>7.0221404775124979E-2</v>
      </c>
      <c r="O55" s="14"/>
      <c r="P55" s="1">
        <f>SUM(OSRRefP22_10x_0)</f>
        <v>4284.42</v>
      </c>
      <c r="Q55" s="1"/>
      <c r="R55" s="5">
        <f t="shared" si="40"/>
        <v>3.8021921517987334E-2</v>
      </c>
      <c r="S55" s="1"/>
      <c r="T55" s="1">
        <f>SUM(OSRRefT22_10x_0)</f>
        <v>4622.1899999999996</v>
      </c>
      <c r="U55" s="1"/>
      <c r="V55" s="5">
        <f t="shared" si="41"/>
        <v>2.5621543561928858E-2</v>
      </c>
      <c r="W55" s="1"/>
      <c r="X55" s="1">
        <f t="shared" si="42"/>
        <v>-337.76999999999953</v>
      </c>
      <c r="Y55" s="1"/>
      <c r="Z55" s="5">
        <f t="shared" si="43"/>
        <v>-7.3075749806909618E-2</v>
      </c>
    </row>
    <row r="56" spans="1:26" s="24" customFormat="1" hidden="1" outlineLevel="2" x14ac:dyDescent="0.25">
      <c r="A56" s="29"/>
      <c r="B56" s="11" t="str">
        <f>CONCATENATE("          ", "6283", " - ", "PLANT SERVICE")</f>
        <v xml:space="preserve">          6283 - PLANT SERVICE</v>
      </c>
      <c r="C56" s="11"/>
      <c r="D56" s="7">
        <v>62.95</v>
      </c>
      <c r="E56" s="2"/>
      <c r="F56" s="6">
        <f t="shared" si="36"/>
        <v>9.6146150702180013E-4</v>
      </c>
      <c r="G56" s="2"/>
      <c r="H56" s="7">
        <v>57</v>
      </c>
      <c r="I56" s="2"/>
      <c r="J56" s="6">
        <f t="shared" si="37"/>
        <v>6.9503312259603896E-4</v>
      </c>
      <c r="K56" s="2"/>
      <c r="L56" s="7">
        <f t="shared" si="38"/>
        <v>5.9500000000000028</v>
      </c>
      <c r="M56" s="2"/>
      <c r="N56" s="6">
        <f t="shared" si="39"/>
        <v>0.10438596491228075</v>
      </c>
      <c r="O56" s="11"/>
      <c r="P56" s="7">
        <v>125.9</v>
      </c>
      <c r="Q56" s="2"/>
      <c r="R56" s="6">
        <f t="shared" si="40"/>
        <v>1.1172947374707908E-3</v>
      </c>
      <c r="S56" s="2"/>
      <c r="T56" s="7">
        <v>114</v>
      </c>
      <c r="U56" s="2"/>
      <c r="V56" s="6">
        <f t="shared" si="41"/>
        <v>6.319203594096932E-4</v>
      </c>
      <c r="W56" s="2"/>
      <c r="X56" s="7">
        <f t="shared" si="42"/>
        <v>11.900000000000006</v>
      </c>
      <c r="Y56" s="2"/>
      <c r="Z56" s="6">
        <f t="shared" si="43"/>
        <v>0.10438596491228075</v>
      </c>
    </row>
    <row r="57" spans="1:26" s="24" customFormat="1" hidden="1" outlineLevel="2" x14ac:dyDescent="0.25">
      <c r="A57" s="29"/>
      <c r="B57" s="11" t="str">
        <f>CONCATENATE("          ", "6286", " - ", "LAUNDRY EXPENSE")</f>
        <v xml:space="preserve">          6286 - LAUNDRY EXPENSE</v>
      </c>
      <c r="C57" s="11"/>
      <c r="D57" s="7">
        <v>1787.42</v>
      </c>
      <c r="E57" s="2"/>
      <c r="F57" s="6">
        <f t="shared" si="36"/>
        <v>2.7300008369831708E-2</v>
      </c>
      <c r="G57" s="2"/>
      <c r="H57" s="7">
        <v>1671.96</v>
      </c>
      <c r="I57" s="2"/>
      <c r="J57" s="6">
        <f t="shared" si="37"/>
        <v>2.0387150520274972E-2</v>
      </c>
      <c r="K57" s="2"/>
      <c r="L57" s="7">
        <f t="shared" si="38"/>
        <v>115.46000000000004</v>
      </c>
      <c r="M57" s="2"/>
      <c r="N57" s="6">
        <f t="shared" si="39"/>
        <v>6.905667599703344E-2</v>
      </c>
      <c r="O57" s="11"/>
      <c r="P57" s="7">
        <v>4158.5200000000004</v>
      </c>
      <c r="Q57" s="2"/>
      <c r="R57" s="6">
        <f t="shared" si="40"/>
        <v>3.690462678051655E-2</v>
      </c>
      <c r="S57" s="2"/>
      <c r="T57" s="7">
        <v>4508.1899999999996</v>
      </c>
      <c r="U57" s="2"/>
      <c r="V57" s="6">
        <f t="shared" si="41"/>
        <v>2.4989623202519164E-2</v>
      </c>
      <c r="W57" s="2"/>
      <c r="X57" s="7">
        <f t="shared" si="42"/>
        <v>-349.66999999999916</v>
      </c>
      <c r="Y57" s="2"/>
      <c r="Z57" s="6">
        <f t="shared" si="43"/>
        <v>-7.7563279276161648E-2</v>
      </c>
    </row>
    <row r="58" spans="1:26" s="27" customFormat="1" outlineLevel="1" collapsed="1" x14ac:dyDescent="0.25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SUM(OSRRefD22_11x_0)</f>
        <v>1263.94</v>
      </c>
      <c r="E58" s="1"/>
      <c r="F58" s="5">
        <f t="shared" ref="F58:F65" si="44">IF(D$12=0,0,D58/D$12)</f>
        <v>1.930468081310777E-2</v>
      </c>
      <c r="G58" s="1"/>
      <c r="H58" s="1">
        <f>SUM(OSRRefH22_11x_0)</f>
        <v>2378.0500000000002</v>
      </c>
      <c r="I58" s="1"/>
      <c r="J58" s="5">
        <f t="shared" ref="J58:J65" si="45">IF(H$12=0,0,H58/H$12)</f>
        <v>2.8996903810342291E-2</v>
      </c>
      <c r="K58" s="1"/>
      <c r="L58" s="1">
        <f t="shared" ref="L58:L65" si="46">+D58-H58</f>
        <v>-1114.1100000000001</v>
      </c>
      <c r="M58" s="1"/>
      <c r="N58" s="5">
        <f t="shared" ref="N58:N65" si="47">IF(H58=0,0,L58/H58)</f>
        <v>-0.46849729820651376</v>
      </c>
      <c r="O58" s="14"/>
      <c r="P58" s="1">
        <f>SUM(OSRRefP22_11x_0)</f>
        <v>2209.6899999999996</v>
      </c>
      <c r="Q58" s="1"/>
      <c r="R58" s="5">
        <f t="shared" ref="R58:R65" si="48">IF(P$12=0,0,P58/P$12)</f>
        <v>1.9609809439569748E-2</v>
      </c>
      <c r="S58" s="1"/>
      <c r="T58" s="1">
        <f>SUM(OSRRefT22_11x_0)</f>
        <v>6511.7100000000009</v>
      </c>
      <c r="U58" s="1"/>
      <c r="V58" s="5">
        <f t="shared" ref="V58:V65" si="49">IF(T$12=0,0,T58/T$12)</f>
        <v>3.6095457224313107E-2</v>
      </c>
      <c r="W58" s="1"/>
      <c r="X58" s="1">
        <f t="shared" ref="X58:X65" si="50">+P58-T58</f>
        <v>-4302.0200000000013</v>
      </c>
      <c r="Y58" s="1"/>
      <c r="Z58" s="5">
        <f t="shared" ref="Z58:Z65" si="51">IF(T58=0,0,X58/T58)</f>
        <v>-0.6606590281201099</v>
      </c>
    </row>
    <row r="59" spans="1:26" s="24" customFormat="1" hidden="1" outlineLevel="2" x14ac:dyDescent="0.25">
      <c r="A59" s="29"/>
      <c r="B59" s="11" t="str">
        <f>CONCATENATE("          ", "6234", " - ", "EXPENDABLE SUPPLIES &amp; EQUIPMEN")</f>
        <v xml:space="preserve">          6234 - EXPENDABLE SUPPLIES &amp; EQUIPMEN</v>
      </c>
      <c r="C59" s="11"/>
      <c r="D59" s="7"/>
      <c r="E59" s="2"/>
      <c r="F59" s="6">
        <f t="shared" si="44"/>
        <v>0</v>
      </c>
      <c r="G59" s="2"/>
      <c r="H59" s="7">
        <v>807.48</v>
      </c>
      <c r="I59" s="2"/>
      <c r="J59" s="6">
        <f t="shared" si="45"/>
        <v>9.8460586988394667E-3</v>
      </c>
      <c r="K59" s="2"/>
      <c r="L59" s="7">
        <f t="shared" si="46"/>
        <v>-807.48</v>
      </c>
      <c r="M59" s="2"/>
      <c r="N59" s="6">
        <f t="shared" si="47"/>
        <v>-1</v>
      </c>
      <c r="O59" s="11"/>
      <c r="P59" s="7"/>
      <c r="Q59" s="2"/>
      <c r="R59" s="6">
        <f t="shared" si="48"/>
        <v>0</v>
      </c>
      <c r="S59" s="2"/>
      <c r="T59" s="7">
        <v>3240.46</v>
      </c>
      <c r="U59" s="2"/>
      <c r="V59" s="6">
        <f t="shared" si="49"/>
        <v>1.7962391647831005E-2</v>
      </c>
      <c r="W59" s="2"/>
      <c r="X59" s="7">
        <f t="shared" si="50"/>
        <v>-3240.46</v>
      </c>
      <c r="Y59" s="2"/>
      <c r="Z59" s="6">
        <f t="shared" si="51"/>
        <v>-1</v>
      </c>
    </row>
    <row r="60" spans="1:26" s="24" customFormat="1" hidden="1" outlineLevel="2" x14ac:dyDescent="0.25">
      <c r="A60" s="29"/>
      <c r="B60" s="11" t="str">
        <f>CONCATENATE("          ", "6237", " - ", "JANITORIAL SUPPLIES")</f>
        <v xml:space="preserve">          6237 - JANITORIAL SUPPLIES</v>
      </c>
      <c r="C60" s="11"/>
      <c r="D60" s="7"/>
      <c r="E60" s="2"/>
      <c r="F60" s="6">
        <f t="shared" si="44"/>
        <v>0</v>
      </c>
      <c r="G60" s="2"/>
      <c r="H60" s="7">
        <v>149.86000000000001</v>
      </c>
      <c r="I60" s="2"/>
      <c r="J60" s="6">
        <f t="shared" si="45"/>
        <v>1.8273274342498669E-3</v>
      </c>
      <c r="K60" s="2"/>
      <c r="L60" s="7">
        <f t="shared" si="46"/>
        <v>-149.86000000000001</v>
      </c>
      <c r="M60" s="2"/>
      <c r="N60" s="6">
        <f t="shared" si="47"/>
        <v>-1</v>
      </c>
      <c r="O60" s="11"/>
      <c r="P60" s="7"/>
      <c r="Q60" s="2"/>
      <c r="R60" s="6">
        <f t="shared" si="48"/>
        <v>0</v>
      </c>
      <c r="S60" s="2"/>
      <c r="T60" s="7">
        <v>322.87</v>
      </c>
      <c r="U60" s="2"/>
      <c r="V60" s="6">
        <f t="shared" si="49"/>
        <v>1.7897204073912952E-3</v>
      </c>
      <c r="W60" s="2"/>
      <c r="X60" s="7">
        <f t="shared" si="50"/>
        <v>-322.87</v>
      </c>
      <c r="Y60" s="2"/>
      <c r="Z60" s="6">
        <f t="shared" si="51"/>
        <v>-1</v>
      </c>
    </row>
    <row r="61" spans="1:26" s="24" customFormat="1" hidden="1" outlineLevel="2" x14ac:dyDescent="0.25">
      <c r="A61" s="29"/>
      <c r="B61" s="11" t="str">
        <f>CONCATENATE("          ", "6239", " - ", "KITCHEN SUPPLIES")</f>
        <v xml:space="preserve">          6239 - KITCHEN SUPPLIES</v>
      </c>
      <c r="C61" s="11"/>
      <c r="D61" s="7"/>
      <c r="E61" s="2"/>
      <c r="F61" s="6">
        <f t="shared" si="44"/>
        <v>0</v>
      </c>
      <c r="G61" s="2"/>
      <c r="H61" s="7">
        <v>182.69</v>
      </c>
      <c r="I61" s="2"/>
      <c r="J61" s="6">
        <f t="shared" si="45"/>
        <v>2.2276421257380764E-3</v>
      </c>
      <c r="K61" s="2"/>
      <c r="L61" s="7">
        <f t="shared" si="46"/>
        <v>-182.69</v>
      </c>
      <c r="M61" s="2"/>
      <c r="N61" s="6">
        <f t="shared" si="47"/>
        <v>-1</v>
      </c>
      <c r="O61" s="11"/>
      <c r="P61" s="7">
        <v>116.54</v>
      </c>
      <c r="Q61" s="2"/>
      <c r="R61" s="6">
        <f t="shared" si="48"/>
        <v>1.0342297752569179E-3</v>
      </c>
      <c r="S61" s="2"/>
      <c r="T61" s="7">
        <v>182.69</v>
      </c>
      <c r="U61" s="2"/>
      <c r="V61" s="6">
        <f t="shared" si="49"/>
        <v>1.0126800917592707E-3</v>
      </c>
      <c r="W61" s="2"/>
      <c r="X61" s="7">
        <f t="shared" si="50"/>
        <v>-66.149999999999991</v>
      </c>
      <c r="Y61" s="2"/>
      <c r="Z61" s="6">
        <f t="shared" si="51"/>
        <v>-0.36208878427938035</v>
      </c>
    </row>
    <row r="62" spans="1:26" s="24" customFormat="1" hidden="1" outlineLevel="2" x14ac:dyDescent="0.25">
      <c r="A62" s="29"/>
      <c r="B62" s="11" t="str">
        <f>CONCATENATE("          ", "6241", " - ", "OFFICE EXPENSE")</f>
        <v xml:space="preserve">          6241 - OFFICE EXPENSE</v>
      </c>
      <c r="C62" s="11"/>
      <c r="D62" s="7">
        <v>12.81</v>
      </c>
      <c r="E62" s="2"/>
      <c r="F62" s="6">
        <f t="shared" si="44"/>
        <v>1.9565245281889213E-4</v>
      </c>
      <c r="G62" s="2"/>
      <c r="H62" s="7">
        <v>618.49</v>
      </c>
      <c r="I62" s="2"/>
      <c r="J62" s="6">
        <f t="shared" si="45"/>
        <v>7.5415971227091958E-3</v>
      </c>
      <c r="K62" s="2"/>
      <c r="L62" s="7">
        <f t="shared" si="46"/>
        <v>-605.68000000000006</v>
      </c>
      <c r="M62" s="2"/>
      <c r="N62" s="6">
        <f t="shared" si="47"/>
        <v>-0.97928826658474677</v>
      </c>
      <c r="O62" s="11"/>
      <c r="P62" s="7">
        <v>117.73</v>
      </c>
      <c r="Q62" s="2"/>
      <c r="R62" s="6">
        <f t="shared" si="48"/>
        <v>1.0447903847691517E-3</v>
      </c>
      <c r="S62" s="2"/>
      <c r="T62" s="7">
        <v>924.74</v>
      </c>
      <c r="U62" s="2"/>
      <c r="V62" s="6">
        <f t="shared" si="49"/>
        <v>5.1259827470221024E-3</v>
      </c>
      <c r="W62" s="2"/>
      <c r="X62" s="7">
        <f t="shared" si="50"/>
        <v>-807.01</v>
      </c>
      <c r="Y62" s="2"/>
      <c r="Z62" s="6">
        <f t="shared" si="51"/>
        <v>-0.87268853948136771</v>
      </c>
    </row>
    <row r="63" spans="1:26" s="24" customFormat="1" hidden="1" outlineLevel="2" x14ac:dyDescent="0.25">
      <c r="A63" s="29"/>
      <c r="B63" s="11" t="str">
        <f>CONCATENATE("          ", "6243", " - ", "PAPER SUPPLIES")</f>
        <v xml:space="preserve">          6243 - PAPER SUPPLIES</v>
      </c>
      <c r="C63" s="11"/>
      <c r="D63" s="7">
        <v>874.87</v>
      </c>
      <c r="E63" s="2"/>
      <c r="F63" s="6">
        <f t="shared" si="44"/>
        <v>1.3362253036507741E-2</v>
      </c>
      <c r="G63" s="2"/>
      <c r="H63" s="7">
        <v>403.28</v>
      </c>
      <c r="I63" s="2"/>
      <c r="J63" s="6">
        <f t="shared" si="45"/>
        <v>4.9174203101847473E-3</v>
      </c>
      <c r="K63" s="2"/>
      <c r="L63" s="7">
        <f t="shared" si="46"/>
        <v>471.59000000000003</v>
      </c>
      <c r="M63" s="2"/>
      <c r="N63" s="6">
        <f t="shared" si="47"/>
        <v>1.1693860345169611</v>
      </c>
      <c r="O63" s="11"/>
      <c r="P63" s="7">
        <v>1388.62</v>
      </c>
      <c r="Q63" s="2"/>
      <c r="R63" s="6">
        <f t="shared" si="48"/>
        <v>1.2323255109981647E-2</v>
      </c>
      <c r="S63" s="2"/>
      <c r="T63" s="7">
        <v>1271.52</v>
      </c>
      <c r="U63" s="2"/>
      <c r="V63" s="6">
        <f t="shared" si="49"/>
        <v>7.0482401350580098E-3</v>
      </c>
      <c r="W63" s="2"/>
      <c r="X63" s="7">
        <f t="shared" si="50"/>
        <v>117.09999999999991</v>
      </c>
      <c r="Y63" s="2"/>
      <c r="Z63" s="6">
        <f t="shared" si="51"/>
        <v>9.2094501069585943E-2</v>
      </c>
    </row>
    <row r="64" spans="1:26" s="24" customFormat="1" hidden="1" outlineLevel="2" x14ac:dyDescent="0.25">
      <c r="A64" s="29"/>
      <c r="B64" s="11" t="str">
        <f>CONCATENATE("          ", "6247", " - ", "STORE SUPPLIES")</f>
        <v xml:space="preserve">          6247 - STORE SUPPLIES</v>
      </c>
      <c r="C64" s="11"/>
      <c r="D64" s="7">
        <v>155.55000000000001</v>
      </c>
      <c r="E64" s="2"/>
      <c r="F64" s="6">
        <f t="shared" si="44"/>
        <v>2.3757797842294047E-3</v>
      </c>
      <c r="G64" s="2"/>
      <c r="H64" s="7">
        <v>106.43</v>
      </c>
      <c r="I64" s="2"/>
      <c r="J64" s="6">
        <f t="shared" si="45"/>
        <v>1.2977609690859023E-3</v>
      </c>
      <c r="K64" s="2"/>
      <c r="L64" s="7">
        <f t="shared" si="46"/>
        <v>49.120000000000005</v>
      </c>
      <c r="M64" s="2"/>
      <c r="N64" s="6">
        <f t="shared" si="47"/>
        <v>0.46152400638917601</v>
      </c>
      <c r="O64" s="11"/>
      <c r="P64" s="7">
        <v>366.09</v>
      </c>
      <c r="Q64" s="2"/>
      <c r="R64" s="6">
        <f t="shared" si="48"/>
        <v>3.24885171120478E-3</v>
      </c>
      <c r="S64" s="2"/>
      <c r="T64" s="7">
        <v>183.08</v>
      </c>
      <c r="U64" s="2"/>
      <c r="V64" s="6">
        <f t="shared" si="49"/>
        <v>1.0148419245677776E-3</v>
      </c>
      <c r="W64" s="2"/>
      <c r="X64" s="7">
        <f t="shared" si="50"/>
        <v>183.00999999999996</v>
      </c>
      <c r="Y64" s="2"/>
      <c r="Z64" s="6">
        <f t="shared" si="51"/>
        <v>0.99961765348481513</v>
      </c>
    </row>
    <row r="65" spans="1:26" s="24" customFormat="1" hidden="1" outlineLevel="2" x14ac:dyDescent="0.25">
      <c r="A65" s="29"/>
      <c r="B65" s="11" t="str">
        <f>CONCATENATE("          ", "6248", " - ", "UNIFORMS")</f>
        <v xml:space="preserve">          6248 - UNIFORMS</v>
      </c>
      <c r="C65" s="11"/>
      <c r="D65" s="7">
        <v>220.71</v>
      </c>
      <c r="E65" s="2"/>
      <c r="F65" s="6">
        <f t="shared" si="44"/>
        <v>3.3709955395517317E-3</v>
      </c>
      <c r="G65" s="2"/>
      <c r="H65" s="7">
        <v>109.82</v>
      </c>
      <c r="I65" s="2"/>
      <c r="J65" s="6">
        <f t="shared" si="45"/>
        <v>1.339097149535035E-3</v>
      </c>
      <c r="K65" s="2"/>
      <c r="L65" s="7">
        <f t="shared" si="46"/>
        <v>110.89000000000001</v>
      </c>
      <c r="M65" s="2"/>
      <c r="N65" s="6">
        <f t="shared" si="47"/>
        <v>1.009743216171918</v>
      </c>
      <c r="O65" s="11"/>
      <c r="P65" s="7">
        <v>220.71</v>
      </c>
      <c r="Q65" s="2"/>
      <c r="R65" s="6">
        <f t="shared" si="48"/>
        <v>1.9586824583572538E-3</v>
      </c>
      <c r="S65" s="2"/>
      <c r="T65" s="7">
        <v>386.35</v>
      </c>
      <c r="U65" s="2"/>
      <c r="V65" s="6">
        <f t="shared" si="49"/>
        <v>2.1416002706836404E-3</v>
      </c>
      <c r="W65" s="2"/>
      <c r="X65" s="7">
        <f t="shared" si="50"/>
        <v>-165.64000000000001</v>
      </c>
      <c r="Y65" s="2"/>
      <c r="Z65" s="6">
        <f t="shared" si="51"/>
        <v>-0.42873042577973342</v>
      </c>
    </row>
    <row r="66" spans="1:26" s="27" customFormat="1" outlineLevel="1" collapsed="1" x14ac:dyDescent="0.25">
      <c r="A66" s="28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SUM(OSRRefD22_12x_0)</f>
        <v>192.3</v>
      </c>
      <c r="E66" s="1"/>
      <c r="F66" s="5">
        <f t="shared" ref="F66:F69" si="52">IF(D$12=0,0,D66/D$12)</f>
        <v>2.9370778046114722E-3</v>
      </c>
      <c r="G66" s="1"/>
      <c r="H66" s="1">
        <f>SUM(OSRRefH22_12x_0)</f>
        <v>191.66</v>
      </c>
      <c r="I66" s="1"/>
      <c r="J66" s="5">
        <f t="shared" ref="J66:J69" si="53">IF(H$12=0,0,H66/H$12)</f>
        <v>2.3370183908202951E-3</v>
      </c>
      <c r="K66" s="1"/>
      <c r="L66" s="1">
        <f t="shared" ref="L66:L69" si="54">+D66-H66</f>
        <v>0.64000000000001478</v>
      </c>
      <c r="M66" s="1"/>
      <c r="N66" s="5">
        <f t="shared" ref="N66:N69" si="55">IF(H66=0,0,L66/H66)</f>
        <v>3.3392465824899028E-3</v>
      </c>
      <c r="O66" s="14"/>
      <c r="P66" s="1">
        <f>SUM(OSRRefP22_12x_0)</f>
        <v>222.55</v>
      </c>
      <c r="Q66" s="1"/>
      <c r="R66" s="5">
        <f t="shared" ref="R66:R69" si="56">IF(P$12=0,0,P66/P$12)</f>
        <v>1.9750114680232287E-3</v>
      </c>
      <c r="S66" s="1"/>
      <c r="T66" s="1">
        <f>SUM(OSRRefT22_12x_0)</f>
        <v>321.32</v>
      </c>
      <c r="U66" s="1"/>
      <c r="V66" s="5">
        <f t="shared" ref="V66:V69" si="57">IF(T$12=0,0,T66/T$12)</f>
        <v>1.7811285077677422E-3</v>
      </c>
      <c r="W66" s="1"/>
      <c r="X66" s="1">
        <f t="shared" ref="X66:X69" si="58">+P66-T66</f>
        <v>-98.769999999999982</v>
      </c>
      <c r="Y66" s="1"/>
      <c r="Z66" s="5">
        <f t="shared" ref="Z66:Z69" si="59">IF(T66=0,0,X66/T66)</f>
        <v>-0.30738827337233904</v>
      </c>
    </row>
    <row r="67" spans="1:26" s="24" customFormat="1" hidden="1" outlineLevel="2" x14ac:dyDescent="0.25">
      <c r="A67" s="29"/>
      <c r="B67" s="11" t="str">
        <f>CONCATENATE("          ", "6309", " - ", "TELEPHONE")</f>
        <v xml:space="preserve">          6309 - TELEPHONE</v>
      </c>
      <c r="C67" s="11"/>
      <c r="D67" s="7">
        <v>192.3</v>
      </c>
      <c r="E67" s="2"/>
      <c r="F67" s="6">
        <f t="shared" si="52"/>
        <v>2.9370778046114722E-3</v>
      </c>
      <c r="G67" s="2"/>
      <c r="H67" s="7">
        <v>191.66</v>
      </c>
      <c r="I67" s="2"/>
      <c r="J67" s="6">
        <f t="shared" si="53"/>
        <v>2.3370183908202951E-3</v>
      </c>
      <c r="K67" s="2"/>
      <c r="L67" s="7">
        <f t="shared" si="54"/>
        <v>0.64000000000001478</v>
      </c>
      <c r="M67" s="2"/>
      <c r="N67" s="6">
        <f t="shared" si="55"/>
        <v>3.3392465824899028E-3</v>
      </c>
      <c r="O67" s="11"/>
      <c r="P67" s="7">
        <v>222.55</v>
      </c>
      <c r="Q67" s="2"/>
      <c r="R67" s="6">
        <f t="shared" si="56"/>
        <v>1.9750114680232287E-3</v>
      </c>
      <c r="S67" s="2"/>
      <c r="T67" s="7">
        <v>321.32</v>
      </c>
      <c r="U67" s="2"/>
      <c r="V67" s="6">
        <f t="shared" si="57"/>
        <v>1.7811285077677422E-3</v>
      </c>
      <c r="W67" s="2"/>
      <c r="X67" s="7">
        <f t="shared" si="58"/>
        <v>-98.769999999999982</v>
      </c>
      <c r="Y67" s="2"/>
      <c r="Z67" s="6">
        <f t="shared" si="59"/>
        <v>-0.30738827337233904</v>
      </c>
    </row>
    <row r="68" spans="1:26" s="27" customFormat="1" outlineLevel="1" collapsed="1" x14ac:dyDescent="0.25">
      <c r="A68" s="28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SUM(OSRRefD22_13x_0)</f>
        <v>175</v>
      </c>
      <c r="E68" s="1"/>
      <c r="F68" s="5">
        <f t="shared" si="52"/>
        <v>2.6728477161050835E-3</v>
      </c>
      <c r="G68" s="1"/>
      <c r="H68" s="1">
        <f>SUM(OSRRefH22_13x_0)</f>
        <v>50</v>
      </c>
      <c r="I68" s="1"/>
      <c r="J68" s="5">
        <f t="shared" si="53"/>
        <v>6.0967817771582372E-4</v>
      </c>
      <c r="K68" s="1"/>
      <c r="L68" s="1">
        <f t="shared" si="54"/>
        <v>125</v>
      </c>
      <c r="M68" s="1"/>
      <c r="N68" s="5">
        <f t="shared" si="55"/>
        <v>2.5</v>
      </c>
      <c r="O68" s="14"/>
      <c r="P68" s="1">
        <f>SUM(OSRRefP22_13x_0)</f>
        <v>175</v>
      </c>
      <c r="Q68" s="1"/>
      <c r="R68" s="5">
        <f t="shared" si="56"/>
        <v>1.5530308106226243E-3</v>
      </c>
      <c r="S68" s="1"/>
      <c r="T68" s="1">
        <f>SUM(OSRRefT22_13x_0)</f>
        <v>50</v>
      </c>
      <c r="U68" s="1"/>
      <c r="V68" s="5">
        <f t="shared" si="57"/>
        <v>2.7715805237267245E-4</v>
      </c>
      <c r="W68" s="1"/>
      <c r="X68" s="1">
        <f t="shared" si="58"/>
        <v>125</v>
      </c>
      <c r="Y68" s="1"/>
      <c r="Z68" s="5">
        <f t="shared" si="59"/>
        <v>2.5</v>
      </c>
    </row>
    <row r="69" spans="1:26" s="24" customFormat="1" hidden="1" outlineLevel="2" x14ac:dyDescent="0.25">
      <c r="A69" s="29"/>
      <c r="B69" s="11" t="str">
        <f>CONCATENATE("          ", "6376", " - ", "TRAINING")</f>
        <v xml:space="preserve">          6376 - TRAINING</v>
      </c>
      <c r="C69" s="11"/>
      <c r="D69" s="7">
        <v>175</v>
      </c>
      <c r="E69" s="2"/>
      <c r="F69" s="6">
        <f t="shared" si="52"/>
        <v>2.6728477161050835E-3</v>
      </c>
      <c r="G69" s="2"/>
      <c r="H69" s="7">
        <v>50</v>
      </c>
      <c r="I69" s="2"/>
      <c r="J69" s="6">
        <f t="shared" si="53"/>
        <v>6.0967817771582372E-4</v>
      </c>
      <c r="K69" s="2"/>
      <c r="L69" s="7">
        <f t="shared" si="54"/>
        <v>125</v>
      </c>
      <c r="M69" s="2"/>
      <c r="N69" s="6">
        <f t="shared" si="55"/>
        <v>2.5</v>
      </c>
      <c r="O69" s="11"/>
      <c r="P69" s="7">
        <v>175</v>
      </c>
      <c r="Q69" s="2"/>
      <c r="R69" s="6">
        <f t="shared" si="56"/>
        <v>1.5530308106226243E-3</v>
      </c>
      <c r="S69" s="2"/>
      <c r="T69" s="7">
        <v>50</v>
      </c>
      <c r="U69" s="2"/>
      <c r="V69" s="6">
        <f t="shared" si="57"/>
        <v>2.7715805237267245E-4</v>
      </c>
      <c r="W69" s="2"/>
      <c r="X69" s="7">
        <f t="shared" si="58"/>
        <v>125</v>
      </c>
      <c r="Y69" s="2"/>
      <c r="Z69" s="6">
        <f t="shared" si="59"/>
        <v>2.5</v>
      </c>
    </row>
    <row r="70" spans="1:26" s="62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5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3</v>
      </c>
      <c r="C73" s="26"/>
      <c r="D73" s="20">
        <f>+D19-D21+D71</f>
        <v>-5858.82</v>
      </c>
      <c r="E73" s="13"/>
      <c r="F73" s="19">
        <f>IF(D$12=0,0,D73/D$12)</f>
        <v>-8.9484192320404485E-2</v>
      </c>
      <c r="G73" s="13"/>
      <c r="H73" s="20">
        <f>+H19-H21+H71</f>
        <v>2775.5599999999904</v>
      </c>
      <c r="I73" s="13"/>
      <c r="J73" s="19">
        <f>IF(H$12=0,0,H73/H$12)</f>
        <v>3.3843967258818511E-2</v>
      </c>
      <c r="K73" s="15"/>
      <c r="L73" s="20">
        <f>+D73-H73</f>
        <v>-8634.3799999999901</v>
      </c>
      <c r="M73" s="15"/>
      <c r="N73" s="19">
        <f>IF(H73=0,0,L73/H73)</f>
        <v>-3.1108605110320151</v>
      </c>
      <c r="O73" s="25"/>
      <c r="P73" s="20">
        <f>+P19-P21+P71</f>
        <v>-33463.599999999977</v>
      </c>
      <c r="Q73" s="13"/>
      <c r="R73" s="19">
        <f>IF(P$12=0,0,P73/P$12)</f>
        <v>-0.29697143905343548</v>
      </c>
      <c r="S73" s="13"/>
      <c r="T73" s="20">
        <f>+T19-T21+T71</f>
        <v>1220.7299999999959</v>
      </c>
      <c r="U73" s="13"/>
      <c r="V73" s="19">
        <f>IF(T$12=0,0,T73/T$12)</f>
        <v>6.7667029854578268E-3</v>
      </c>
      <c r="W73" s="15"/>
      <c r="X73" s="20">
        <f>+P73-T73</f>
        <v>-34684.329999999973</v>
      </c>
      <c r="Y73" s="15"/>
      <c r="Z73" s="19">
        <f>IF(T73=0,0,X73/T73)</f>
        <v>-28.412777600288425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4233.22</v>
      </c>
      <c r="E75" s="4"/>
      <c r="F75" s="12">
        <f>IF(D$12=0,0,D75/D$12)</f>
        <v>6.4655728050116365E-2</v>
      </c>
      <c r="G75" s="4"/>
      <c r="H75" s="4">
        <v>-1781.7</v>
      </c>
      <c r="I75" s="4"/>
      <c r="J75" s="12">
        <f>IF(H$12=0,0,H75/H$12)</f>
        <v>-2.1725272184725662E-2</v>
      </c>
      <c r="K75" s="4"/>
      <c r="L75" s="4">
        <f>+D75-H75</f>
        <v>6014.92</v>
      </c>
      <c r="M75" s="4"/>
      <c r="N75" s="12">
        <f>IF(H75=0,0,L75/H75)</f>
        <v>-3.3759443228377393</v>
      </c>
      <c r="O75" s="10"/>
      <c r="P75" s="4">
        <v>14049.5</v>
      </c>
      <c r="Q75" s="4"/>
      <c r="R75" s="12">
        <f>IF(P$12=0,0,P75/P$12)</f>
        <v>0.12468175070767176</v>
      </c>
      <c r="S75" s="4"/>
      <c r="T75" s="4">
        <v>18418.240000000002</v>
      </c>
      <c r="U75" s="4"/>
      <c r="V75" s="12">
        <f>IF(T$12=0,0,T75/T$12)</f>
        <v>0.10209527053064903</v>
      </c>
      <c r="W75" s="4"/>
      <c r="X75" s="4">
        <f>+P75-T75</f>
        <v>-4368.7400000000016</v>
      </c>
      <c r="Y75" s="4"/>
      <c r="Z75" s="12">
        <f>IF(T75=0,0,X75/T75)</f>
        <v>-0.23719638792848835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4</v>
      </c>
      <c r="C77" s="26"/>
      <c r="D77" s="31">
        <f>+D73-D75</f>
        <v>-10092.040000000001</v>
      </c>
      <c r="E77" s="13"/>
      <c r="F77" s="36">
        <f>IF(D$12=0,0,D77/D$12)</f>
        <v>-0.15413992037052085</v>
      </c>
      <c r="G77" s="13"/>
      <c r="H77" s="31">
        <f>+H73-H75</f>
        <v>4557.2599999999902</v>
      </c>
      <c r="I77" s="13"/>
      <c r="J77" s="36">
        <f>IF(H$12=0,0,H77/H$12)</f>
        <v>5.5569239443544173E-2</v>
      </c>
      <c r="K77" s="15"/>
      <c r="L77" s="31">
        <f>D77-H77</f>
        <v>-14649.299999999992</v>
      </c>
      <c r="M77" s="15"/>
      <c r="N77" s="36">
        <f>IF(H77=0,0,L77/H77)</f>
        <v>-3.2144973075927252</v>
      </c>
      <c r="O77" s="25"/>
      <c r="P77" s="31">
        <f>+P73-P75</f>
        <v>-47513.099999999977</v>
      </c>
      <c r="Q77" s="13"/>
      <c r="R77" s="36">
        <f>IF(P$12=0,0,P77/P$12)</f>
        <v>-0.42165318976110727</v>
      </c>
      <c r="S77" s="13"/>
      <c r="T77" s="31">
        <f>+T73-T75</f>
        <v>-17197.510000000006</v>
      </c>
      <c r="U77" s="13"/>
      <c r="V77" s="36">
        <f>IF(T$12=0,0,T77/T$12)</f>
        <v>-9.5328567545191201E-2</v>
      </c>
      <c r="W77" s="15"/>
      <c r="X77" s="31">
        <f>P77-T77</f>
        <v>-30315.589999999971</v>
      </c>
      <c r="Y77" s="15"/>
      <c r="Z77" s="36">
        <f>IF(T77=0,0,X77/T77)</f>
        <v>1.7627894968515769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5</v>
      </c>
      <c r="C80" s="26"/>
      <c r="D80" s="32">
        <f>SUM(D77:D79)</f>
        <v>-10092.040000000001</v>
      </c>
      <c r="E80" s="13"/>
      <c r="F80" s="30">
        <f>IF(D$12=0,0,D80/D$12)</f>
        <v>-0.15413992037052085</v>
      </c>
      <c r="G80" s="13"/>
      <c r="H80" s="32">
        <f>SUM(H77:H79)</f>
        <v>4557.2599999999902</v>
      </c>
      <c r="I80" s="13"/>
      <c r="J80" s="30">
        <f>IF(H$12=0,0,H80/H$12)</f>
        <v>5.5569239443544173E-2</v>
      </c>
      <c r="K80" s="15"/>
      <c r="L80" s="32">
        <f>+D80-H80</f>
        <v>-14649.299999999992</v>
      </c>
      <c r="M80" s="15"/>
      <c r="N80" s="30">
        <f>IF(H80=0,0,L80/H80)</f>
        <v>-3.2144973075927252</v>
      </c>
      <c r="O80" s="25"/>
      <c r="P80" s="32">
        <f>SUM(P77:P79)</f>
        <v>-47513.099999999977</v>
      </c>
      <c r="Q80" s="13"/>
      <c r="R80" s="30">
        <f>IF(P$12=0,0,P80/P$12)</f>
        <v>-0.42165318976110727</v>
      </c>
      <c r="S80" s="13"/>
      <c r="T80" s="32">
        <f>SUM(T77:T79)</f>
        <v>-17197.510000000006</v>
      </c>
      <c r="U80" s="13"/>
      <c r="V80" s="30">
        <f>IF(T$12=0,0,T80/T$12)</f>
        <v>-9.5328567545191201E-2</v>
      </c>
      <c r="W80" s="15"/>
      <c r="X80" s="32">
        <f>+P80-T80</f>
        <v>-30315.589999999971</v>
      </c>
      <c r="Y80" s="15"/>
      <c r="Z80" s="30">
        <f>IF(T80=0,0,X80/T80)</f>
        <v>1.7627894968515769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7">
        <v>43732.710034988428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60" t="s">
        <v>313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A84" s="9"/>
      <c r="B84" s="56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25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","413", " - ", "Beach Walk")</f>
        <v>Department 413 - Beach Walk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20174.41</v>
      </c>
      <c r="E12" s="4"/>
      <c r="F12" s="12"/>
      <c r="G12" s="4"/>
      <c r="H12" s="4">
        <f>SUM(OSRRefH13x_0)</f>
        <v>21891.57</v>
      </c>
      <c r="I12" s="4"/>
      <c r="J12" s="12"/>
      <c r="K12" s="4"/>
      <c r="L12" s="4">
        <f t="shared" ref="L12:L14" si="0">+D12-H12</f>
        <v>-1717.1599999999999</v>
      </c>
      <c r="M12" s="4"/>
      <c r="N12" s="12">
        <f t="shared" ref="N12:N14" si="1">IF(H12=0,0,L12/H12)</f>
        <v>-7.8439326188117151E-2</v>
      </c>
      <c r="O12" s="10"/>
      <c r="P12" s="4">
        <f>SUM(OSRRefP13x_0)</f>
        <v>26002</v>
      </c>
      <c r="Q12" s="4"/>
      <c r="R12" s="12"/>
      <c r="S12" s="4"/>
      <c r="T12" s="4">
        <f>SUM(OSRRefT13x_0)</f>
        <v>30947.040000000001</v>
      </c>
      <c r="U12" s="4"/>
      <c r="V12" s="12"/>
      <c r="W12" s="4"/>
      <c r="X12" s="4">
        <f t="shared" ref="X12:X14" si="2">+P12-T12</f>
        <v>-4945.0400000000009</v>
      </c>
      <c r="Y12" s="4"/>
      <c r="Z12" s="12">
        <f t="shared" ref="Z12:Z14" si="3">IF(T12=0,0,X12/T12)</f>
        <v>-0.15979040321788451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--5507.79</f>
        <v>5507.79</v>
      </c>
      <c r="E13" s="2"/>
      <c r="F13" s="21"/>
      <c r="G13" s="2"/>
      <c r="H13" s="2">
        <f>--7074.03</f>
        <v>7074.03</v>
      </c>
      <c r="I13" s="2"/>
      <c r="J13" s="21"/>
      <c r="K13" s="2"/>
      <c r="L13" s="2">
        <f t="shared" si="0"/>
        <v>-1566.2399999999998</v>
      </c>
      <c r="M13" s="2"/>
      <c r="N13" s="21">
        <f t="shared" si="1"/>
        <v>-0.22140703389722688</v>
      </c>
      <c r="O13" s="11"/>
      <c r="P13" s="2">
        <f>--9013.24</f>
        <v>9013.24</v>
      </c>
      <c r="Q13" s="2"/>
      <c r="R13" s="21"/>
      <c r="S13" s="2"/>
      <c r="T13" s="2">
        <f>--11965.54</f>
        <v>11965.54</v>
      </c>
      <c r="U13" s="2"/>
      <c r="V13" s="21"/>
      <c r="W13" s="2"/>
      <c r="X13" s="2">
        <f t="shared" si="2"/>
        <v>-2952.3000000000011</v>
      </c>
      <c r="Y13" s="2"/>
      <c r="Z13" s="21">
        <f t="shared" si="3"/>
        <v>-0.24673353647223617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--14666.62</f>
        <v>14666.62</v>
      </c>
      <c r="E14" s="2"/>
      <c r="F14" s="21"/>
      <c r="G14" s="2"/>
      <c r="H14" s="2">
        <f>--14817.54</f>
        <v>14817.54</v>
      </c>
      <c r="I14" s="2"/>
      <c r="J14" s="21"/>
      <c r="K14" s="2"/>
      <c r="L14" s="2">
        <f t="shared" si="0"/>
        <v>-150.92000000000007</v>
      </c>
      <c r="M14" s="2"/>
      <c r="N14" s="21">
        <f t="shared" si="1"/>
        <v>-1.0185226427598648E-2</v>
      </c>
      <c r="O14" s="11"/>
      <c r="P14" s="2">
        <f>--16988.76</f>
        <v>16988.759999999998</v>
      </c>
      <c r="Q14" s="2"/>
      <c r="R14" s="21"/>
      <c r="S14" s="2"/>
      <c r="T14" s="2">
        <f>--18981.5</f>
        <v>18981.5</v>
      </c>
      <c r="U14" s="2"/>
      <c r="V14" s="21"/>
      <c r="W14" s="2"/>
      <c r="X14" s="2">
        <f t="shared" si="2"/>
        <v>-1992.7400000000016</v>
      </c>
      <c r="Y14" s="2"/>
      <c r="Z14" s="21">
        <f t="shared" si="3"/>
        <v>-0.10498327318705063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7282.86</v>
      </c>
      <c r="E16" s="4"/>
      <c r="F16" s="12">
        <f t="shared" ref="F16:F18" si="4">IF(D$12=0,0,D16/D$12)</f>
        <v>0.36099494359438516</v>
      </c>
      <c r="G16" s="4"/>
      <c r="H16" s="4">
        <f>SUM(OSRRefH16x_0)</f>
        <v>6568.0099999999993</v>
      </c>
      <c r="I16" s="4"/>
      <c r="J16" s="12">
        <f t="shared" ref="J16:J18" si="5">IF(H$12=0,0,H16/H$12)</f>
        <v>0.30002462134967933</v>
      </c>
      <c r="K16" s="4"/>
      <c r="L16" s="4">
        <f t="shared" ref="L16:L18" si="6">+D16-H16</f>
        <v>714.85000000000036</v>
      </c>
      <c r="M16" s="4"/>
      <c r="N16" s="12">
        <f t="shared" ref="N16:N18" si="7">IF(H16=0,0,L16/H16)</f>
        <v>0.10883814123303717</v>
      </c>
      <c r="O16" s="10"/>
      <c r="P16" s="4">
        <f>SUM(OSRRefP16x_0)</f>
        <v>9932.7099999999991</v>
      </c>
      <c r="Q16" s="4"/>
      <c r="R16" s="12">
        <f t="shared" ref="R16:R18" si="8">IF(P$12=0,0,P16/P$12)</f>
        <v>0.38199792323667409</v>
      </c>
      <c r="S16" s="4"/>
      <c r="T16" s="4">
        <f>SUM(OSRRefT16x_0)</f>
        <v>9194.06</v>
      </c>
      <c r="U16" s="4"/>
      <c r="V16" s="12">
        <f t="shared" ref="V16:V18" si="9">IF(T$12=0,0,T16/T$12)</f>
        <v>0.29709012558228509</v>
      </c>
      <c r="W16" s="4"/>
      <c r="X16" s="4">
        <f t="shared" ref="X16:X18" si="10">+P16-T16</f>
        <v>738.64999999999964</v>
      </c>
      <c r="Y16" s="4"/>
      <c r="Z16" s="12">
        <f t="shared" ref="Z16:Z18" si="11">IF(T16=0,0,X16/T16)</f>
        <v>8.033991511910947E-2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7841.2</v>
      </c>
      <c r="E17" s="2"/>
      <c r="F17" s="21">
        <f t="shared" si="4"/>
        <v>0.38867059804970749</v>
      </c>
      <c r="G17" s="2"/>
      <c r="H17" s="2">
        <v>9839.7199999999993</v>
      </c>
      <c r="I17" s="2"/>
      <c r="J17" s="21">
        <f t="shared" si="5"/>
        <v>0.44947530030966254</v>
      </c>
      <c r="K17" s="2"/>
      <c r="L17" s="2">
        <f t="shared" si="6"/>
        <v>-1998.5199999999995</v>
      </c>
      <c r="M17" s="2"/>
      <c r="N17" s="21">
        <f t="shared" si="7"/>
        <v>-0.20310740549527828</v>
      </c>
      <c r="O17" s="11"/>
      <c r="P17" s="2">
        <v>11203.05</v>
      </c>
      <c r="Q17" s="2"/>
      <c r="R17" s="21">
        <f t="shared" si="8"/>
        <v>0.43085339589262361</v>
      </c>
      <c r="S17" s="2"/>
      <c r="T17" s="2">
        <v>13309.91</v>
      </c>
      <c r="U17" s="2"/>
      <c r="V17" s="21">
        <f t="shared" si="9"/>
        <v>0.43008669003562211</v>
      </c>
      <c r="W17" s="2"/>
      <c r="X17" s="2">
        <f t="shared" si="10"/>
        <v>-2106.8600000000006</v>
      </c>
      <c r="Y17" s="2"/>
      <c r="Z17" s="21">
        <f t="shared" si="11"/>
        <v>-0.15829258049077721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-558.34</v>
      </c>
      <c r="E18" s="2"/>
      <c r="F18" s="21">
        <f t="shared" si="4"/>
        <v>-2.7675654455322364E-2</v>
      </c>
      <c r="G18" s="2"/>
      <c r="H18" s="2">
        <v>-3271.71</v>
      </c>
      <c r="I18" s="2"/>
      <c r="J18" s="21">
        <f t="shared" si="5"/>
        <v>-0.14945067895998324</v>
      </c>
      <c r="K18" s="2"/>
      <c r="L18" s="2">
        <f t="shared" si="6"/>
        <v>2713.37</v>
      </c>
      <c r="M18" s="2"/>
      <c r="N18" s="21">
        <f t="shared" si="7"/>
        <v>-0.82934306524722545</v>
      </c>
      <c r="O18" s="11"/>
      <c r="P18" s="2">
        <v>-1270.3399999999999</v>
      </c>
      <c r="Q18" s="2"/>
      <c r="R18" s="21">
        <f t="shared" si="8"/>
        <v>-4.8855472655949542E-2</v>
      </c>
      <c r="S18" s="2"/>
      <c r="T18" s="2">
        <v>-4115.8500000000004</v>
      </c>
      <c r="U18" s="2"/>
      <c r="V18" s="21">
        <f t="shared" si="9"/>
        <v>-0.13299656445333707</v>
      </c>
      <c r="W18" s="2"/>
      <c r="X18" s="2">
        <f t="shared" si="10"/>
        <v>2845.51</v>
      </c>
      <c r="Y18" s="2"/>
      <c r="Z18" s="21">
        <f t="shared" si="11"/>
        <v>-0.69135415527776767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12891.55</v>
      </c>
      <c r="E20" s="13"/>
      <c r="F20" s="19">
        <f>IF(D$12=0,0,D20/D$12)</f>
        <v>0.63900505640561478</v>
      </c>
      <c r="G20" s="13"/>
      <c r="H20" s="20">
        <f>H12-H16</f>
        <v>15323.560000000001</v>
      </c>
      <c r="I20" s="13"/>
      <c r="J20" s="19">
        <f>IF(H$12=0,0,H20/H$12)</f>
        <v>0.69997537865032067</v>
      </c>
      <c r="K20" s="15"/>
      <c r="L20" s="20">
        <f>+D20-H20</f>
        <v>-2432.010000000002</v>
      </c>
      <c r="M20" s="15"/>
      <c r="N20" s="19">
        <f>IF(H20=0,0,L20/H20)</f>
        <v>-0.15871050852412899</v>
      </c>
      <c r="O20" s="25"/>
      <c r="P20" s="20">
        <f>P12-P16</f>
        <v>16069.29</v>
      </c>
      <c r="Q20" s="13"/>
      <c r="R20" s="19">
        <f>IF(P$12=0,0,P20/P$12)</f>
        <v>0.61800207676332597</v>
      </c>
      <c r="S20" s="13"/>
      <c r="T20" s="20">
        <f>T12-T16</f>
        <v>21752.980000000003</v>
      </c>
      <c r="U20" s="13"/>
      <c r="V20" s="19">
        <f>IF(T$12=0,0,T20/T$12)</f>
        <v>0.70290987441771502</v>
      </c>
      <c r="W20" s="15"/>
      <c r="X20" s="20">
        <f>+P20-T20</f>
        <v>-5683.6900000000023</v>
      </c>
      <c r="Y20" s="15"/>
      <c r="Z20" s="19">
        <f>IF(T20=0,0,X20/T20)</f>
        <v>-0.26128328164692843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18174.020000000004</v>
      </c>
      <c r="E22" s="22"/>
      <c r="F22" s="33">
        <f t="shared" ref="F22:F31" si="12">IF(D$12=0,0,D22/D$12)</f>
        <v>0.9008451796112007</v>
      </c>
      <c r="G22" s="22"/>
      <c r="H22" s="22">
        <f>SUM(OSRRefH22x_0)</f>
        <v>16648.559999999998</v>
      </c>
      <c r="I22" s="22"/>
      <c r="J22" s="33">
        <f t="shared" ref="J22:J31" si="13">IF(H$12=0,0,H22/H$12)</f>
        <v>0.76050095995855926</v>
      </c>
      <c r="K22" s="4"/>
      <c r="L22" s="22">
        <f t="shared" ref="L22:L31" si="14">+D22-H22</f>
        <v>1525.4600000000064</v>
      </c>
      <c r="M22" s="4"/>
      <c r="N22" s="33">
        <f t="shared" ref="N22:N31" si="15">IF(H22=0,0,L22/H22)</f>
        <v>9.1627143728947522E-2</v>
      </c>
      <c r="O22" s="10"/>
      <c r="P22" s="22">
        <f>SUM(OSRRefP22x_0)</f>
        <v>34897.31</v>
      </c>
      <c r="Q22" s="22"/>
      <c r="R22" s="33">
        <f t="shared" ref="R22:R31" si="16">IF(P$12=0,0,P22/P$12)</f>
        <v>1.3421009922313667</v>
      </c>
      <c r="S22" s="22"/>
      <c r="T22" s="22">
        <f>SUM(OSRRefT22x_0)</f>
        <v>29344.289999999997</v>
      </c>
      <c r="U22" s="22"/>
      <c r="V22" s="33">
        <f t="shared" ref="V22:V31" si="17">IF(T$12=0,0,T22/T$12)</f>
        <v>0.94820990957455042</v>
      </c>
      <c r="W22" s="4"/>
      <c r="X22" s="22">
        <f t="shared" ref="X22:X31" si="18">+P22-T22</f>
        <v>5553.02</v>
      </c>
      <c r="Y22" s="4"/>
      <c r="Z22" s="33">
        <f t="shared" ref="Z22:Z31" si="19">IF(T22=0,0,X22/T22)</f>
        <v>0.18923681574848125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3305.1499999999996</v>
      </c>
      <c r="E23" s="1"/>
      <c r="F23" s="5">
        <f t="shared" si="12"/>
        <v>0.16382883068203727</v>
      </c>
      <c r="G23" s="1"/>
      <c r="H23" s="1">
        <f>SUM(OSRRefH22_0x_0)</f>
        <v>3298.99</v>
      </c>
      <c r="I23" s="1"/>
      <c r="J23" s="5">
        <f t="shared" si="13"/>
        <v>0.15069682073967283</v>
      </c>
      <c r="K23" s="1"/>
      <c r="L23" s="1">
        <f t="shared" si="14"/>
        <v>6.1599999999998545</v>
      </c>
      <c r="M23" s="1"/>
      <c r="N23" s="5">
        <f t="shared" si="15"/>
        <v>1.8672381547079121E-3</v>
      </c>
      <c r="O23" s="14"/>
      <c r="P23" s="1">
        <f>SUM(OSRRefP22_0x_0)</f>
        <v>6738.9900000000007</v>
      </c>
      <c r="Q23" s="1"/>
      <c r="R23" s="5">
        <f t="shared" si="16"/>
        <v>0.25917198677024844</v>
      </c>
      <c r="S23" s="1"/>
      <c r="T23" s="1">
        <f>SUM(OSRRefT22_0x_0)</f>
        <v>5977.6900000000005</v>
      </c>
      <c r="U23" s="1"/>
      <c r="V23" s="5">
        <f t="shared" si="17"/>
        <v>0.19315869950728731</v>
      </c>
      <c r="W23" s="1"/>
      <c r="X23" s="1">
        <f t="shared" si="18"/>
        <v>761.30000000000018</v>
      </c>
      <c r="Y23" s="1"/>
      <c r="Z23" s="5">
        <f t="shared" si="19"/>
        <v>0.12735688869780804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679.77</v>
      </c>
      <c r="E24" s="2"/>
      <c r="F24" s="6">
        <f t="shared" si="12"/>
        <v>3.3694665668041843E-2</v>
      </c>
      <c r="G24" s="2"/>
      <c r="H24" s="7">
        <v>681.6</v>
      </c>
      <c r="I24" s="2"/>
      <c r="J24" s="6">
        <f t="shared" si="13"/>
        <v>3.1135272618638136E-2</v>
      </c>
      <c r="K24" s="2"/>
      <c r="L24" s="7">
        <f t="shared" si="14"/>
        <v>-1.8300000000000409</v>
      </c>
      <c r="M24" s="2"/>
      <c r="N24" s="6">
        <f t="shared" si="15"/>
        <v>-2.6848591549296372E-3</v>
      </c>
      <c r="O24" s="11"/>
      <c r="P24" s="7">
        <v>1197.3399999999999</v>
      </c>
      <c r="Q24" s="2"/>
      <c r="R24" s="6">
        <f t="shared" si="16"/>
        <v>4.6047996307976305E-2</v>
      </c>
      <c r="S24" s="2"/>
      <c r="T24" s="7">
        <v>1224.3900000000001</v>
      </c>
      <c r="U24" s="2"/>
      <c r="V24" s="6">
        <f t="shared" si="17"/>
        <v>3.9564042312285767E-2</v>
      </c>
      <c r="W24" s="2"/>
      <c r="X24" s="7">
        <f t="shared" si="18"/>
        <v>-27.050000000000182</v>
      </c>
      <c r="Y24" s="2"/>
      <c r="Z24" s="6">
        <f t="shared" si="19"/>
        <v>-2.2092633882994945E-2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346.55</v>
      </c>
      <c r="E25" s="2"/>
      <c r="F25" s="6">
        <f t="shared" si="12"/>
        <v>1.7177701851008281E-2</v>
      </c>
      <c r="G25" s="2"/>
      <c r="H25" s="7">
        <v>306.10000000000002</v>
      </c>
      <c r="I25" s="2"/>
      <c r="J25" s="6">
        <f t="shared" si="13"/>
        <v>1.3982551274303307E-2</v>
      </c>
      <c r="K25" s="2"/>
      <c r="L25" s="7">
        <f t="shared" si="14"/>
        <v>40.449999999999989</v>
      </c>
      <c r="M25" s="2"/>
      <c r="N25" s="6">
        <f t="shared" si="15"/>
        <v>0.13214635739954259</v>
      </c>
      <c r="O25" s="11"/>
      <c r="P25" s="7">
        <v>630.78</v>
      </c>
      <c r="Q25" s="2"/>
      <c r="R25" s="6">
        <f t="shared" si="16"/>
        <v>2.4258903161295284E-2</v>
      </c>
      <c r="S25" s="2"/>
      <c r="T25" s="7">
        <v>627.15</v>
      </c>
      <c r="U25" s="2"/>
      <c r="V25" s="6">
        <f t="shared" si="17"/>
        <v>2.0265266080374728E-2</v>
      </c>
      <c r="W25" s="2"/>
      <c r="X25" s="7">
        <f t="shared" si="18"/>
        <v>3.6299999999999955</v>
      </c>
      <c r="Y25" s="2"/>
      <c r="Z25" s="6">
        <f t="shared" si="19"/>
        <v>5.788088973929675E-3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1286.5999999999999</v>
      </c>
      <c r="E26" s="2"/>
      <c r="F26" s="6">
        <f t="shared" si="12"/>
        <v>6.3773860053404283E-2</v>
      </c>
      <c r="G26" s="2"/>
      <c r="H26" s="7">
        <v>1415.02</v>
      </c>
      <c r="I26" s="2"/>
      <c r="J26" s="6">
        <f t="shared" si="13"/>
        <v>6.4637666462478482E-2</v>
      </c>
      <c r="K26" s="2"/>
      <c r="L26" s="7">
        <f t="shared" si="14"/>
        <v>-128.42000000000007</v>
      </c>
      <c r="M26" s="2"/>
      <c r="N26" s="6">
        <f t="shared" si="15"/>
        <v>-9.0754900990798776E-2</v>
      </c>
      <c r="O26" s="11"/>
      <c r="P26" s="7">
        <v>2573.1999999999998</v>
      </c>
      <c r="Q26" s="2"/>
      <c r="R26" s="6">
        <f t="shared" si="16"/>
        <v>9.8961618337050986E-2</v>
      </c>
      <c r="S26" s="2"/>
      <c r="T26" s="7">
        <v>1942.04</v>
      </c>
      <c r="U26" s="2"/>
      <c r="V26" s="6">
        <f t="shared" si="17"/>
        <v>6.27536591544781E-2</v>
      </c>
      <c r="W26" s="2"/>
      <c r="X26" s="7">
        <f t="shared" si="18"/>
        <v>631.15999999999985</v>
      </c>
      <c r="Y26" s="2"/>
      <c r="Z26" s="6">
        <f t="shared" si="19"/>
        <v>0.32499845523264187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23.22</v>
      </c>
      <c r="E27" s="2"/>
      <c r="F27" s="6">
        <f t="shared" si="12"/>
        <v>1.1509630269237118E-3</v>
      </c>
      <c r="G27" s="2"/>
      <c r="H27" s="7">
        <v>22.74</v>
      </c>
      <c r="I27" s="2"/>
      <c r="J27" s="6">
        <f t="shared" si="13"/>
        <v>1.0387560143013954E-3</v>
      </c>
      <c r="K27" s="2"/>
      <c r="L27" s="7">
        <f t="shared" si="14"/>
        <v>0.48000000000000043</v>
      </c>
      <c r="M27" s="2"/>
      <c r="N27" s="6">
        <f t="shared" si="15"/>
        <v>2.1108179419525086E-2</v>
      </c>
      <c r="O27" s="11"/>
      <c r="P27" s="7">
        <v>42.27</v>
      </c>
      <c r="Q27" s="2"/>
      <c r="R27" s="6">
        <f t="shared" si="16"/>
        <v>1.6256441812168296E-3</v>
      </c>
      <c r="S27" s="2"/>
      <c r="T27" s="7">
        <v>46.59</v>
      </c>
      <c r="U27" s="2"/>
      <c r="V27" s="6">
        <f t="shared" si="17"/>
        <v>1.5054751601445567E-3</v>
      </c>
      <c r="W27" s="2"/>
      <c r="X27" s="7">
        <f t="shared" si="18"/>
        <v>-4.32</v>
      </c>
      <c r="Y27" s="2"/>
      <c r="Z27" s="6">
        <f t="shared" si="19"/>
        <v>-9.2723760463618798E-2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326.52</v>
      </c>
      <c r="E28" s="2"/>
      <c r="F28" s="6">
        <f t="shared" si="12"/>
        <v>1.6184859928989249E-2</v>
      </c>
      <c r="G28" s="2"/>
      <c r="H28" s="7">
        <v>287.52999999999997</v>
      </c>
      <c r="I28" s="2"/>
      <c r="J28" s="6">
        <f t="shared" si="13"/>
        <v>1.3134279542307836E-2</v>
      </c>
      <c r="K28" s="2"/>
      <c r="L28" s="7">
        <f t="shared" si="14"/>
        <v>38.990000000000009</v>
      </c>
      <c r="M28" s="2"/>
      <c r="N28" s="6">
        <f t="shared" si="15"/>
        <v>0.13560324140089733</v>
      </c>
      <c r="O28" s="11"/>
      <c r="P28" s="7">
        <v>653.04</v>
      </c>
      <c r="Q28" s="2"/>
      <c r="R28" s="6">
        <f t="shared" si="16"/>
        <v>2.5114991154526572E-2</v>
      </c>
      <c r="S28" s="2"/>
      <c r="T28" s="7">
        <v>714.64</v>
      </c>
      <c r="U28" s="2"/>
      <c r="V28" s="6">
        <f t="shared" si="17"/>
        <v>2.3092353905252327E-2</v>
      </c>
      <c r="W28" s="2"/>
      <c r="X28" s="7">
        <f t="shared" si="18"/>
        <v>-61.600000000000023</v>
      </c>
      <c r="Y28" s="2"/>
      <c r="Z28" s="6">
        <f t="shared" si="19"/>
        <v>-8.6197246165901742E-2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269.38</v>
      </c>
      <c r="E29" s="2"/>
      <c r="F29" s="6">
        <f t="shared" si="12"/>
        <v>1.3352559009160615E-2</v>
      </c>
      <c r="G29" s="2"/>
      <c r="H29" s="7">
        <v>242.16</v>
      </c>
      <c r="I29" s="2"/>
      <c r="J29" s="6">
        <f t="shared" si="13"/>
        <v>1.1061792278945732E-2</v>
      </c>
      <c r="K29" s="2"/>
      <c r="L29" s="7">
        <f t="shared" si="14"/>
        <v>27.22</v>
      </c>
      <c r="M29" s="2"/>
      <c r="N29" s="6">
        <f t="shared" si="15"/>
        <v>0.112405021473406</v>
      </c>
      <c r="O29" s="11"/>
      <c r="P29" s="7">
        <v>622.85</v>
      </c>
      <c r="Q29" s="2"/>
      <c r="R29" s="6">
        <f t="shared" si="16"/>
        <v>2.3953926621029152E-2</v>
      </c>
      <c r="S29" s="2"/>
      <c r="T29" s="7">
        <v>560.01</v>
      </c>
      <c r="U29" s="2"/>
      <c r="V29" s="6">
        <f t="shared" si="17"/>
        <v>1.8095753261055014E-2</v>
      </c>
      <c r="W29" s="2"/>
      <c r="X29" s="7">
        <f t="shared" si="18"/>
        <v>62.840000000000032</v>
      </c>
      <c r="Y29" s="2"/>
      <c r="Z29" s="6">
        <f t="shared" si="19"/>
        <v>0.11221228192353713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215.62</v>
      </c>
      <c r="E30" s="2"/>
      <c r="F30" s="6">
        <f t="shared" si="12"/>
        <v>1.0687797065688662E-2</v>
      </c>
      <c r="G30" s="2"/>
      <c r="H30" s="7">
        <v>193.84</v>
      </c>
      <c r="I30" s="2"/>
      <c r="J30" s="6">
        <f t="shared" si="13"/>
        <v>8.8545499477652809E-3</v>
      </c>
      <c r="K30" s="2"/>
      <c r="L30" s="7">
        <f t="shared" si="14"/>
        <v>21.78</v>
      </c>
      <c r="M30" s="2"/>
      <c r="N30" s="6">
        <f t="shared" si="15"/>
        <v>0.11236070986380521</v>
      </c>
      <c r="O30" s="11"/>
      <c r="P30" s="7">
        <v>765.13</v>
      </c>
      <c r="Q30" s="2"/>
      <c r="R30" s="6">
        <f t="shared" si="16"/>
        <v>2.9425813398969311E-2</v>
      </c>
      <c r="S30" s="2"/>
      <c r="T30" s="7">
        <v>620.54999999999995</v>
      </c>
      <c r="U30" s="2"/>
      <c r="V30" s="6">
        <f t="shared" si="17"/>
        <v>2.0051998511004605E-2</v>
      </c>
      <c r="W30" s="2"/>
      <c r="X30" s="7">
        <f t="shared" si="18"/>
        <v>144.58000000000004</v>
      </c>
      <c r="Y30" s="2"/>
      <c r="Z30" s="6">
        <f t="shared" si="19"/>
        <v>0.23298686648940464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157.49</v>
      </c>
      <c r="E31" s="2"/>
      <c r="F31" s="6">
        <f t="shared" si="12"/>
        <v>7.8064240788206455E-3</v>
      </c>
      <c r="G31" s="2"/>
      <c r="H31" s="7">
        <v>150</v>
      </c>
      <c r="I31" s="2"/>
      <c r="J31" s="6">
        <f t="shared" si="13"/>
        <v>6.8519526009326879E-3</v>
      </c>
      <c r="K31" s="2"/>
      <c r="L31" s="7">
        <f t="shared" si="14"/>
        <v>7.4900000000000091</v>
      </c>
      <c r="M31" s="2"/>
      <c r="N31" s="6">
        <f t="shared" si="15"/>
        <v>4.9933333333333392E-2</v>
      </c>
      <c r="O31" s="11"/>
      <c r="P31" s="7">
        <v>254.38</v>
      </c>
      <c r="Q31" s="2"/>
      <c r="R31" s="6">
        <f t="shared" si="16"/>
        <v>9.7830936081839855E-3</v>
      </c>
      <c r="S31" s="2"/>
      <c r="T31" s="7">
        <v>242.32</v>
      </c>
      <c r="U31" s="2"/>
      <c r="V31" s="6">
        <f t="shared" si="17"/>
        <v>7.8301511226921867E-3</v>
      </c>
      <c r="W31" s="2"/>
      <c r="X31" s="7">
        <f t="shared" si="18"/>
        <v>12.060000000000002</v>
      </c>
      <c r="Y31" s="2"/>
      <c r="Z31" s="6">
        <f t="shared" si="19"/>
        <v>4.9768900627269734E-2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10796.89</v>
      </c>
      <c r="E32" s="1"/>
      <c r="F32" s="5">
        <f t="shared" ref="F32:F37" si="20">IF(D$12=0,0,D32/D$12)</f>
        <v>0.53517748474428739</v>
      </c>
      <c r="G32" s="1"/>
      <c r="H32" s="1">
        <f>SUM(OSRRefH22_1x_0)</f>
        <v>10408.939999999999</v>
      </c>
      <c r="I32" s="1"/>
      <c r="J32" s="5">
        <f t="shared" ref="J32:J37" si="21">IF(H$12=0,0,H32/H$12)</f>
        <v>0.47547709003968192</v>
      </c>
      <c r="K32" s="1"/>
      <c r="L32" s="1">
        <f t="shared" ref="L32:L37" si="22">+D32-H32</f>
        <v>387.95000000000073</v>
      </c>
      <c r="M32" s="1"/>
      <c r="N32" s="5">
        <f t="shared" ref="N32:N37" si="23">IF(H32=0,0,L32/H32)</f>
        <v>3.7270846022745906E-2</v>
      </c>
      <c r="O32" s="14"/>
      <c r="P32" s="1">
        <f>SUM(OSRRefP22_1x_0)</f>
        <v>18710.59</v>
      </c>
      <c r="Q32" s="1"/>
      <c r="R32" s="5">
        <f t="shared" ref="R32:R37" si="24">IF(P$12=0,0,P32/P$12)</f>
        <v>0.71958272440581494</v>
      </c>
      <c r="S32" s="1"/>
      <c r="T32" s="1">
        <f>SUM(OSRRefT22_1x_0)</f>
        <v>18008.489999999998</v>
      </c>
      <c r="U32" s="1"/>
      <c r="V32" s="5">
        <f t="shared" ref="V32:V37" si="25">IF(T$12=0,0,T32/T$12)</f>
        <v>0.58191316520093672</v>
      </c>
      <c r="W32" s="1"/>
      <c r="X32" s="1">
        <f t="shared" ref="X32:X37" si="26">+P32-T32</f>
        <v>702.10000000000218</v>
      </c>
      <c r="Y32" s="1"/>
      <c r="Z32" s="5">
        <f t="shared" ref="Z32:Z37" si="27">IF(T32=0,0,X32/T32)</f>
        <v>3.8987166608638608E-2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4674.62</v>
      </c>
      <c r="E33" s="2"/>
      <c r="F33" s="6">
        <f t="shared" si="20"/>
        <v>0.23171036972084932</v>
      </c>
      <c r="G33" s="2"/>
      <c r="H33" s="7">
        <v>3782.16</v>
      </c>
      <c r="I33" s="2"/>
      <c r="J33" s="6">
        <f t="shared" si="21"/>
        <v>0.17276787366095717</v>
      </c>
      <c r="K33" s="2"/>
      <c r="L33" s="7">
        <f t="shared" si="22"/>
        <v>892.46</v>
      </c>
      <c r="M33" s="2"/>
      <c r="N33" s="6">
        <f t="shared" si="23"/>
        <v>0.23596569156249342</v>
      </c>
      <c r="O33" s="11"/>
      <c r="P33" s="7">
        <v>9583.32</v>
      </c>
      <c r="Q33" s="2"/>
      <c r="R33" s="6">
        <f t="shared" si="24"/>
        <v>0.3685608799323129</v>
      </c>
      <c r="S33" s="2"/>
      <c r="T33" s="7">
        <v>7564.72</v>
      </c>
      <c r="U33" s="2"/>
      <c r="V33" s="6">
        <f t="shared" si="25"/>
        <v>0.24444082535841877</v>
      </c>
      <c r="W33" s="2"/>
      <c r="X33" s="7">
        <f t="shared" si="26"/>
        <v>2018.5999999999995</v>
      </c>
      <c r="Y33" s="2"/>
      <c r="Z33" s="6">
        <f t="shared" si="27"/>
        <v>0.26684398100656725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1629.96</v>
      </c>
      <c r="E34" s="2"/>
      <c r="F34" s="6">
        <f t="shared" si="20"/>
        <v>8.0793440799507898E-2</v>
      </c>
      <c r="G34" s="2"/>
      <c r="H34" s="7">
        <v>1167.3399999999999</v>
      </c>
      <c r="I34" s="2"/>
      <c r="J34" s="6">
        <f t="shared" si="21"/>
        <v>5.3323722327818422E-2</v>
      </c>
      <c r="K34" s="2"/>
      <c r="L34" s="7">
        <f t="shared" si="22"/>
        <v>462.62000000000012</v>
      </c>
      <c r="M34" s="2"/>
      <c r="N34" s="6">
        <f t="shared" si="23"/>
        <v>0.39630270529580086</v>
      </c>
      <c r="O34" s="11"/>
      <c r="P34" s="7">
        <v>2637.96</v>
      </c>
      <c r="Q34" s="2"/>
      <c r="R34" s="6">
        <f t="shared" si="24"/>
        <v>0.10145219598492423</v>
      </c>
      <c r="S34" s="2"/>
      <c r="T34" s="7">
        <v>2523.08</v>
      </c>
      <c r="U34" s="2"/>
      <c r="V34" s="6">
        <f t="shared" si="25"/>
        <v>8.1528960443389739E-2</v>
      </c>
      <c r="W34" s="2"/>
      <c r="X34" s="7">
        <f t="shared" si="26"/>
        <v>114.88000000000011</v>
      </c>
      <c r="Y34" s="2"/>
      <c r="Z34" s="6">
        <f t="shared" si="27"/>
        <v>4.5531651790668592E-2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0"/>
        <v>0</v>
      </c>
      <c r="G35" s="2"/>
      <c r="H35" s="7">
        <v>654.5</v>
      </c>
      <c r="I35" s="2"/>
      <c r="J35" s="6">
        <f t="shared" si="21"/>
        <v>2.9897353182069628E-2</v>
      </c>
      <c r="K35" s="2"/>
      <c r="L35" s="7">
        <f t="shared" si="22"/>
        <v>-654.5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1001</v>
      </c>
      <c r="U35" s="2"/>
      <c r="V35" s="6">
        <f t="shared" si="25"/>
        <v>3.2345581354468793E-2</v>
      </c>
      <c r="W35" s="2"/>
      <c r="X35" s="7">
        <f t="shared" si="26"/>
        <v>-1001</v>
      </c>
      <c r="Y35" s="2"/>
      <c r="Z35" s="6">
        <f t="shared" si="27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4492.3100000000004</v>
      </c>
      <c r="E36" s="2"/>
      <c r="F36" s="6">
        <f t="shared" si="20"/>
        <v>0.22267367422393025</v>
      </c>
      <c r="G36" s="2"/>
      <c r="H36" s="7">
        <v>4612.4399999999996</v>
      </c>
      <c r="I36" s="2"/>
      <c r="J36" s="6">
        <f t="shared" si="21"/>
        <v>0.21069480169763977</v>
      </c>
      <c r="K36" s="2"/>
      <c r="L36" s="7">
        <f t="shared" si="22"/>
        <v>-120.1299999999992</v>
      </c>
      <c r="M36" s="2"/>
      <c r="N36" s="6">
        <f t="shared" si="23"/>
        <v>-2.6044783238372577E-2</v>
      </c>
      <c r="O36" s="11"/>
      <c r="P36" s="7">
        <v>6489.31</v>
      </c>
      <c r="Q36" s="2"/>
      <c r="R36" s="6">
        <f t="shared" si="24"/>
        <v>0.24956964848857782</v>
      </c>
      <c r="S36" s="2"/>
      <c r="T36" s="7">
        <v>6727.19</v>
      </c>
      <c r="U36" s="2"/>
      <c r="V36" s="6">
        <f t="shared" si="25"/>
        <v>0.21737749393803088</v>
      </c>
      <c r="W36" s="2"/>
      <c r="X36" s="7">
        <f t="shared" si="26"/>
        <v>-237.8799999999992</v>
      </c>
      <c r="Y36" s="2"/>
      <c r="Z36" s="6">
        <f t="shared" si="27"/>
        <v>-3.5360975384967457E-2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0"/>
        <v>0</v>
      </c>
      <c r="G37" s="2"/>
      <c r="H37" s="7">
        <v>192.5</v>
      </c>
      <c r="I37" s="2"/>
      <c r="J37" s="6">
        <f t="shared" si="21"/>
        <v>8.7933391711969497E-3</v>
      </c>
      <c r="K37" s="2"/>
      <c r="L37" s="7">
        <f t="shared" si="22"/>
        <v>-192.5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192.5</v>
      </c>
      <c r="U37" s="2"/>
      <c r="V37" s="6">
        <f t="shared" si="25"/>
        <v>6.2203041066286142E-3</v>
      </c>
      <c r="W37" s="2"/>
      <c r="X37" s="7">
        <f t="shared" si="26"/>
        <v>-192.5</v>
      </c>
      <c r="Y37" s="2"/>
      <c r="Z37" s="6">
        <f t="shared" si="27"/>
        <v>-1</v>
      </c>
    </row>
    <row r="38" spans="1:26" s="27" customFormat="1" outlineLevel="1" collapsed="1" x14ac:dyDescent="0.25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541.04999999999995</v>
      </c>
      <c r="E38" s="1"/>
      <c r="F38" s="5">
        <f t="shared" ref="F38:F56" si="28">IF(D$12=0,0,D38/D$12)</f>
        <v>2.6818628153190104E-2</v>
      </c>
      <c r="G38" s="1"/>
      <c r="H38" s="1">
        <f>SUM(OSRRefH22_2x_0)</f>
        <v>150.97</v>
      </c>
      <c r="I38" s="1"/>
      <c r="J38" s="5">
        <f t="shared" ref="J38:J56" si="29">IF(H$12=0,0,H38/H$12)</f>
        <v>6.8962618944187195E-3</v>
      </c>
      <c r="K38" s="1"/>
      <c r="L38" s="1">
        <f t="shared" ref="L38:L56" si="30">+D38-H38</f>
        <v>390.07999999999993</v>
      </c>
      <c r="M38" s="1"/>
      <c r="N38" s="5">
        <f t="shared" ref="N38:N56" si="31">IF(H38=0,0,L38/H38)</f>
        <v>2.5838246009140886</v>
      </c>
      <c r="O38" s="14"/>
      <c r="P38" s="1">
        <f>SUM(OSRRefP22_2x_0)</f>
        <v>998.55</v>
      </c>
      <c r="Q38" s="1"/>
      <c r="R38" s="5">
        <f t="shared" ref="R38:R56" si="32">IF(P$12=0,0,P38/P$12)</f>
        <v>3.8402815168063993E-2</v>
      </c>
      <c r="S38" s="1"/>
      <c r="T38" s="1">
        <f>SUM(OSRRefT22_2x_0)</f>
        <v>301.97000000000003</v>
      </c>
      <c r="U38" s="1"/>
      <c r="V38" s="5">
        <f t="shared" ref="V38:V56" si="33">IF(T$12=0,0,T38/T$12)</f>
        <v>9.7576375640448972E-3</v>
      </c>
      <c r="W38" s="1"/>
      <c r="X38" s="1">
        <f t="shared" ref="X38:X56" si="34">+P38-T38</f>
        <v>696.57999999999993</v>
      </c>
      <c r="Y38" s="1"/>
      <c r="Z38" s="5">
        <f t="shared" ref="Z38:Z56" si="35">IF(T38=0,0,X38/T38)</f>
        <v>2.3067854422624761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>
        <v>541.04999999999995</v>
      </c>
      <c r="E39" s="2"/>
      <c r="F39" s="6">
        <f t="shared" si="28"/>
        <v>2.6818628153190104E-2</v>
      </c>
      <c r="G39" s="2"/>
      <c r="H39" s="7">
        <v>150.97</v>
      </c>
      <c r="I39" s="2"/>
      <c r="J39" s="6">
        <f t="shared" si="29"/>
        <v>6.8962618944187195E-3</v>
      </c>
      <c r="K39" s="2"/>
      <c r="L39" s="7">
        <f t="shared" si="30"/>
        <v>390.07999999999993</v>
      </c>
      <c r="M39" s="2"/>
      <c r="N39" s="6">
        <f t="shared" si="31"/>
        <v>2.5838246009140886</v>
      </c>
      <c r="O39" s="11"/>
      <c r="P39" s="7">
        <v>998.55</v>
      </c>
      <c r="Q39" s="2"/>
      <c r="R39" s="6">
        <f t="shared" si="32"/>
        <v>3.8402815168063993E-2</v>
      </c>
      <c r="S39" s="2"/>
      <c r="T39" s="7">
        <v>301.97000000000003</v>
      </c>
      <c r="U39" s="2"/>
      <c r="V39" s="6">
        <f t="shared" si="33"/>
        <v>9.7576375640448972E-3</v>
      </c>
      <c r="W39" s="2"/>
      <c r="X39" s="7">
        <f t="shared" si="34"/>
        <v>696.57999999999993</v>
      </c>
      <c r="Y39" s="2"/>
      <c r="Z39" s="6">
        <f t="shared" si="35"/>
        <v>2.3067854422624761</v>
      </c>
    </row>
    <row r="40" spans="1:26" s="27" customFormat="1" outlineLevel="1" collapsed="1" x14ac:dyDescent="0.25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-6.63</v>
      </c>
      <c r="E40" s="1"/>
      <c r="F40" s="5">
        <f t="shared" si="28"/>
        <v>-3.2863414593041381E-4</v>
      </c>
      <c r="G40" s="1"/>
      <c r="H40" s="1">
        <f>SUM(OSRRefH22_3x_0)</f>
        <v>-0.73</v>
      </c>
      <c r="I40" s="1"/>
      <c r="J40" s="5">
        <f t="shared" si="29"/>
        <v>-3.3346169324539079E-5</v>
      </c>
      <c r="K40" s="1"/>
      <c r="L40" s="1">
        <f t="shared" si="30"/>
        <v>-5.9</v>
      </c>
      <c r="M40" s="1"/>
      <c r="N40" s="5">
        <f t="shared" si="31"/>
        <v>8.082191780821919</v>
      </c>
      <c r="O40" s="14"/>
      <c r="P40" s="1">
        <f>SUM(OSRRefP22_3x_0)</f>
        <v>-6.82</v>
      </c>
      <c r="Q40" s="1"/>
      <c r="R40" s="5">
        <f t="shared" si="32"/>
        <v>-2.6228751634489657E-4</v>
      </c>
      <c r="S40" s="1"/>
      <c r="T40" s="1">
        <f>SUM(OSRRefT22_3x_0)</f>
        <v>-1.06</v>
      </c>
      <c r="U40" s="1"/>
      <c r="V40" s="5">
        <f t="shared" si="33"/>
        <v>-3.4252064171565356E-5</v>
      </c>
      <c r="W40" s="1"/>
      <c r="X40" s="1">
        <f t="shared" si="34"/>
        <v>-5.76</v>
      </c>
      <c r="Y40" s="1"/>
      <c r="Z40" s="5">
        <f t="shared" si="35"/>
        <v>5.4339622641509431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>
        <v>-6.63</v>
      </c>
      <c r="E41" s="2"/>
      <c r="F41" s="6">
        <f t="shared" si="28"/>
        <v>-3.2863414593041381E-4</v>
      </c>
      <c r="G41" s="2"/>
      <c r="H41" s="7">
        <v>-0.73</v>
      </c>
      <c r="I41" s="2"/>
      <c r="J41" s="6">
        <f t="shared" si="29"/>
        <v>-3.3346169324539079E-5</v>
      </c>
      <c r="K41" s="2"/>
      <c r="L41" s="7">
        <f t="shared" si="30"/>
        <v>-5.9</v>
      </c>
      <c r="M41" s="2"/>
      <c r="N41" s="6">
        <f t="shared" si="31"/>
        <v>8.082191780821919</v>
      </c>
      <c r="O41" s="11"/>
      <c r="P41" s="7">
        <v>-6.82</v>
      </c>
      <c r="Q41" s="2"/>
      <c r="R41" s="6">
        <f t="shared" si="32"/>
        <v>-2.6228751634489657E-4</v>
      </c>
      <c r="S41" s="2"/>
      <c r="T41" s="7">
        <v>-1.06</v>
      </c>
      <c r="U41" s="2"/>
      <c r="V41" s="6">
        <f t="shared" si="33"/>
        <v>-3.4252064171565356E-5</v>
      </c>
      <c r="W41" s="2"/>
      <c r="X41" s="7">
        <f t="shared" si="34"/>
        <v>-5.76</v>
      </c>
      <c r="Y41" s="2"/>
      <c r="Z41" s="6">
        <f t="shared" si="35"/>
        <v>5.4339622641509431</v>
      </c>
    </row>
    <row r="42" spans="1:26" s="27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677.7</v>
      </c>
      <c r="E42" s="1"/>
      <c r="F42" s="5">
        <f t="shared" si="28"/>
        <v>3.3592060436959496E-2</v>
      </c>
      <c r="G42" s="1"/>
      <c r="H42" s="1">
        <f>SUM(OSRRefH22_4x_0)</f>
        <v>662.13</v>
      </c>
      <c r="I42" s="1"/>
      <c r="J42" s="5">
        <f t="shared" si="29"/>
        <v>3.0245889171037071E-2</v>
      </c>
      <c r="K42" s="1"/>
      <c r="L42" s="1">
        <f t="shared" si="30"/>
        <v>15.57000000000005</v>
      </c>
      <c r="M42" s="1"/>
      <c r="N42" s="5">
        <f t="shared" si="31"/>
        <v>2.3515019709120642E-2</v>
      </c>
      <c r="O42" s="14"/>
      <c r="P42" s="1">
        <f>SUM(OSRRefP22_4x_0)</f>
        <v>810.2</v>
      </c>
      <c r="Q42" s="1"/>
      <c r="R42" s="5">
        <f t="shared" si="32"/>
        <v>3.1159141604491965E-2</v>
      </c>
      <c r="S42" s="1"/>
      <c r="T42" s="1">
        <f>SUM(OSRRefT22_4x_0)</f>
        <v>925.39</v>
      </c>
      <c r="U42" s="1"/>
      <c r="V42" s="5">
        <f t="shared" si="33"/>
        <v>2.9902375154457421E-2</v>
      </c>
      <c r="W42" s="1"/>
      <c r="X42" s="1">
        <f t="shared" si="34"/>
        <v>-115.18999999999994</v>
      </c>
      <c r="Y42" s="1"/>
      <c r="Z42" s="5">
        <f t="shared" si="35"/>
        <v>-0.1244772474308129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677.7</v>
      </c>
      <c r="E43" s="2"/>
      <c r="F43" s="6">
        <f t="shared" si="28"/>
        <v>3.3592060436959496E-2</v>
      </c>
      <c r="G43" s="2"/>
      <c r="H43" s="7">
        <v>662.13</v>
      </c>
      <c r="I43" s="2"/>
      <c r="J43" s="6">
        <f t="shared" si="29"/>
        <v>3.0245889171037071E-2</v>
      </c>
      <c r="K43" s="2"/>
      <c r="L43" s="7">
        <f t="shared" si="30"/>
        <v>15.57000000000005</v>
      </c>
      <c r="M43" s="2"/>
      <c r="N43" s="6">
        <f t="shared" si="31"/>
        <v>2.3515019709120642E-2</v>
      </c>
      <c r="O43" s="11"/>
      <c r="P43" s="7">
        <v>810.2</v>
      </c>
      <c r="Q43" s="2"/>
      <c r="R43" s="6">
        <f t="shared" si="32"/>
        <v>3.1159141604491965E-2</v>
      </c>
      <c r="S43" s="2"/>
      <c r="T43" s="7">
        <v>925.39</v>
      </c>
      <c r="U43" s="2"/>
      <c r="V43" s="6">
        <f t="shared" si="33"/>
        <v>2.9902375154457421E-2</v>
      </c>
      <c r="W43" s="2"/>
      <c r="X43" s="7">
        <f t="shared" si="34"/>
        <v>-115.18999999999994</v>
      </c>
      <c r="Y43" s="2"/>
      <c r="Z43" s="6">
        <f t="shared" si="35"/>
        <v>-0.1244772474308129</v>
      </c>
    </row>
    <row r="44" spans="1:26" s="27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630.21</v>
      </c>
      <c r="E44" s="1"/>
      <c r="F44" s="5">
        <f t="shared" si="28"/>
        <v>3.1238088251403638E-2</v>
      </c>
      <c r="G44" s="1"/>
      <c r="H44" s="1">
        <f>SUM(OSRRefH22_5x_0)</f>
        <v>635.67999999999995</v>
      </c>
      <c r="I44" s="1"/>
      <c r="J44" s="5">
        <f t="shared" si="29"/>
        <v>2.9037661529072605E-2</v>
      </c>
      <c r="K44" s="1"/>
      <c r="L44" s="1">
        <f t="shared" si="30"/>
        <v>-5.4699999999999136</v>
      </c>
      <c r="M44" s="1"/>
      <c r="N44" s="5">
        <f t="shared" si="31"/>
        <v>-8.6049584696701389E-3</v>
      </c>
      <c r="O44" s="14"/>
      <c r="P44" s="1">
        <f>SUM(OSRRefP22_5x_0)</f>
        <v>1260.42</v>
      </c>
      <c r="Q44" s="1"/>
      <c r="R44" s="5">
        <f t="shared" si="32"/>
        <v>4.8473963541266062E-2</v>
      </c>
      <c r="S44" s="1"/>
      <c r="T44" s="1">
        <f>SUM(OSRRefT22_5x_0)</f>
        <v>1271.3599999999999</v>
      </c>
      <c r="U44" s="1"/>
      <c r="V44" s="5">
        <f t="shared" si="33"/>
        <v>4.1081796514303139E-2</v>
      </c>
      <c r="W44" s="1"/>
      <c r="X44" s="1">
        <f t="shared" si="34"/>
        <v>-10.939999999999827</v>
      </c>
      <c r="Y44" s="1"/>
      <c r="Z44" s="5">
        <f t="shared" si="35"/>
        <v>-8.6049584696701389E-3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630.21</v>
      </c>
      <c r="E45" s="2"/>
      <c r="F45" s="6">
        <f t="shared" si="28"/>
        <v>3.1238088251403638E-2</v>
      </c>
      <c r="G45" s="2"/>
      <c r="H45" s="7">
        <v>635.67999999999995</v>
      </c>
      <c r="I45" s="2"/>
      <c r="J45" s="6">
        <f t="shared" si="29"/>
        <v>2.9037661529072605E-2</v>
      </c>
      <c r="K45" s="2"/>
      <c r="L45" s="7">
        <f t="shared" si="30"/>
        <v>-5.4699999999999136</v>
      </c>
      <c r="M45" s="2"/>
      <c r="N45" s="6">
        <f t="shared" si="31"/>
        <v>-8.6049584696701389E-3</v>
      </c>
      <c r="O45" s="11"/>
      <c r="P45" s="7">
        <v>1260.42</v>
      </c>
      <c r="Q45" s="2"/>
      <c r="R45" s="6">
        <f t="shared" si="32"/>
        <v>4.8473963541266062E-2</v>
      </c>
      <c r="S45" s="2"/>
      <c r="T45" s="7">
        <v>1271.3599999999999</v>
      </c>
      <c r="U45" s="2"/>
      <c r="V45" s="6">
        <f t="shared" si="33"/>
        <v>4.1081796514303139E-2</v>
      </c>
      <c r="W45" s="2"/>
      <c r="X45" s="7">
        <f t="shared" si="34"/>
        <v>-10.939999999999827</v>
      </c>
      <c r="Y45" s="2"/>
      <c r="Z45" s="6">
        <f t="shared" si="35"/>
        <v>-8.6049584696701389E-3</v>
      </c>
    </row>
    <row r="46" spans="1:26" s="27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749.55</v>
      </c>
      <c r="Q46" s="1"/>
      <c r="R46" s="5">
        <f t="shared" si="32"/>
        <v>2.8826628720867623E-2</v>
      </c>
      <c r="S46" s="1"/>
      <c r="T46" s="1">
        <f>SUM(OSRRefT22_6x_0)</f>
        <v>724.2</v>
      </c>
      <c r="U46" s="1"/>
      <c r="V46" s="5">
        <f t="shared" si="33"/>
        <v>2.3401268748158146E-2</v>
      </c>
      <c r="W46" s="1"/>
      <c r="X46" s="1">
        <f t="shared" si="34"/>
        <v>25.349999999999909</v>
      </c>
      <c r="Y46" s="1"/>
      <c r="Z46" s="5">
        <f t="shared" si="35"/>
        <v>3.5004142502071123E-2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28"/>
        <v>0</v>
      </c>
      <c r="G47" s="2"/>
      <c r="H47" s="7"/>
      <c r="I47" s="2"/>
      <c r="J47" s="6">
        <f t="shared" si="29"/>
        <v>0</v>
      </c>
      <c r="K47" s="2"/>
      <c r="L47" s="7">
        <f t="shared" si="30"/>
        <v>0</v>
      </c>
      <c r="M47" s="2"/>
      <c r="N47" s="6">
        <f t="shared" si="31"/>
        <v>0</v>
      </c>
      <c r="O47" s="11"/>
      <c r="P47" s="7">
        <v>749.55</v>
      </c>
      <c r="Q47" s="2"/>
      <c r="R47" s="6">
        <f t="shared" si="32"/>
        <v>2.8826628720867623E-2</v>
      </c>
      <c r="S47" s="2"/>
      <c r="T47" s="7">
        <v>724.2</v>
      </c>
      <c r="U47" s="2"/>
      <c r="V47" s="6">
        <f t="shared" si="33"/>
        <v>2.3401268748158146E-2</v>
      </c>
      <c r="W47" s="2"/>
      <c r="X47" s="7">
        <f t="shared" si="34"/>
        <v>25.349999999999909</v>
      </c>
      <c r="Y47" s="2"/>
      <c r="Z47" s="6">
        <f t="shared" si="35"/>
        <v>3.5004142502071123E-2</v>
      </c>
    </row>
    <row r="48" spans="1:26" s="27" customFormat="1" outlineLevel="1" collapsed="1" x14ac:dyDescent="0.25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1145.23</v>
      </c>
      <c r="E48" s="1"/>
      <c r="F48" s="5">
        <f t="shared" si="28"/>
        <v>5.6766468015669355E-2</v>
      </c>
      <c r="G48" s="1"/>
      <c r="H48" s="1">
        <f>SUM(OSRRefH22_7x_0)</f>
        <v>975.21</v>
      </c>
      <c r="I48" s="1"/>
      <c r="J48" s="5">
        <f t="shared" si="29"/>
        <v>4.4547284639703776E-2</v>
      </c>
      <c r="K48" s="1"/>
      <c r="L48" s="1">
        <f t="shared" si="30"/>
        <v>170.01999999999998</v>
      </c>
      <c r="M48" s="1"/>
      <c r="N48" s="5">
        <f t="shared" si="31"/>
        <v>0.17434193660852532</v>
      </c>
      <c r="O48" s="14"/>
      <c r="P48" s="1">
        <f>SUM(OSRRefP22_7x_0)</f>
        <v>3964.44</v>
      </c>
      <c r="Q48" s="1"/>
      <c r="R48" s="5">
        <f t="shared" si="32"/>
        <v>0.15246673332820551</v>
      </c>
      <c r="S48" s="1"/>
      <c r="T48" s="1">
        <f>SUM(OSRRefT22_7x_0)</f>
        <v>975.21</v>
      </c>
      <c r="U48" s="1"/>
      <c r="V48" s="5">
        <f t="shared" si="33"/>
        <v>3.1512222170520993E-2</v>
      </c>
      <c r="W48" s="1"/>
      <c r="X48" s="1">
        <f t="shared" si="34"/>
        <v>2989.23</v>
      </c>
      <c r="Y48" s="1"/>
      <c r="Z48" s="5">
        <f t="shared" si="35"/>
        <v>3.0652167225520657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7">
        <v>1145.23</v>
      </c>
      <c r="E49" s="2"/>
      <c r="F49" s="6">
        <f t="shared" si="28"/>
        <v>5.6766468015669355E-2</v>
      </c>
      <c r="G49" s="2"/>
      <c r="H49" s="7">
        <v>975.21</v>
      </c>
      <c r="I49" s="2"/>
      <c r="J49" s="6">
        <f t="shared" si="29"/>
        <v>4.4547284639703776E-2</v>
      </c>
      <c r="K49" s="2"/>
      <c r="L49" s="7">
        <f t="shared" si="30"/>
        <v>170.01999999999998</v>
      </c>
      <c r="M49" s="2"/>
      <c r="N49" s="6">
        <f t="shared" si="31"/>
        <v>0.17434193660852532</v>
      </c>
      <c r="O49" s="11"/>
      <c r="P49" s="7">
        <v>3964.44</v>
      </c>
      <c r="Q49" s="2"/>
      <c r="R49" s="6">
        <f t="shared" si="32"/>
        <v>0.15246673332820551</v>
      </c>
      <c r="S49" s="2"/>
      <c r="T49" s="7">
        <v>975.21</v>
      </c>
      <c r="U49" s="2"/>
      <c r="V49" s="6">
        <f t="shared" si="33"/>
        <v>3.1512222170520993E-2</v>
      </c>
      <c r="W49" s="2"/>
      <c r="X49" s="7">
        <f t="shared" si="34"/>
        <v>2989.23</v>
      </c>
      <c r="Y49" s="2"/>
      <c r="Z49" s="6">
        <f t="shared" si="35"/>
        <v>3.0652167225520657</v>
      </c>
    </row>
    <row r="50" spans="1:26" s="27" customFormat="1" outlineLevel="1" collapsed="1" x14ac:dyDescent="0.25">
      <c r="A50" s="28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SUM(OSRRefD22_8x_0)</f>
        <v>60.72</v>
      </c>
      <c r="E50" s="1"/>
      <c r="F50" s="5">
        <f t="shared" si="28"/>
        <v>3.0097534450821608E-3</v>
      </c>
      <c r="G50" s="1"/>
      <c r="H50" s="1">
        <f>SUM(OSRRefH22_8x_0)</f>
        <v>85.58</v>
      </c>
      <c r="I50" s="1"/>
      <c r="J50" s="5">
        <f t="shared" si="29"/>
        <v>3.909267357252129E-3</v>
      </c>
      <c r="K50" s="1"/>
      <c r="L50" s="1">
        <f t="shared" si="30"/>
        <v>-24.86</v>
      </c>
      <c r="M50" s="1"/>
      <c r="N50" s="5">
        <f t="shared" si="31"/>
        <v>-0.29048843187660667</v>
      </c>
      <c r="O50" s="14"/>
      <c r="P50" s="1">
        <f>SUM(OSRRefP22_8x_0)</f>
        <v>67.22</v>
      </c>
      <c r="Q50" s="1"/>
      <c r="R50" s="5">
        <f t="shared" si="32"/>
        <v>2.5851857549419274E-3</v>
      </c>
      <c r="S50" s="1"/>
      <c r="T50" s="1">
        <f>SUM(OSRRefT22_8x_0)</f>
        <v>142.88</v>
      </c>
      <c r="U50" s="1"/>
      <c r="V50" s="5">
        <f t="shared" si="33"/>
        <v>4.6169197441823188E-3</v>
      </c>
      <c r="W50" s="1"/>
      <c r="X50" s="1">
        <f t="shared" si="34"/>
        <v>-75.66</v>
      </c>
      <c r="Y50" s="1"/>
      <c r="Z50" s="5">
        <f t="shared" si="35"/>
        <v>-0.52953527435610304</v>
      </c>
    </row>
    <row r="51" spans="1:26" s="24" customFormat="1" hidden="1" outlineLevel="2" x14ac:dyDescent="0.25">
      <c r="A51" s="29"/>
      <c r="B51" s="11" t="str">
        <f>CONCATENATE("          ", "6286", " - ", "LAUNDRY EXPENSE")</f>
        <v xml:space="preserve">          6286 - LAUNDRY EXPENSE</v>
      </c>
      <c r="C51" s="11"/>
      <c r="D51" s="7">
        <v>60.72</v>
      </c>
      <c r="E51" s="2"/>
      <c r="F51" s="6">
        <f t="shared" si="28"/>
        <v>3.0097534450821608E-3</v>
      </c>
      <c r="G51" s="2"/>
      <c r="H51" s="7">
        <v>85.58</v>
      </c>
      <c r="I51" s="2"/>
      <c r="J51" s="6">
        <f t="shared" si="29"/>
        <v>3.909267357252129E-3</v>
      </c>
      <c r="K51" s="2"/>
      <c r="L51" s="7">
        <f t="shared" si="30"/>
        <v>-24.86</v>
      </c>
      <c r="M51" s="2"/>
      <c r="N51" s="6">
        <f t="shared" si="31"/>
        <v>-0.29048843187660667</v>
      </c>
      <c r="O51" s="11"/>
      <c r="P51" s="7">
        <v>67.22</v>
      </c>
      <c r="Q51" s="2"/>
      <c r="R51" s="6">
        <f t="shared" si="32"/>
        <v>2.5851857549419274E-3</v>
      </c>
      <c r="S51" s="2"/>
      <c r="T51" s="7">
        <v>142.88</v>
      </c>
      <c r="U51" s="2"/>
      <c r="V51" s="6">
        <f t="shared" si="33"/>
        <v>4.6169197441823188E-3</v>
      </c>
      <c r="W51" s="2"/>
      <c r="X51" s="7">
        <f t="shared" si="34"/>
        <v>-75.66</v>
      </c>
      <c r="Y51" s="2"/>
      <c r="Z51" s="6">
        <f t="shared" si="35"/>
        <v>-0.52953527435610304</v>
      </c>
    </row>
    <row r="52" spans="1:26" s="27" customFormat="1" outlineLevel="1" collapsed="1" x14ac:dyDescent="0.25">
      <c r="A52" s="28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SUM(OSRRefD22_9x_0)</f>
        <v>952.7</v>
      </c>
      <c r="E52" s="1"/>
      <c r="F52" s="5">
        <f t="shared" si="28"/>
        <v>4.7223190170121457E-2</v>
      </c>
      <c r="G52" s="1"/>
      <c r="H52" s="1">
        <f>SUM(OSRRefH22_9x_0)</f>
        <v>360.78999999999996</v>
      </c>
      <c r="I52" s="1"/>
      <c r="J52" s="5">
        <f t="shared" si="29"/>
        <v>1.6480773192603361E-2</v>
      </c>
      <c r="K52" s="1"/>
      <c r="L52" s="1">
        <f t="shared" si="30"/>
        <v>591.91000000000008</v>
      </c>
      <c r="M52" s="1"/>
      <c r="N52" s="5">
        <f t="shared" si="31"/>
        <v>1.6405942515036451</v>
      </c>
      <c r="O52" s="14"/>
      <c r="P52" s="1">
        <f>SUM(OSRRefP22_9x_0)</f>
        <v>1536.17</v>
      </c>
      <c r="Q52" s="1"/>
      <c r="R52" s="5">
        <f t="shared" si="32"/>
        <v>5.9078917006384124E-2</v>
      </c>
      <c r="S52" s="1"/>
      <c r="T52" s="1">
        <f>SUM(OSRRefT22_9x_0)</f>
        <v>950.16000000000008</v>
      </c>
      <c r="U52" s="1"/>
      <c r="V52" s="5">
        <f t="shared" si="33"/>
        <v>3.0702774804957117E-2</v>
      </c>
      <c r="W52" s="1"/>
      <c r="X52" s="1">
        <f t="shared" si="34"/>
        <v>586.01</v>
      </c>
      <c r="Y52" s="1"/>
      <c r="Z52" s="5">
        <f t="shared" si="35"/>
        <v>0.61674875810389818</v>
      </c>
    </row>
    <row r="53" spans="1:26" s="24" customFormat="1" hidden="1" outlineLevel="2" x14ac:dyDescent="0.25">
      <c r="A53" s="29"/>
      <c r="B53" s="11" t="str">
        <f>CONCATENATE("          ", "6239", " - ", "KITCHEN SUPPLIES")</f>
        <v xml:space="preserve">          6239 - KITCHEN SUPPLIES</v>
      </c>
      <c r="C53" s="11"/>
      <c r="D53" s="7"/>
      <c r="E53" s="2"/>
      <c r="F53" s="6">
        <f t="shared" si="28"/>
        <v>0</v>
      </c>
      <c r="G53" s="2"/>
      <c r="H53" s="7">
        <v>20.85</v>
      </c>
      <c r="I53" s="2"/>
      <c r="J53" s="6">
        <f t="shared" si="29"/>
        <v>9.5242141152964365E-4</v>
      </c>
      <c r="K53" s="2"/>
      <c r="L53" s="7">
        <f t="shared" si="30"/>
        <v>-20.85</v>
      </c>
      <c r="M53" s="2"/>
      <c r="N53" s="6">
        <f t="shared" si="31"/>
        <v>-1</v>
      </c>
      <c r="O53" s="11"/>
      <c r="P53" s="7">
        <v>540.89</v>
      </c>
      <c r="Q53" s="2"/>
      <c r="R53" s="6">
        <f t="shared" si="32"/>
        <v>2.0801861395277284E-2</v>
      </c>
      <c r="S53" s="2"/>
      <c r="T53" s="7">
        <v>20.85</v>
      </c>
      <c r="U53" s="2"/>
      <c r="V53" s="6">
        <f t="shared" si="33"/>
        <v>6.7373163960107339E-4</v>
      </c>
      <c r="W53" s="2"/>
      <c r="X53" s="7">
        <f t="shared" si="34"/>
        <v>520.04</v>
      </c>
      <c r="Y53" s="2"/>
      <c r="Z53" s="6">
        <f t="shared" si="35"/>
        <v>24.94196642685851</v>
      </c>
    </row>
    <row r="54" spans="1:26" s="24" customFormat="1" hidden="1" outlineLevel="2" x14ac:dyDescent="0.25">
      <c r="A54" s="29"/>
      <c r="B54" s="11" t="str">
        <f>CONCATENATE("          ", "6241", " - ", "OFFICE EXPENSE")</f>
        <v xml:space="preserve">          6241 - OFFICE EXPENSE</v>
      </c>
      <c r="C54" s="11"/>
      <c r="D54" s="7">
        <v>105.78</v>
      </c>
      <c r="E54" s="2"/>
      <c r="F54" s="6">
        <f t="shared" si="28"/>
        <v>5.2432760115413536E-3</v>
      </c>
      <c r="G54" s="2"/>
      <c r="H54" s="7">
        <v>174.37</v>
      </c>
      <c r="I54" s="2"/>
      <c r="J54" s="6">
        <f t="shared" si="29"/>
        <v>7.9651665001642183E-3</v>
      </c>
      <c r="K54" s="2"/>
      <c r="L54" s="7">
        <f t="shared" si="30"/>
        <v>-68.59</v>
      </c>
      <c r="M54" s="2"/>
      <c r="N54" s="6">
        <f t="shared" si="31"/>
        <v>-0.39335894936055515</v>
      </c>
      <c r="O54" s="11"/>
      <c r="P54" s="7">
        <v>105.78</v>
      </c>
      <c r="Q54" s="2"/>
      <c r="R54" s="6">
        <f t="shared" si="32"/>
        <v>4.0681486039535423E-3</v>
      </c>
      <c r="S54" s="2"/>
      <c r="T54" s="7">
        <v>174.37</v>
      </c>
      <c r="U54" s="2"/>
      <c r="V54" s="6">
        <f t="shared" si="33"/>
        <v>5.6344645562225017E-3</v>
      </c>
      <c r="W54" s="2"/>
      <c r="X54" s="7">
        <f t="shared" si="34"/>
        <v>-68.59</v>
      </c>
      <c r="Y54" s="2"/>
      <c r="Z54" s="6">
        <f t="shared" si="35"/>
        <v>-0.39335894936055515</v>
      </c>
    </row>
    <row r="55" spans="1:26" s="24" customFormat="1" hidden="1" outlineLevel="2" x14ac:dyDescent="0.25">
      <c r="A55" s="29"/>
      <c r="B55" s="11" t="str">
        <f>CONCATENATE("          ", "6243", " - ", "PAPER SUPPLIES")</f>
        <v xml:space="preserve">          6243 - PAPER SUPPLIES</v>
      </c>
      <c r="C55" s="11"/>
      <c r="D55" s="7">
        <v>151.68</v>
      </c>
      <c r="E55" s="2"/>
      <c r="F55" s="6">
        <f t="shared" si="28"/>
        <v>7.5184354833672962E-3</v>
      </c>
      <c r="G55" s="2"/>
      <c r="H55" s="7">
        <v>165.57</v>
      </c>
      <c r="I55" s="2"/>
      <c r="J55" s="6">
        <f t="shared" si="29"/>
        <v>7.5631852809095006E-3</v>
      </c>
      <c r="K55" s="2"/>
      <c r="L55" s="7">
        <f t="shared" si="30"/>
        <v>-13.889999999999986</v>
      </c>
      <c r="M55" s="2"/>
      <c r="N55" s="6">
        <f t="shared" si="31"/>
        <v>-8.3892009421996663E-2</v>
      </c>
      <c r="O55" s="11"/>
      <c r="P55" s="7">
        <v>194.26</v>
      </c>
      <c r="Q55" s="2"/>
      <c r="R55" s="6">
        <f t="shared" si="32"/>
        <v>7.4709637720175364E-3</v>
      </c>
      <c r="S55" s="2"/>
      <c r="T55" s="7">
        <v>246.58</v>
      </c>
      <c r="U55" s="2"/>
      <c r="V55" s="6">
        <f t="shared" si="33"/>
        <v>7.9678056447401759E-3</v>
      </c>
      <c r="W55" s="2"/>
      <c r="X55" s="7">
        <f t="shared" si="34"/>
        <v>-52.320000000000022</v>
      </c>
      <c r="Y55" s="2"/>
      <c r="Z55" s="6">
        <f t="shared" si="35"/>
        <v>-0.21218265877200104</v>
      </c>
    </row>
    <row r="56" spans="1:26" s="24" customFormat="1" hidden="1" outlineLevel="2" x14ac:dyDescent="0.25">
      <c r="A56" s="29"/>
      <c r="B56" s="11" t="str">
        <f>CONCATENATE("          ", "6248", " - ", "UNIFORMS")</f>
        <v xml:space="preserve">          6248 - UNIFORMS</v>
      </c>
      <c r="C56" s="11"/>
      <c r="D56" s="7">
        <v>695.24</v>
      </c>
      <c r="E56" s="2"/>
      <c r="F56" s="6">
        <f t="shared" si="28"/>
        <v>3.4461478675212806E-2</v>
      </c>
      <c r="G56" s="2"/>
      <c r="H56" s="7"/>
      <c r="I56" s="2"/>
      <c r="J56" s="6">
        <f t="shared" si="29"/>
        <v>0</v>
      </c>
      <c r="K56" s="2"/>
      <c r="L56" s="7">
        <f t="shared" si="30"/>
        <v>695.24</v>
      </c>
      <c r="M56" s="2"/>
      <c r="N56" s="6">
        <f t="shared" si="31"/>
        <v>0</v>
      </c>
      <c r="O56" s="11"/>
      <c r="P56" s="7">
        <v>695.24</v>
      </c>
      <c r="Q56" s="2"/>
      <c r="R56" s="6">
        <f t="shared" si="32"/>
        <v>2.6737943235135758E-2</v>
      </c>
      <c r="S56" s="2"/>
      <c r="T56" s="7">
        <v>508.36</v>
      </c>
      <c r="U56" s="2"/>
      <c r="V56" s="6">
        <f t="shared" si="33"/>
        <v>1.6426772964393363E-2</v>
      </c>
      <c r="W56" s="2"/>
      <c r="X56" s="7">
        <f t="shared" si="34"/>
        <v>186.88</v>
      </c>
      <c r="Y56" s="2"/>
      <c r="Z56" s="6">
        <f t="shared" si="35"/>
        <v>0.36761350224250527</v>
      </c>
    </row>
    <row r="57" spans="1:26" s="27" customFormat="1" outlineLevel="1" collapsed="1" x14ac:dyDescent="0.25">
      <c r="A57" s="28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SUM(OSRRefD22_10x_0)</f>
        <v>71</v>
      </c>
      <c r="E57" s="1"/>
      <c r="F57" s="5">
        <f t="shared" ref="F57:F58" si="36">IF(D$12=0,0,D57/D$12)</f>
        <v>3.5193098583799973E-3</v>
      </c>
      <c r="G57" s="1"/>
      <c r="H57" s="1">
        <f>SUM(OSRRefH22_10x_0)</f>
        <v>71</v>
      </c>
      <c r="I57" s="1"/>
      <c r="J57" s="5">
        <f t="shared" ref="J57:J58" si="37">IF(H$12=0,0,H57/H$12)</f>
        <v>3.2432575644414721E-3</v>
      </c>
      <c r="K57" s="1"/>
      <c r="L57" s="1">
        <f t="shared" ref="L57:L58" si="38">+D57-H57</f>
        <v>0</v>
      </c>
      <c r="M57" s="1"/>
      <c r="N57" s="5">
        <f t="shared" ref="N57:N58" si="39">IF(H57=0,0,L57/H57)</f>
        <v>0</v>
      </c>
      <c r="O57" s="14"/>
      <c r="P57" s="1">
        <f>SUM(OSRRefP22_10x_0)</f>
        <v>68</v>
      </c>
      <c r="Q57" s="1"/>
      <c r="R57" s="5">
        <f t="shared" ref="R57:R58" si="40">IF(P$12=0,0,P57/P$12)</f>
        <v>2.6151834474271211E-3</v>
      </c>
      <c r="S57" s="1"/>
      <c r="T57" s="1">
        <f>SUM(OSRRefT22_10x_0)</f>
        <v>68</v>
      </c>
      <c r="U57" s="1"/>
      <c r="V57" s="5">
        <f t="shared" ref="V57:V58" si="41">IF(T$12=0,0,T57/T$12)</f>
        <v>2.1973022298740039E-3</v>
      </c>
      <c r="W57" s="1"/>
      <c r="X57" s="1">
        <f t="shared" ref="X57:X58" si="42">+P57-T57</f>
        <v>0</v>
      </c>
      <c r="Y57" s="1"/>
      <c r="Z57" s="5">
        <f t="shared" ref="Z57:Z58" si="43">IF(T57=0,0,X57/T57)</f>
        <v>0</v>
      </c>
    </row>
    <row r="58" spans="1:26" s="24" customFormat="1" hidden="1" outlineLevel="2" x14ac:dyDescent="0.25">
      <c r="A58" s="29"/>
      <c r="B58" s="11" t="str">
        <f>CONCATENATE("          ", "6309", " - ", "TELEPHONE")</f>
        <v xml:space="preserve">          6309 - TELEPHONE</v>
      </c>
      <c r="C58" s="11"/>
      <c r="D58" s="7">
        <v>71</v>
      </c>
      <c r="E58" s="2"/>
      <c r="F58" s="6">
        <f t="shared" si="36"/>
        <v>3.5193098583799973E-3</v>
      </c>
      <c r="G58" s="2"/>
      <c r="H58" s="7">
        <v>71</v>
      </c>
      <c r="I58" s="2"/>
      <c r="J58" s="6">
        <f t="shared" si="37"/>
        <v>3.2432575644414721E-3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68</v>
      </c>
      <c r="Q58" s="2"/>
      <c r="R58" s="6">
        <f t="shared" si="40"/>
        <v>2.6151834474271211E-3</v>
      </c>
      <c r="S58" s="2"/>
      <c r="T58" s="7">
        <v>68</v>
      </c>
      <c r="U58" s="2"/>
      <c r="V58" s="6">
        <f t="shared" si="41"/>
        <v>2.1973022298740039E-3</v>
      </c>
      <c r="W58" s="2"/>
      <c r="X58" s="7">
        <f t="shared" si="42"/>
        <v>0</v>
      </c>
      <c r="Y58" s="2"/>
      <c r="Z58" s="6">
        <f t="shared" si="43"/>
        <v>0</v>
      </c>
    </row>
    <row r="59" spans="1:26" s="62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25">
      <c r="A60" s="10"/>
      <c r="B60" s="25" t="s">
        <v>0</v>
      </c>
      <c r="C60" s="10"/>
      <c r="D60" s="4">
        <f>SUM(OSRRefD25x_0)</f>
        <v>32</v>
      </c>
      <c r="E60" s="4"/>
      <c r="F60" s="12">
        <f t="shared" ref="F60:F61" si="44">IF(D$12=0,0,D60/D$12)</f>
        <v>1.58616782349521E-3</v>
      </c>
      <c r="G60" s="4"/>
      <c r="H60" s="4">
        <f>SUM(OSRRefH25x_0)</f>
        <v>588</v>
      </c>
      <c r="I60" s="4"/>
      <c r="J60" s="12">
        <f t="shared" ref="J60:J61" si="45">IF(H$12=0,0,H60/H$12)</f>
        <v>2.6859654195656137E-2</v>
      </c>
      <c r="K60" s="4"/>
      <c r="L60" s="4">
        <f t="shared" ref="L60:L61" si="46">+D60-H60</f>
        <v>-556</v>
      </c>
      <c r="M60" s="4"/>
      <c r="N60" s="12">
        <f t="shared" ref="N60:N61" si="47">IF(H60=0,0,L60/H60)</f>
        <v>-0.94557823129251706</v>
      </c>
      <c r="O60" s="10"/>
      <c r="P60" s="4">
        <f>SUM(OSRRefP25x_0)</f>
        <v>32</v>
      </c>
      <c r="Q60" s="4"/>
      <c r="R60" s="12">
        <f t="shared" ref="R60:R61" si="48">IF(P$12=0,0,P60/P$12)</f>
        <v>1.2306745634951158E-3</v>
      </c>
      <c r="S60" s="4"/>
      <c r="T60" s="4">
        <f>SUM(OSRRefT25x_0)</f>
        <v>640</v>
      </c>
      <c r="U60" s="4"/>
      <c r="V60" s="12">
        <f t="shared" ref="V60:V61" si="49">IF(T$12=0,0,T60/T$12)</f>
        <v>2.0680491575284742E-2</v>
      </c>
      <c r="W60" s="4"/>
      <c r="X60" s="4">
        <f t="shared" ref="X60:X61" si="50">+P60-T60</f>
        <v>-608</v>
      </c>
      <c r="Y60" s="4"/>
      <c r="Z60" s="12">
        <f t="shared" ref="Z60:Z61" si="51">IF(T60=0,0,X60/T60)</f>
        <v>-0.95</v>
      </c>
    </row>
    <row r="61" spans="1:26" s="24" customFormat="1" hidden="1" outlineLevel="1" x14ac:dyDescent="0.25">
      <c r="A61" s="50"/>
      <c r="B61" s="11" t="str">
        <f>CONCATENATE("          ", "9150", " - ", "MISC. INCOME")</f>
        <v xml:space="preserve">          9150 - MISC. INCOME</v>
      </c>
      <c r="C61" s="11"/>
      <c r="D61" s="2">
        <f>--32</f>
        <v>32</v>
      </c>
      <c r="E61" s="2"/>
      <c r="F61" s="21">
        <f t="shared" si="44"/>
        <v>1.58616782349521E-3</v>
      </c>
      <c r="G61" s="2"/>
      <c r="H61" s="2">
        <f>--588</f>
        <v>588</v>
      </c>
      <c r="I61" s="2"/>
      <c r="J61" s="21">
        <f t="shared" si="45"/>
        <v>2.6859654195656137E-2</v>
      </c>
      <c r="K61" s="2"/>
      <c r="L61" s="2">
        <f t="shared" si="46"/>
        <v>-556</v>
      </c>
      <c r="M61" s="2"/>
      <c r="N61" s="21">
        <f t="shared" si="47"/>
        <v>-0.94557823129251706</v>
      </c>
      <c r="O61" s="11"/>
      <c r="P61" s="2">
        <f>--32</f>
        <v>32</v>
      </c>
      <c r="Q61" s="2"/>
      <c r="R61" s="21">
        <f t="shared" si="48"/>
        <v>1.2306745634951158E-3</v>
      </c>
      <c r="S61" s="2"/>
      <c r="T61" s="2">
        <f>--640</f>
        <v>640</v>
      </c>
      <c r="U61" s="2"/>
      <c r="V61" s="21">
        <f t="shared" si="49"/>
        <v>2.0680491575284742E-2</v>
      </c>
      <c r="W61" s="2"/>
      <c r="X61" s="2">
        <f t="shared" si="50"/>
        <v>-608</v>
      </c>
      <c r="Y61" s="2"/>
      <c r="Z61" s="21">
        <f t="shared" si="51"/>
        <v>-0.95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6" t="s">
        <v>3</v>
      </c>
      <c r="C63" s="26"/>
      <c r="D63" s="20">
        <f>+D20-D22+D60</f>
        <v>-5250.4700000000048</v>
      </c>
      <c r="E63" s="13"/>
      <c r="F63" s="19">
        <f>IF(D$12=0,0,D63/D$12)</f>
        <v>-0.26025395538209073</v>
      </c>
      <c r="G63" s="13"/>
      <c r="H63" s="20">
        <f>+H20-H22+H60</f>
        <v>-736.99999999999636</v>
      </c>
      <c r="I63" s="13"/>
      <c r="J63" s="19">
        <f>IF(H$12=0,0,H63/H$12)</f>
        <v>-3.3665927112582442E-2</v>
      </c>
      <c r="K63" s="15"/>
      <c r="L63" s="20">
        <f>+D63-H63</f>
        <v>-4513.4700000000084</v>
      </c>
      <c r="M63" s="15"/>
      <c r="N63" s="19">
        <f>IF(H63=0,0,L63/H63)</f>
        <v>6.124111261872498</v>
      </c>
      <c r="O63" s="25"/>
      <c r="P63" s="20">
        <f>+P20-P22+P60</f>
        <v>-18796.019999999997</v>
      </c>
      <c r="Q63" s="13"/>
      <c r="R63" s="19">
        <f>IF(P$12=0,0,P63/P$12)</f>
        <v>-0.72286824090454571</v>
      </c>
      <c r="S63" s="13"/>
      <c r="T63" s="20">
        <f>+T20-T22+T60</f>
        <v>-6951.309999999994</v>
      </c>
      <c r="U63" s="13"/>
      <c r="V63" s="19">
        <f>IF(T$12=0,0,T63/T$12)</f>
        <v>-0.22461954358155073</v>
      </c>
      <c r="W63" s="15"/>
      <c r="X63" s="20">
        <f>+P63-T63</f>
        <v>-11844.710000000003</v>
      </c>
      <c r="Y63" s="15"/>
      <c r="Z63" s="19">
        <f>IF(T63=0,0,X63/T63)</f>
        <v>1.7039536432701192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>
        <v>2030.25</v>
      </c>
      <c r="E65" s="4"/>
      <c r="F65" s="12">
        <f>IF(D$12=0,0,D65/D$12)</f>
        <v>0.10063491323909844</v>
      </c>
      <c r="G65" s="4"/>
      <c r="H65" s="4">
        <v>1300.46</v>
      </c>
      <c r="I65" s="4"/>
      <c r="J65" s="12">
        <f>IF(H$12=0,0,H65/H$12)</f>
        <v>5.9404601862726156E-2</v>
      </c>
      <c r="K65" s="4"/>
      <c r="L65" s="4">
        <f>+D65-H65</f>
        <v>729.79</v>
      </c>
      <c r="M65" s="4"/>
      <c r="N65" s="12">
        <f>IF(H65=0,0,L65/H65)</f>
        <v>0.56117835227534862</v>
      </c>
      <c r="O65" s="10"/>
      <c r="P65" s="4">
        <v>3241.98</v>
      </c>
      <c r="Q65" s="4"/>
      <c r="R65" s="12">
        <f>IF(P$12=0,0,P65/P$12)</f>
        <v>0.12468194754249673</v>
      </c>
      <c r="S65" s="4"/>
      <c r="T65" s="4">
        <v>3159.55</v>
      </c>
      <c r="U65" s="4"/>
      <c r="V65" s="12">
        <f>IF(T$12=0,0,T65/T$12)</f>
        <v>0.10209538618232955</v>
      </c>
      <c r="W65" s="4"/>
      <c r="X65" s="4">
        <f>+P65-T65</f>
        <v>82.429999999999836</v>
      </c>
      <c r="Y65" s="4"/>
      <c r="Z65" s="12">
        <f>IF(T65=0,0,X65/T65)</f>
        <v>2.6089158266208744E-2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4</v>
      </c>
      <c r="C67" s="26"/>
      <c r="D67" s="31">
        <f>+D63-D65</f>
        <v>-7280.7200000000048</v>
      </c>
      <c r="E67" s="13"/>
      <c r="F67" s="36">
        <f>IF(D$12=0,0,D67/D$12)</f>
        <v>-0.36088886862118918</v>
      </c>
      <c r="G67" s="13"/>
      <c r="H67" s="31">
        <f>+H63-H65</f>
        <v>-2037.4599999999964</v>
      </c>
      <c r="I67" s="13"/>
      <c r="J67" s="36">
        <f>IF(H$12=0,0,H67/H$12)</f>
        <v>-9.3070528975308597E-2</v>
      </c>
      <c r="K67" s="15"/>
      <c r="L67" s="31">
        <f>D67-H67</f>
        <v>-5243.2600000000084</v>
      </c>
      <c r="M67" s="15"/>
      <c r="N67" s="36">
        <f>IF(H67=0,0,L67/H67)</f>
        <v>2.5734296624228294</v>
      </c>
      <c r="O67" s="25"/>
      <c r="P67" s="31">
        <f>+P63-P65</f>
        <v>-22037.999999999996</v>
      </c>
      <c r="Q67" s="13"/>
      <c r="R67" s="36">
        <f>IF(P$12=0,0,P67/P$12)</f>
        <v>-0.84755018844704244</v>
      </c>
      <c r="S67" s="13"/>
      <c r="T67" s="31">
        <f>+T63-T65</f>
        <v>-10110.859999999993</v>
      </c>
      <c r="U67" s="13"/>
      <c r="V67" s="36">
        <f>IF(T$12=0,0,T67/T$12)</f>
        <v>-0.32671492976388028</v>
      </c>
      <c r="W67" s="15"/>
      <c r="X67" s="31">
        <f>P67-T67</f>
        <v>-11927.140000000003</v>
      </c>
      <c r="Y67" s="15"/>
      <c r="Z67" s="36">
        <f>IF(T67=0,0,X67/T67)</f>
        <v>1.1796365492153993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6" t="s">
        <v>5</v>
      </c>
      <c r="C70" s="26"/>
      <c r="D70" s="32">
        <f>SUM(D67:D69)</f>
        <v>-7280.7200000000048</v>
      </c>
      <c r="E70" s="13"/>
      <c r="F70" s="30">
        <f>IF(D$12=0,0,D70/D$12)</f>
        <v>-0.36088886862118918</v>
      </c>
      <c r="G70" s="13"/>
      <c r="H70" s="32">
        <f>SUM(H67:H69)</f>
        <v>-2037.4599999999964</v>
      </c>
      <c r="I70" s="13"/>
      <c r="J70" s="30">
        <f>IF(H$12=0,0,H70/H$12)</f>
        <v>-9.3070528975308597E-2</v>
      </c>
      <c r="K70" s="15"/>
      <c r="L70" s="32">
        <f>+D70-H70</f>
        <v>-5243.2600000000084</v>
      </c>
      <c r="M70" s="15"/>
      <c r="N70" s="30">
        <f>IF(H70=0,0,L70/H70)</f>
        <v>2.5734296624228294</v>
      </c>
      <c r="O70" s="25"/>
      <c r="P70" s="32">
        <f>SUM(P67:P69)</f>
        <v>-22037.999999999996</v>
      </c>
      <c r="Q70" s="13"/>
      <c r="R70" s="30">
        <f>IF(P$12=0,0,P70/P$12)</f>
        <v>-0.84755018844704244</v>
      </c>
      <c r="S70" s="13"/>
      <c r="T70" s="32">
        <f>SUM(T67:T69)</f>
        <v>-10110.859999999993</v>
      </c>
      <c r="U70" s="13"/>
      <c r="V70" s="30">
        <f>IF(T$12=0,0,T70/T$12)</f>
        <v>-0.32671492976388028</v>
      </c>
      <c r="W70" s="15"/>
      <c r="X70" s="32">
        <f>+P70-T70</f>
        <v>-11927.140000000003</v>
      </c>
      <c r="Y70" s="15"/>
      <c r="Z70" s="30">
        <f>IF(T70=0,0,X70/T70)</f>
        <v>1.1796365492153993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7">
        <v>43732.710050729169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0" t="s">
        <v>313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6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","414", " - ", "Starbucks UDP")</f>
        <v>Department 414 - Starbucks UDP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40246.699999999997</v>
      </c>
      <c r="E12" s="4"/>
      <c r="F12" s="12"/>
      <c r="G12" s="4"/>
      <c r="H12" s="4">
        <f>SUM(OSRRefH13x_0)</f>
        <v>45250.850000000006</v>
      </c>
      <c r="I12" s="4"/>
      <c r="J12" s="12"/>
      <c r="K12" s="4"/>
      <c r="L12" s="4">
        <f t="shared" ref="L12:L14" si="0">+D12-H12</f>
        <v>-5004.1500000000087</v>
      </c>
      <c r="M12" s="4"/>
      <c r="N12" s="12">
        <f t="shared" ref="N12:N14" si="1">IF(H12=0,0,L12/H12)</f>
        <v>-0.1105868729537679</v>
      </c>
      <c r="O12" s="10"/>
      <c r="P12" s="4">
        <f>SUM(OSRRefP13x_0)</f>
        <v>58208.05</v>
      </c>
      <c r="Q12" s="4"/>
      <c r="R12" s="12"/>
      <c r="S12" s="4"/>
      <c r="T12" s="4">
        <f>SUM(OSRRefT13x_0)</f>
        <v>82847.66</v>
      </c>
      <c r="U12" s="4"/>
      <c r="V12" s="12"/>
      <c r="W12" s="4"/>
      <c r="X12" s="4">
        <f t="shared" ref="X12:X14" si="2">+P12-T12</f>
        <v>-24639.61</v>
      </c>
      <c r="Y12" s="4"/>
      <c r="Z12" s="12">
        <f t="shared" ref="Z12:Z14" si="3">IF(T12=0,0,X12/T12)</f>
        <v>-0.29740864135450534</v>
      </c>
    </row>
    <row r="13" spans="1:26" s="24" customFormat="1" hidden="1" outlineLevel="1" x14ac:dyDescent="0.25">
      <c r="A13" s="50"/>
      <c r="B13" s="11" t="str">
        <f>CONCATENATE("          ", "4058", " - ", "TAXABLE SALES-FOOD")</f>
        <v xml:space="preserve">          4058 - TAXABLE SALES-FOOD</v>
      </c>
      <c r="C13" s="11"/>
      <c r="D13" s="2">
        <f>--9436.48</f>
        <v>9436.48</v>
      </c>
      <c r="E13" s="2"/>
      <c r="F13" s="21"/>
      <c r="G13" s="2"/>
      <c r="H13" s="2">
        <f>--13188.27</f>
        <v>13188.27</v>
      </c>
      <c r="I13" s="2"/>
      <c r="J13" s="21"/>
      <c r="K13" s="2"/>
      <c r="L13" s="2">
        <f t="shared" si="0"/>
        <v>-3751.7900000000009</v>
      </c>
      <c r="M13" s="2"/>
      <c r="N13" s="21">
        <f t="shared" si="1"/>
        <v>-0.28447931381447306</v>
      </c>
      <c r="O13" s="11"/>
      <c r="P13" s="2">
        <f>--17838.14</f>
        <v>17838.14</v>
      </c>
      <c r="Q13" s="2"/>
      <c r="R13" s="21"/>
      <c r="S13" s="2"/>
      <c r="T13" s="2">
        <f>--28372.29</f>
        <v>28372.29</v>
      </c>
      <c r="U13" s="2"/>
      <c r="V13" s="21"/>
      <c r="W13" s="2"/>
      <c r="X13" s="2">
        <f t="shared" si="2"/>
        <v>-10534.150000000001</v>
      </c>
      <c r="Y13" s="2"/>
      <c r="Z13" s="21">
        <f t="shared" si="3"/>
        <v>-0.37128303707596394</v>
      </c>
    </row>
    <row r="14" spans="1:26" s="24" customFormat="1" hidden="1" outlineLevel="1" x14ac:dyDescent="0.25">
      <c r="A14" s="50"/>
      <c r="B14" s="11" t="str">
        <f>CONCATENATE("          ", "4158", " - ", "NON-TAXABLE SALES-FOOD")</f>
        <v xml:space="preserve">          4158 - NON-TAXABLE SALES-FOOD</v>
      </c>
      <c r="C14" s="11"/>
      <c r="D14" s="2">
        <f>--30810.22</f>
        <v>30810.22</v>
      </c>
      <c r="E14" s="2"/>
      <c r="F14" s="21"/>
      <c r="G14" s="2"/>
      <c r="H14" s="2">
        <f>--32062.58</f>
        <v>32062.58</v>
      </c>
      <c r="I14" s="2"/>
      <c r="J14" s="21"/>
      <c r="K14" s="2"/>
      <c r="L14" s="2">
        <f t="shared" si="0"/>
        <v>-1252.3600000000006</v>
      </c>
      <c r="M14" s="2"/>
      <c r="N14" s="21">
        <f t="shared" si="1"/>
        <v>-3.905986355433657E-2</v>
      </c>
      <c r="O14" s="11"/>
      <c r="P14" s="2">
        <f>--40369.91</f>
        <v>40369.910000000003</v>
      </c>
      <c r="Q14" s="2"/>
      <c r="R14" s="21"/>
      <c r="S14" s="2"/>
      <c r="T14" s="2">
        <f>--54475.37</f>
        <v>54475.37</v>
      </c>
      <c r="U14" s="2"/>
      <c r="V14" s="21"/>
      <c r="W14" s="2"/>
      <c r="X14" s="2">
        <f t="shared" si="2"/>
        <v>-14105.46</v>
      </c>
      <c r="Y14" s="2"/>
      <c r="Z14" s="21">
        <f t="shared" si="3"/>
        <v>-0.25893279843716527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15092.52</v>
      </c>
      <c r="E16" s="4"/>
      <c r="F16" s="12">
        <f t="shared" ref="F16:F18" si="4">IF(D$12=0,0,D16/D$12)</f>
        <v>0.37500018635068222</v>
      </c>
      <c r="G16" s="4"/>
      <c r="H16" s="4">
        <f>SUM(OSRRefH16x_0)</f>
        <v>18870.25</v>
      </c>
      <c r="I16" s="4"/>
      <c r="J16" s="12">
        <f t="shared" ref="J16:J18" si="5">IF(H$12=0,0,H16/H$12)</f>
        <v>0.41701426603036179</v>
      </c>
      <c r="K16" s="4"/>
      <c r="L16" s="4">
        <f t="shared" ref="L16:L18" si="6">+D16-H16</f>
        <v>-3777.7299999999996</v>
      </c>
      <c r="M16" s="4"/>
      <c r="N16" s="12">
        <f t="shared" ref="N16:N18" si="7">IF(H16=0,0,L16/H16)</f>
        <v>-0.20019501596428238</v>
      </c>
      <c r="O16" s="10"/>
      <c r="P16" s="4">
        <f>SUM(OSRRefP16x_0)</f>
        <v>23348.59</v>
      </c>
      <c r="Q16" s="4"/>
      <c r="R16" s="12">
        <f t="shared" ref="R16:R18" si="8">IF(P$12=0,0,P16/P$12)</f>
        <v>0.40112304054164327</v>
      </c>
      <c r="S16" s="4"/>
      <c r="T16" s="4">
        <f>SUM(OSRRefT16x_0)</f>
        <v>34360.050000000003</v>
      </c>
      <c r="U16" s="4"/>
      <c r="V16" s="12">
        <f t="shared" ref="V16:V18" si="9">IF(T$12=0,0,T16/T$12)</f>
        <v>0.41473772463820946</v>
      </c>
      <c r="W16" s="4"/>
      <c r="X16" s="4">
        <f t="shared" ref="X16:X18" si="10">+P16-T16</f>
        <v>-11011.460000000003</v>
      </c>
      <c r="Y16" s="4"/>
      <c r="Z16" s="12">
        <f t="shared" ref="Z16:Z18" si="11">IF(T16=0,0,X16/T16)</f>
        <v>-0.3204727583341701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12410.52</v>
      </c>
      <c r="E17" s="2"/>
      <c r="F17" s="21">
        <f t="shared" si="4"/>
        <v>0.30836118240750177</v>
      </c>
      <c r="G17" s="2"/>
      <c r="H17" s="2">
        <v>15566.249999999998</v>
      </c>
      <c r="I17" s="2"/>
      <c r="J17" s="21">
        <f t="shared" si="5"/>
        <v>0.3439990630010264</v>
      </c>
      <c r="K17" s="2"/>
      <c r="L17" s="2">
        <f t="shared" si="6"/>
        <v>-3155.7299999999977</v>
      </c>
      <c r="M17" s="2"/>
      <c r="N17" s="21">
        <f t="shared" si="7"/>
        <v>-0.20272898096844122</v>
      </c>
      <c r="O17" s="11"/>
      <c r="P17" s="2">
        <v>19139.59</v>
      </c>
      <c r="Q17" s="2"/>
      <c r="R17" s="21">
        <f t="shared" si="8"/>
        <v>0.32881345449641414</v>
      </c>
      <c r="S17" s="2"/>
      <c r="T17" s="2">
        <v>30594.05</v>
      </c>
      <c r="U17" s="2"/>
      <c r="V17" s="21">
        <f t="shared" si="9"/>
        <v>0.36928079803340247</v>
      </c>
      <c r="W17" s="2"/>
      <c r="X17" s="2">
        <f t="shared" si="10"/>
        <v>-11454.46</v>
      </c>
      <c r="Y17" s="2"/>
      <c r="Z17" s="21">
        <f t="shared" si="11"/>
        <v>-0.37440155847297102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2682</v>
      </c>
      <c r="E18" s="2"/>
      <c r="F18" s="21">
        <f t="shared" si="4"/>
        <v>6.6639003943180439E-2</v>
      </c>
      <c r="G18" s="2"/>
      <c r="H18" s="2">
        <v>3304</v>
      </c>
      <c r="I18" s="2"/>
      <c r="J18" s="21">
        <f t="shared" si="5"/>
        <v>7.3015203029335354E-2</v>
      </c>
      <c r="K18" s="2"/>
      <c r="L18" s="2">
        <f t="shared" si="6"/>
        <v>-622</v>
      </c>
      <c r="M18" s="2"/>
      <c r="N18" s="21">
        <f t="shared" si="7"/>
        <v>-0.18825665859564164</v>
      </c>
      <c r="O18" s="11"/>
      <c r="P18" s="2">
        <v>4209</v>
      </c>
      <c r="Q18" s="2"/>
      <c r="R18" s="21">
        <f t="shared" si="8"/>
        <v>7.2309586045229135E-2</v>
      </c>
      <c r="S18" s="2"/>
      <c r="T18" s="2">
        <v>3766</v>
      </c>
      <c r="U18" s="2"/>
      <c r="V18" s="21">
        <f t="shared" si="9"/>
        <v>4.5456926604806942E-2</v>
      </c>
      <c r="W18" s="2"/>
      <c r="X18" s="2">
        <f t="shared" si="10"/>
        <v>443</v>
      </c>
      <c r="Y18" s="2"/>
      <c r="Z18" s="21">
        <f t="shared" si="11"/>
        <v>0.11763143919277748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25154.179999999997</v>
      </c>
      <c r="E20" s="13"/>
      <c r="F20" s="19">
        <f>IF(D$12=0,0,D20/D$12)</f>
        <v>0.62499981364931778</v>
      </c>
      <c r="G20" s="13"/>
      <c r="H20" s="20">
        <f>H12-H16</f>
        <v>26380.600000000006</v>
      </c>
      <c r="I20" s="13"/>
      <c r="J20" s="19">
        <f>IF(H$12=0,0,H20/H$12)</f>
        <v>0.58298573396963815</v>
      </c>
      <c r="K20" s="15"/>
      <c r="L20" s="20">
        <f>+D20-H20</f>
        <v>-1226.4200000000092</v>
      </c>
      <c r="M20" s="15"/>
      <c r="N20" s="19">
        <f>IF(H20=0,0,L20/H20)</f>
        <v>-4.6489465743766591E-2</v>
      </c>
      <c r="O20" s="25"/>
      <c r="P20" s="20">
        <f>P12-P16</f>
        <v>34859.460000000006</v>
      </c>
      <c r="Q20" s="13"/>
      <c r="R20" s="19">
        <f>IF(P$12=0,0,P20/P$12)</f>
        <v>0.59887695945835684</v>
      </c>
      <c r="S20" s="13"/>
      <c r="T20" s="20">
        <f>T12-T16</f>
        <v>48487.61</v>
      </c>
      <c r="U20" s="13"/>
      <c r="V20" s="19">
        <f>IF(T$12=0,0,T20/T$12)</f>
        <v>0.58526227536179054</v>
      </c>
      <c r="W20" s="15"/>
      <c r="X20" s="20">
        <f>+P20-T20</f>
        <v>-13628.149999999994</v>
      </c>
      <c r="Y20" s="15"/>
      <c r="Z20" s="19">
        <f>IF(T20=0,0,X20/T20)</f>
        <v>-0.28106458536520967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25837.1</v>
      </c>
      <c r="E22" s="22"/>
      <c r="F22" s="33">
        <f t="shared" ref="F22:F31" si="12">IF(D$12=0,0,D22/D$12)</f>
        <v>0.64196816136478274</v>
      </c>
      <c r="G22" s="22"/>
      <c r="H22" s="22">
        <f>SUM(OSRRefH22x_0)</f>
        <v>29613.669999999995</v>
      </c>
      <c r="I22" s="22"/>
      <c r="J22" s="33">
        <f t="shared" ref="J22:J31" si="13">IF(H$12=0,0,H22/H$12)</f>
        <v>0.65443345263127639</v>
      </c>
      <c r="K22" s="4"/>
      <c r="L22" s="22">
        <f t="shared" ref="L22:L31" si="14">+D22-H22</f>
        <v>-3776.5699999999961</v>
      </c>
      <c r="M22" s="4"/>
      <c r="N22" s="33">
        <f t="shared" ref="N22:N31" si="15">IF(H22=0,0,L22/H22)</f>
        <v>-0.12752792882476224</v>
      </c>
      <c r="O22" s="10"/>
      <c r="P22" s="22">
        <f>SUM(OSRRefP22x_0)</f>
        <v>49212.88</v>
      </c>
      <c r="Q22" s="22"/>
      <c r="R22" s="33">
        <f t="shared" ref="R22:R31" si="16">IF(P$12=0,0,P22/P$12)</f>
        <v>0.84546518909326107</v>
      </c>
      <c r="S22" s="22"/>
      <c r="T22" s="22">
        <f>SUM(OSRRefT22x_0)</f>
        <v>58352.17</v>
      </c>
      <c r="U22" s="22"/>
      <c r="V22" s="33">
        <f t="shared" ref="V22:V31" si="17">IF(T$12=0,0,T22/T$12)</f>
        <v>0.70433093704758831</v>
      </c>
      <c r="W22" s="4"/>
      <c r="X22" s="22">
        <f t="shared" ref="X22:X31" si="18">+P22-T22</f>
        <v>-9139.2900000000009</v>
      </c>
      <c r="Y22" s="4"/>
      <c r="Z22" s="33">
        <f t="shared" ref="Z22:Z31" si="19">IF(T22=0,0,X22/T22)</f>
        <v>-0.15662296706360709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2881.78</v>
      </c>
      <c r="E23" s="1"/>
      <c r="F23" s="5">
        <f t="shared" si="12"/>
        <v>7.1602889180976334E-2</v>
      </c>
      <c r="G23" s="1"/>
      <c r="H23" s="1">
        <f>SUM(OSRRefH22_0x_0)</f>
        <v>3161.4199999999996</v>
      </c>
      <c r="I23" s="1"/>
      <c r="J23" s="5">
        <f t="shared" si="13"/>
        <v>6.9864322990617844E-2</v>
      </c>
      <c r="K23" s="1"/>
      <c r="L23" s="1">
        <f t="shared" si="14"/>
        <v>-279.63999999999942</v>
      </c>
      <c r="M23" s="1"/>
      <c r="N23" s="5">
        <f t="shared" si="15"/>
        <v>-8.8453922604399118E-2</v>
      </c>
      <c r="O23" s="14"/>
      <c r="P23" s="1">
        <f>SUM(OSRRefP22_0x_0)</f>
        <v>5159.8499999999995</v>
      </c>
      <c r="Q23" s="1"/>
      <c r="R23" s="5">
        <f t="shared" si="16"/>
        <v>8.8644955465781786E-2</v>
      </c>
      <c r="S23" s="1"/>
      <c r="T23" s="1">
        <f>SUM(OSRRefT22_0x_0)</f>
        <v>7229.74</v>
      </c>
      <c r="U23" s="1"/>
      <c r="V23" s="5">
        <f t="shared" si="17"/>
        <v>8.7265470141220644E-2</v>
      </c>
      <c r="W23" s="1"/>
      <c r="X23" s="1">
        <f t="shared" si="18"/>
        <v>-2069.8900000000003</v>
      </c>
      <c r="Y23" s="1"/>
      <c r="Z23" s="5">
        <f t="shared" si="19"/>
        <v>-0.2863021353464994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1080.3800000000001</v>
      </c>
      <c r="E24" s="2"/>
      <c r="F24" s="6">
        <f t="shared" si="12"/>
        <v>2.6843940000049697E-2</v>
      </c>
      <c r="G24" s="2"/>
      <c r="H24" s="7">
        <v>1099.8599999999999</v>
      </c>
      <c r="I24" s="2"/>
      <c r="J24" s="6">
        <f t="shared" si="13"/>
        <v>2.430584176871815E-2</v>
      </c>
      <c r="K24" s="2"/>
      <c r="L24" s="7">
        <f t="shared" si="14"/>
        <v>-19.479999999999791</v>
      </c>
      <c r="M24" s="2"/>
      <c r="N24" s="6">
        <f t="shared" si="15"/>
        <v>-1.7711345080282756E-2</v>
      </c>
      <c r="O24" s="11"/>
      <c r="P24" s="7">
        <v>1719.56</v>
      </c>
      <c r="Q24" s="2"/>
      <c r="R24" s="6">
        <f t="shared" si="16"/>
        <v>2.954161838439872E-2</v>
      </c>
      <c r="S24" s="2"/>
      <c r="T24" s="7">
        <v>1976.56</v>
      </c>
      <c r="U24" s="2"/>
      <c r="V24" s="6">
        <f t="shared" si="17"/>
        <v>2.3857764962824535E-2</v>
      </c>
      <c r="W24" s="2"/>
      <c r="X24" s="7">
        <f t="shared" si="18"/>
        <v>-257</v>
      </c>
      <c r="Y24" s="2"/>
      <c r="Z24" s="6">
        <f t="shared" si="19"/>
        <v>-0.13002387987210104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543.47</v>
      </c>
      <c r="E25" s="2"/>
      <c r="F25" s="6">
        <f t="shared" si="12"/>
        <v>1.3503467365026202E-2</v>
      </c>
      <c r="G25" s="2"/>
      <c r="H25" s="7">
        <v>512.34</v>
      </c>
      <c r="I25" s="2"/>
      <c r="J25" s="6">
        <f t="shared" si="13"/>
        <v>1.132221825667363E-2</v>
      </c>
      <c r="K25" s="2"/>
      <c r="L25" s="7">
        <f t="shared" si="14"/>
        <v>31.129999999999995</v>
      </c>
      <c r="M25" s="2"/>
      <c r="N25" s="6">
        <f t="shared" si="15"/>
        <v>6.0760432525276173E-2</v>
      </c>
      <c r="O25" s="11"/>
      <c r="P25" s="7">
        <v>938.93</v>
      </c>
      <c r="Q25" s="2"/>
      <c r="R25" s="6">
        <f t="shared" si="16"/>
        <v>1.6130586748740079E-2</v>
      </c>
      <c r="S25" s="2"/>
      <c r="T25" s="7">
        <v>1102.3699999999999</v>
      </c>
      <c r="U25" s="2"/>
      <c r="V25" s="6">
        <f t="shared" si="17"/>
        <v>1.3305988364668354E-2</v>
      </c>
      <c r="W25" s="2"/>
      <c r="X25" s="7">
        <f t="shared" si="18"/>
        <v>-163.43999999999994</v>
      </c>
      <c r="Y25" s="2"/>
      <c r="Z25" s="6">
        <f t="shared" si="19"/>
        <v>-0.1482623801445975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650.39</v>
      </c>
      <c r="E26" s="2"/>
      <c r="F26" s="6">
        <f t="shared" si="12"/>
        <v>1.6160082690009368E-2</v>
      </c>
      <c r="G26" s="2"/>
      <c r="H26" s="7">
        <v>720.58</v>
      </c>
      <c r="I26" s="2"/>
      <c r="J26" s="6">
        <f t="shared" si="13"/>
        <v>1.5924120762372419E-2</v>
      </c>
      <c r="K26" s="2"/>
      <c r="L26" s="7">
        <f t="shared" si="14"/>
        <v>-70.190000000000055</v>
      </c>
      <c r="M26" s="2"/>
      <c r="N26" s="6">
        <f t="shared" si="15"/>
        <v>-9.7407643842460312E-2</v>
      </c>
      <c r="O26" s="11"/>
      <c r="P26" s="7">
        <v>1300.78</v>
      </c>
      <c r="Q26" s="2"/>
      <c r="R26" s="6">
        <f t="shared" si="16"/>
        <v>2.2347080859090793E-2</v>
      </c>
      <c r="S26" s="2"/>
      <c r="T26" s="7">
        <v>1000.12</v>
      </c>
      <c r="U26" s="2"/>
      <c r="V26" s="6">
        <f t="shared" si="17"/>
        <v>1.207179538927231E-2</v>
      </c>
      <c r="W26" s="2"/>
      <c r="X26" s="7">
        <f t="shared" si="18"/>
        <v>300.65999999999997</v>
      </c>
      <c r="Y26" s="2"/>
      <c r="Z26" s="6">
        <f t="shared" si="19"/>
        <v>0.3006239251289845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36.42</v>
      </c>
      <c r="E27" s="2"/>
      <c r="F27" s="6">
        <f t="shared" si="12"/>
        <v>9.0491891260649948E-4</v>
      </c>
      <c r="G27" s="2"/>
      <c r="H27" s="7">
        <v>38.06</v>
      </c>
      <c r="I27" s="2"/>
      <c r="J27" s="6">
        <f t="shared" si="13"/>
        <v>8.4108917291056406E-4</v>
      </c>
      <c r="K27" s="2"/>
      <c r="L27" s="7">
        <f t="shared" si="14"/>
        <v>-1.6400000000000006</v>
      </c>
      <c r="M27" s="2"/>
      <c r="N27" s="6">
        <f t="shared" si="15"/>
        <v>-4.3089858118759865E-2</v>
      </c>
      <c r="O27" s="11"/>
      <c r="P27" s="7">
        <v>62.92</v>
      </c>
      <c r="Q27" s="2"/>
      <c r="R27" s="6">
        <f t="shared" si="16"/>
        <v>1.0809501434938982E-3</v>
      </c>
      <c r="S27" s="2"/>
      <c r="T27" s="7">
        <v>81.89</v>
      </c>
      <c r="U27" s="2"/>
      <c r="V27" s="6">
        <f t="shared" si="17"/>
        <v>9.8844071154212442E-4</v>
      </c>
      <c r="W27" s="2"/>
      <c r="X27" s="7">
        <f t="shared" si="18"/>
        <v>-18.97</v>
      </c>
      <c r="Y27" s="2"/>
      <c r="Z27" s="6">
        <f t="shared" si="19"/>
        <v>-0.23165221638783734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2"/>
        <v>0</v>
      </c>
      <c r="G28" s="2"/>
      <c r="H28" s="7">
        <v>415.1</v>
      </c>
      <c r="I28" s="2"/>
      <c r="J28" s="6">
        <f t="shared" si="13"/>
        <v>9.1733083466940396E-3</v>
      </c>
      <c r="K28" s="2"/>
      <c r="L28" s="7">
        <f t="shared" si="14"/>
        <v>-415.1</v>
      </c>
      <c r="M28" s="2"/>
      <c r="N28" s="6">
        <f t="shared" si="15"/>
        <v>-1</v>
      </c>
      <c r="O28" s="11"/>
      <c r="P28" s="7"/>
      <c r="Q28" s="2"/>
      <c r="R28" s="6">
        <f t="shared" si="16"/>
        <v>0</v>
      </c>
      <c r="S28" s="2"/>
      <c r="T28" s="7">
        <v>1031.7</v>
      </c>
      <c r="U28" s="2"/>
      <c r="V28" s="6">
        <f t="shared" si="17"/>
        <v>1.2452976945878737E-2</v>
      </c>
      <c r="W28" s="2"/>
      <c r="X28" s="7">
        <f t="shared" si="18"/>
        <v>-1031.7</v>
      </c>
      <c r="Y28" s="2"/>
      <c r="Z28" s="6">
        <f t="shared" si="19"/>
        <v>-1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192.5</v>
      </c>
      <c r="E29" s="2"/>
      <c r="F29" s="6">
        <f t="shared" si="12"/>
        <v>4.7830008423050841E-3</v>
      </c>
      <c r="G29" s="2"/>
      <c r="H29" s="7">
        <v>25.37</v>
      </c>
      <c r="I29" s="2"/>
      <c r="J29" s="6">
        <f t="shared" si="13"/>
        <v>5.606524518323965E-4</v>
      </c>
      <c r="K29" s="2"/>
      <c r="L29" s="7">
        <f t="shared" si="14"/>
        <v>167.13</v>
      </c>
      <c r="M29" s="2"/>
      <c r="N29" s="6">
        <f t="shared" si="15"/>
        <v>6.5877020102483241</v>
      </c>
      <c r="O29" s="11"/>
      <c r="P29" s="7">
        <v>385</v>
      </c>
      <c r="Q29" s="2"/>
      <c r="R29" s="6">
        <f t="shared" si="16"/>
        <v>6.6142054234766493E-3</v>
      </c>
      <c r="S29" s="2"/>
      <c r="T29" s="7">
        <v>573.96</v>
      </c>
      <c r="U29" s="2"/>
      <c r="V29" s="6">
        <f t="shared" si="17"/>
        <v>6.927896334066647E-3</v>
      </c>
      <c r="W29" s="2"/>
      <c r="X29" s="7">
        <f t="shared" si="18"/>
        <v>-188.96000000000004</v>
      </c>
      <c r="Y29" s="2"/>
      <c r="Z29" s="6">
        <f t="shared" si="19"/>
        <v>-0.32922154853996799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230.62</v>
      </c>
      <c r="E30" s="2"/>
      <c r="F30" s="6">
        <f t="shared" si="12"/>
        <v>5.7301592428696023E-3</v>
      </c>
      <c r="G30" s="2"/>
      <c r="H30" s="7">
        <v>203.5</v>
      </c>
      <c r="I30" s="2"/>
      <c r="J30" s="6">
        <f t="shared" si="13"/>
        <v>4.4971530921518593E-3</v>
      </c>
      <c r="K30" s="2"/>
      <c r="L30" s="7">
        <f t="shared" si="14"/>
        <v>27.120000000000005</v>
      </c>
      <c r="M30" s="2"/>
      <c r="N30" s="6">
        <f t="shared" si="15"/>
        <v>0.13326781326781328</v>
      </c>
      <c r="O30" s="11"/>
      <c r="P30" s="7">
        <v>461.24</v>
      </c>
      <c r="Q30" s="2"/>
      <c r="R30" s="6">
        <f t="shared" si="16"/>
        <v>7.9239898948684929E-3</v>
      </c>
      <c r="S30" s="2"/>
      <c r="T30" s="7">
        <v>1168.3</v>
      </c>
      <c r="U30" s="2"/>
      <c r="V30" s="6">
        <f t="shared" si="17"/>
        <v>1.4101786338926168E-2</v>
      </c>
      <c r="W30" s="2"/>
      <c r="X30" s="7">
        <f t="shared" si="18"/>
        <v>-707.06</v>
      </c>
      <c r="Y30" s="2"/>
      <c r="Z30" s="6">
        <f t="shared" si="19"/>
        <v>-0.60520414277154833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148</v>
      </c>
      <c r="E31" s="2"/>
      <c r="F31" s="6">
        <f t="shared" si="12"/>
        <v>3.6773201281098825E-3</v>
      </c>
      <c r="G31" s="2"/>
      <c r="H31" s="7">
        <v>146.61000000000001</v>
      </c>
      <c r="I31" s="2"/>
      <c r="J31" s="6">
        <f t="shared" si="13"/>
        <v>3.239939139264787E-3</v>
      </c>
      <c r="K31" s="2"/>
      <c r="L31" s="7">
        <f t="shared" si="14"/>
        <v>1.3899999999999864</v>
      </c>
      <c r="M31" s="2"/>
      <c r="N31" s="6">
        <f t="shared" si="15"/>
        <v>9.4809358161106767E-3</v>
      </c>
      <c r="O31" s="11"/>
      <c r="P31" s="7">
        <v>291.42</v>
      </c>
      <c r="Q31" s="2"/>
      <c r="R31" s="6">
        <f t="shared" si="16"/>
        <v>5.0065240117131565E-3</v>
      </c>
      <c r="S31" s="2"/>
      <c r="T31" s="7">
        <v>294.83999999999997</v>
      </c>
      <c r="U31" s="2"/>
      <c r="V31" s="6">
        <f t="shared" si="17"/>
        <v>3.5588210940417624E-3</v>
      </c>
      <c r="W31" s="2"/>
      <c r="X31" s="7">
        <f t="shared" si="18"/>
        <v>-3.4199999999999591</v>
      </c>
      <c r="Y31" s="2"/>
      <c r="Z31" s="6">
        <f t="shared" si="19"/>
        <v>-1.1599511599511461E-2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17130.07</v>
      </c>
      <c r="E32" s="1"/>
      <c r="F32" s="5">
        <f t="shared" ref="F32:F37" si="20">IF(D$12=0,0,D32/D$12)</f>
        <v>0.42562669734413011</v>
      </c>
      <c r="G32" s="1"/>
      <c r="H32" s="1">
        <f>SUM(OSRRefH22_1x_0)</f>
        <v>17278.78</v>
      </c>
      <c r="I32" s="1"/>
      <c r="J32" s="5">
        <f t="shared" ref="J32:J37" si="21">IF(H$12=0,0,H32/H$12)</f>
        <v>0.38184431894649484</v>
      </c>
      <c r="K32" s="1"/>
      <c r="L32" s="1">
        <f t="shared" ref="L32:L37" si="22">+D32-H32</f>
        <v>-148.70999999999913</v>
      </c>
      <c r="M32" s="1"/>
      <c r="N32" s="5">
        <f t="shared" ref="N32:N37" si="23">IF(H32=0,0,L32/H32)</f>
        <v>-8.606510413350893E-3</v>
      </c>
      <c r="O32" s="14"/>
      <c r="P32" s="1">
        <f>SUM(OSRRefP22_1x_0)</f>
        <v>28028.449999999997</v>
      </c>
      <c r="Q32" s="1"/>
      <c r="R32" s="5">
        <f t="shared" ref="R32:R37" si="24">IF(P$12=0,0,P32/P$12)</f>
        <v>0.48152188571855603</v>
      </c>
      <c r="S32" s="1"/>
      <c r="T32" s="1">
        <f>SUM(OSRRefT22_1x_0)</f>
        <v>31285.119999999999</v>
      </c>
      <c r="U32" s="1"/>
      <c r="V32" s="5">
        <f t="shared" ref="V32:V37" si="25">IF(T$12=0,0,T32/T$12)</f>
        <v>0.37762225269850708</v>
      </c>
      <c r="W32" s="1"/>
      <c r="X32" s="1">
        <f t="shared" ref="X32:X37" si="26">+P32-T32</f>
        <v>-3256.6700000000019</v>
      </c>
      <c r="Y32" s="1"/>
      <c r="Z32" s="5">
        <f t="shared" ref="Z32:Z37" si="27">IF(T32=0,0,X32/T32)</f>
        <v>-0.10409645224311116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4411.72</v>
      </c>
      <c r="I33" s="2"/>
      <c r="J33" s="6">
        <f t="shared" si="21"/>
        <v>9.7494743192669306E-2</v>
      </c>
      <c r="K33" s="2"/>
      <c r="L33" s="7">
        <f t="shared" si="22"/>
        <v>-4411.72</v>
      </c>
      <c r="M33" s="2"/>
      <c r="N33" s="6">
        <f t="shared" si="23"/>
        <v>-1</v>
      </c>
      <c r="O33" s="11"/>
      <c r="P33" s="7"/>
      <c r="Q33" s="2"/>
      <c r="R33" s="6">
        <f t="shared" si="24"/>
        <v>0</v>
      </c>
      <c r="S33" s="2"/>
      <c r="T33" s="7">
        <v>9705.85</v>
      </c>
      <c r="U33" s="2"/>
      <c r="V33" s="6">
        <f t="shared" si="25"/>
        <v>0.11715297692173804</v>
      </c>
      <c r="W33" s="2"/>
      <c r="X33" s="7">
        <f t="shared" si="26"/>
        <v>-9705.85</v>
      </c>
      <c r="Y33" s="2"/>
      <c r="Z33" s="6">
        <f t="shared" si="27"/>
        <v>-1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4882.8100000000004</v>
      </c>
      <c r="E34" s="2"/>
      <c r="F34" s="6">
        <f t="shared" si="20"/>
        <v>0.12132199658605552</v>
      </c>
      <c r="G34" s="2"/>
      <c r="H34" s="7"/>
      <c r="I34" s="2"/>
      <c r="J34" s="6">
        <f t="shared" si="21"/>
        <v>0</v>
      </c>
      <c r="K34" s="2"/>
      <c r="L34" s="7">
        <f t="shared" si="22"/>
        <v>4882.8100000000004</v>
      </c>
      <c r="M34" s="2"/>
      <c r="N34" s="6">
        <f t="shared" si="23"/>
        <v>0</v>
      </c>
      <c r="O34" s="11"/>
      <c r="P34" s="7">
        <v>10210.93</v>
      </c>
      <c r="Q34" s="2"/>
      <c r="R34" s="6">
        <f t="shared" si="24"/>
        <v>0.17542126905127384</v>
      </c>
      <c r="S34" s="2"/>
      <c r="T34" s="7"/>
      <c r="U34" s="2"/>
      <c r="V34" s="6">
        <f t="shared" si="25"/>
        <v>0</v>
      </c>
      <c r="W34" s="2"/>
      <c r="X34" s="7">
        <f t="shared" si="26"/>
        <v>10210.93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654.5</v>
      </c>
      <c r="E35" s="2"/>
      <c r="F35" s="6">
        <f t="shared" si="20"/>
        <v>1.6262202863837286E-2</v>
      </c>
      <c r="G35" s="2"/>
      <c r="H35" s="7">
        <v>1920</v>
      </c>
      <c r="I35" s="2"/>
      <c r="J35" s="6">
        <f t="shared" si="21"/>
        <v>4.243014219622393E-2</v>
      </c>
      <c r="K35" s="2"/>
      <c r="L35" s="7">
        <f t="shared" si="22"/>
        <v>-1265.5</v>
      </c>
      <c r="M35" s="2"/>
      <c r="N35" s="6">
        <f t="shared" si="23"/>
        <v>-0.65911458333333328</v>
      </c>
      <c r="O35" s="11"/>
      <c r="P35" s="7">
        <v>1470.5</v>
      </c>
      <c r="Q35" s="2"/>
      <c r="R35" s="6">
        <f t="shared" si="24"/>
        <v>2.5262828766811463E-2</v>
      </c>
      <c r="S35" s="2"/>
      <c r="T35" s="7">
        <v>3381.7</v>
      </c>
      <c r="U35" s="2"/>
      <c r="V35" s="6">
        <f t="shared" si="25"/>
        <v>4.0818292272829425E-2</v>
      </c>
      <c r="W35" s="2"/>
      <c r="X35" s="7">
        <f t="shared" si="26"/>
        <v>-1911.1999999999998</v>
      </c>
      <c r="Y35" s="2"/>
      <c r="Z35" s="6">
        <f t="shared" si="27"/>
        <v>-0.56515953514504536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>
        <v>29.25</v>
      </c>
      <c r="E36" s="2"/>
      <c r="F36" s="6">
        <f t="shared" si="20"/>
        <v>7.2676766045414907E-4</v>
      </c>
      <c r="G36" s="2"/>
      <c r="H36" s="7"/>
      <c r="I36" s="2"/>
      <c r="J36" s="6">
        <f t="shared" si="21"/>
        <v>0</v>
      </c>
      <c r="K36" s="2"/>
      <c r="L36" s="7">
        <f t="shared" si="22"/>
        <v>29.25</v>
      </c>
      <c r="M36" s="2"/>
      <c r="N36" s="6">
        <f t="shared" si="23"/>
        <v>0</v>
      </c>
      <c r="O36" s="11"/>
      <c r="P36" s="7">
        <v>29.25</v>
      </c>
      <c r="Q36" s="2"/>
      <c r="R36" s="6">
        <f t="shared" si="24"/>
        <v>5.0250781464075841E-4</v>
      </c>
      <c r="S36" s="2"/>
      <c r="T36" s="7"/>
      <c r="U36" s="2"/>
      <c r="V36" s="6">
        <f t="shared" si="25"/>
        <v>0</v>
      </c>
      <c r="W36" s="2"/>
      <c r="X36" s="7">
        <f t="shared" si="26"/>
        <v>29.25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11563.51</v>
      </c>
      <c r="E37" s="2"/>
      <c r="F37" s="6">
        <f t="shared" si="20"/>
        <v>0.28731573023378315</v>
      </c>
      <c r="G37" s="2"/>
      <c r="H37" s="7">
        <v>10947.06</v>
      </c>
      <c r="I37" s="2"/>
      <c r="J37" s="6">
        <f t="shared" si="21"/>
        <v>0.24191943355760165</v>
      </c>
      <c r="K37" s="2"/>
      <c r="L37" s="7">
        <f t="shared" si="22"/>
        <v>616.45000000000073</v>
      </c>
      <c r="M37" s="2"/>
      <c r="N37" s="6">
        <f t="shared" si="23"/>
        <v>5.6311923018600496E-2</v>
      </c>
      <c r="O37" s="11"/>
      <c r="P37" s="7">
        <v>16317.769999999999</v>
      </c>
      <c r="Q37" s="2"/>
      <c r="R37" s="6">
        <f t="shared" si="24"/>
        <v>0.28033528008583003</v>
      </c>
      <c r="S37" s="2"/>
      <c r="T37" s="7">
        <v>18197.57</v>
      </c>
      <c r="U37" s="2"/>
      <c r="V37" s="6">
        <f t="shared" si="25"/>
        <v>0.21965098350393963</v>
      </c>
      <c r="W37" s="2"/>
      <c r="X37" s="7">
        <f t="shared" si="26"/>
        <v>-1879.8000000000011</v>
      </c>
      <c r="Y37" s="2"/>
      <c r="Z37" s="6">
        <f t="shared" si="27"/>
        <v>-0.10329950647256755</v>
      </c>
    </row>
    <row r="38" spans="1:26" s="27" customFormat="1" outlineLevel="1" collapsed="1" x14ac:dyDescent="0.25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74.95</v>
      </c>
      <c r="E38" s="1"/>
      <c r="F38" s="5">
        <f t="shared" ref="F38:F65" si="28">IF(D$12=0,0,D38/D$12)</f>
        <v>1.8622644837961871E-3</v>
      </c>
      <c r="G38" s="1"/>
      <c r="H38" s="1">
        <f>SUM(OSRRefH22_2x_0)</f>
        <v>0</v>
      </c>
      <c r="I38" s="1"/>
      <c r="J38" s="5">
        <f t="shared" ref="J38:J65" si="29">IF(H$12=0,0,H38/H$12)</f>
        <v>0</v>
      </c>
      <c r="K38" s="1"/>
      <c r="L38" s="1">
        <f t="shared" ref="L38:L65" si="30">+D38-H38</f>
        <v>74.95</v>
      </c>
      <c r="M38" s="1"/>
      <c r="N38" s="5">
        <f t="shared" ref="N38:N65" si="31">IF(H38=0,0,L38/H38)</f>
        <v>0</v>
      </c>
      <c r="O38" s="14"/>
      <c r="P38" s="1">
        <f>SUM(OSRRefP22_2x_0)</f>
        <v>138.47</v>
      </c>
      <c r="Q38" s="1"/>
      <c r="R38" s="5">
        <f t="shared" ref="R38:R65" si="32">IF(P$12=0,0,P38/P$12)</f>
        <v>2.3788805843865239E-3</v>
      </c>
      <c r="S38" s="1"/>
      <c r="T38" s="1">
        <f>SUM(OSRRefT22_2x_0)</f>
        <v>78</v>
      </c>
      <c r="U38" s="1"/>
      <c r="V38" s="5">
        <f t="shared" ref="V38:V65" si="33">IF(T$12=0,0,T38/T$12)</f>
        <v>9.4148706191581023E-4</v>
      </c>
      <c r="W38" s="1"/>
      <c r="X38" s="1">
        <f t="shared" ref="X38:X65" si="34">+P38-T38</f>
        <v>60.47</v>
      </c>
      <c r="Y38" s="1"/>
      <c r="Z38" s="5">
        <f t="shared" ref="Z38:Z65" si="35">IF(T38=0,0,X38/T38)</f>
        <v>0.77525641025641023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>
        <v>74.95</v>
      </c>
      <c r="E39" s="2"/>
      <c r="F39" s="6">
        <f t="shared" si="28"/>
        <v>1.8622644837961871E-3</v>
      </c>
      <c r="G39" s="2"/>
      <c r="H39" s="7"/>
      <c r="I39" s="2"/>
      <c r="J39" s="6">
        <f t="shared" si="29"/>
        <v>0</v>
      </c>
      <c r="K39" s="2"/>
      <c r="L39" s="7">
        <f t="shared" si="30"/>
        <v>74.95</v>
      </c>
      <c r="M39" s="2"/>
      <c r="N39" s="6">
        <f t="shared" si="31"/>
        <v>0</v>
      </c>
      <c r="O39" s="11"/>
      <c r="P39" s="7">
        <v>138.47</v>
      </c>
      <c r="Q39" s="2"/>
      <c r="R39" s="6">
        <f t="shared" si="32"/>
        <v>2.3788805843865239E-3</v>
      </c>
      <c r="S39" s="2"/>
      <c r="T39" s="7">
        <v>78</v>
      </c>
      <c r="U39" s="2"/>
      <c r="V39" s="6">
        <f t="shared" si="33"/>
        <v>9.4148706191581023E-4</v>
      </c>
      <c r="W39" s="2"/>
      <c r="X39" s="7">
        <f t="shared" si="34"/>
        <v>60.47</v>
      </c>
      <c r="Y39" s="2"/>
      <c r="Z39" s="6">
        <f t="shared" si="35"/>
        <v>0.77525641025641023</v>
      </c>
    </row>
    <row r="40" spans="1:26" s="27" customFormat="1" outlineLevel="1" collapsed="1" x14ac:dyDescent="0.25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18.12</v>
      </c>
      <c r="E40" s="1"/>
      <c r="F40" s="5">
        <f t="shared" si="28"/>
        <v>4.5022324811723702E-4</v>
      </c>
      <c r="G40" s="1"/>
      <c r="H40" s="1">
        <f>SUM(OSRRefH22_3x_0)</f>
        <v>28.08</v>
      </c>
      <c r="I40" s="1"/>
      <c r="J40" s="5">
        <f t="shared" si="29"/>
        <v>6.2054082961977494E-4</v>
      </c>
      <c r="K40" s="1"/>
      <c r="L40" s="1">
        <f t="shared" si="30"/>
        <v>-9.9599999999999973</v>
      </c>
      <c r="M40" s="1"/>
      <c r="N40" s="5">
        <f t="shared" si="31"/>
        <v>-0.35470085470085461</v>
      </c>
      <c r="O40" s="14"/>
      <c r="P40" s="1">
        <f>SUM(OSRRefP22_3x_0)</f>
        <v>2.23</v>
      </c>
      <c r="Q40" s="1"/>
      <c r="R40" s="5">
        <f t="shared" si="32"/>
        <v>3.8310852193124489E-5</v>
      </c>
      <c r="S40" s="1"/>
      <c r="T40" s="1">
        <f>SUM(OSRRefT22_3x_0)</f>
        <v>28.59</v>
      </c>
      <c r="U40" s="1"/>
      <c r="V40" s="5">
        <f t="shared" si="33"/>
        <v>3.4509121923298735E-4</v>
      </c>
      <c r="W40" s="1"/>
      <c r="X40" s="1">
        <f t="shared" si="34"/>
        <v>-26.36</v>
      </c>
      <c r="Y40" s="1"/>
      <c r="Z40" s="5">
        <f t="shared" si="35"/>
        <v>-0.92200069954529551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>
        <v>18.12</v>
      </c>
      <c r="E41" s="2"/>
      <c r="F41" s="6">
        <f t="shared" si="28"/>
        <v>4.5022324811723702E-4</v>
      </c>
      <c r="G41" s="2"/>
      <c r="H41" s="7">
        <v>28.08</v>
      </c>
      <c r="I41" s="2"/>
      <c r="J41" s="6">
        <f t="shared" si="29"/>
        <v>6.2054082961977494E-4</v>
      </c>
      <c r="K41" s="2"/>
      <c r="L41" s="7">
        <f t="shared" si="30"/>
        <v>-9.9599999999999973</v>
      </c>
      <c r="M41" s="2"/>
      <c r="N41" s="6">
        <f t="shared" si="31"/>
        <v>-0.35470085470085461</v>
      </c>
      <c r="O41" s="11"/>
      <c r="P41" s="7">
        <v>2.23</v>
      </c>
      <c r="Q41" s="2"/>
      <c r="R41" s="6">
        <f t="shared" si="32"/>
        <v>3.8310852193124489E-5</v>
      </c>
      <c r="S41" s="2"/>
      <c r="T41" s="7">
        <v>28.59</v>
      </c>
      <c r="U41" s="2"/>
      <c r="V41" s="6">
        <f t="shared" si="33"/>
        <v>3.4509121923298735E-4</v>
      </c>
      <c r="W41" s="2"/>
      <c r="X41" s="7">
        <f t="shared" si="34"/>
        <v>-26.36</v>
      </c>
      <c r="Y41" s="2"/>
      <c r="Z41" s="6">
        <f t="shared" si="35"/>
        <v>-0.92200069954529551</v>
      </c>
    </row>
    <row r="42" spans="1:26" s="27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902.73</v>
      </c>
      <c r="E42" s="1"/>
      <c r="F42" s="5">
        <f t="shared" si="28"/>
        <v>2.2429913508436719E-2</v>
      </c>
      <c r="G42" s="1"/>
      <c r="H42" s="1">
        <f>SUM(OSRRefH22_4x_0)</f>
        <v>1012.92</v>
      </c>
      <c r="I42" s="1"/>
      <c r="J42" s="5">
        <f t="shared" si="29"/>
        <v>2.2384551892395389E-2</v>
      </c>
      <c r="K42" s="1"/>
      <c r="L42" s="1">
        <f t="shared" si="30"/>
        <v>-110.18999999999994</v>
      </c>
      <c r="M42" s="1"/>
      <c r="N42" s="5">
        <f t="shared" si="31"/>
        <v>-0.10878450420566278</v>
      </c>
      <c r="O42" s="14"/>
      <c r="P42" s="1">
        <f>SUM(OSRRefP22_4x_0)</f>
        <v>1264.74</v>
      </c>
      <c r="Q42" s="1"/>
      <c r="R42" s="5">
        <f t="shared" si="32"/>
        <v>2.1727922512435993E-2</v>
      </c>
      <c r="S42" s="1"/>
      <c r="T42" s="1">
        <f>SUM(OSRRefT22_4x_0)</f>
        <v>1932.15</v>
      </c>
      <c r="U42" s="1"/>
      <c r="V42" s="5">
        <f t="shared" si="33"/>
        <v>2.3321720854879907E-2</v>
      </c>
      <c r="W42" s="1"/>
      <c r="X42" s="1">
        <f t="shared" si="34"/>
        <v>-667.41000000000008</v>
      </c>
      <c r="Y42" s="1"/>
      <c r="Z42" s="5">
        <f t="shared" si="35"/>
        <v>-0.34542349196490957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902.73</v>
      </c>
      <c r="E43" s="2"/>
      <c r="F43" s="6">
        <f t="shared" si="28"/>
        <v>2.2429913508436719E-2</v>
      </c>
      <c r="G43" s="2"/>
      <c r="H43" s="7">
        <v>1012.92</v>
      </c>
      <c r="I43" s="2"/>
      <c r="J43" s="6">
        <f t="shared" si="29"/>
        <v>2.2384551892395389E-2</v>
      </c>
      <c r="K43" s="2"/>
      <c r="L43" s="7">
        <f t="shared" si="30"/>
        <v>-110.18999999999994</v>
      </c>
      <c r="M43" s="2"/>
      <c r="N43" s="6">
        <f t="shared" si="31"/>
        <v>-0.10878450420566278</v>
      </c>
      <c r="O43" s="11"/>
      <c r="P43" s="7">
        <v>1264.74</v>
      </c>
      <c r="Q43" s="2"/>
      <c r="R43" s="6">
        <f t="shared" si="32"/>
        <v>2.1727922512435993E-2</v>
      </c>
      <c r="S43" s="2"/>
      <c r="T43" s="7">
        <v>1932.15</v>
      </c>
      <c r="U43" s="2"/>
      <c r="V43" s="6">
        <f t="shared" si="33"/>
        <v>2.3321720854879907E-2</v>
      </c>
      <c r="W43" s="2"/>
      <c r="X43" s="7">
        <f t="shared" si="34"/>
        <v>-667.41000000000008</v>
      </c>
      <c r="Y43" s="2"/>
      <c r="Z43" s="6">
        <f t="shared" si="35"/>
        <v>-0.34542349196490957</v>
      </c>
    </row>
    <row r="44" spans="1:26" s="27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1647.59</v>
      </c>
      <c r="E44" s="1"/>
      <c r="F44" s="5">
        <f t="shared" si="28"/>
        <v>4.0937269391030817E-2</v>
      </c>
      <c r="G44" s="1"/>
      <c r="H44" s="1">
        <f>SUM(OSRRefH22_5x_0)</f>
        <v>1147.5899999999999</v>
      </c>
      <c r="I44" s="1"/>
      <c r="J44" s="5">
        <f t="shared" si="29"/>
        <v>2.5360628584877407E-2</v>
      </c>
      <c r="K44" s="1"/>
      <c r="L44" s="1">
        <f t="shared" si="30"/>
        <v>500</v>
      </c>
      <c r="M44" s="1"/>
      <c r="N44" s="5">
        <f t="shared" si="31"/>
        <v>0.43569567528472714</v>
      </c>
      <c r="O44" s="14"/>
      <c r="P44" s="1">
        <f>SUM(OSRRefP22_5x_0)</f>
        <v>3295.18</v>
      </c>
      <c r="Q44" s="1"/>
      <c r="R44" s="5">
        <f t="shared" si="32"/>
        <v>5.6610382928134508E-2</v>
      </c>
      <c r="S44" s="1"/>
      <c r="T44" s="1">
        <f>SUM(OSRRefT22_5x_0)</f>
        <v>2295.1799999999998</v>
      </c>
      <c r="U44" s="1"/>
      <c r="V44" s="5">
        <f t="shared" si="33"/>
        <v>2.7703618907281145E-2</v>
      </c>
      <c r="W44" s="1"/>
      <c r="X44" s="1">
        <f t="shared" si="34"/>
        <v>1000</v>
      </c>
      <c r="Y44" s="1"/>
      <c r="Z44" s="5">
        <f t="shared" si="35"/>
        <v>0.43569567528472714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1647.59</v>
      </c>
      <c r="E45" s="2"/>
      <c r="F45" s="6">
        <f t="shared" si="28"/>
        <v>4.0937269391030817E-2</v>
      </c>
      <c r="G45" s="2"/>
      <c r="H45" s="7">
        <v>1147.5899999999999</v>
      </c>
      <c r="I45" s="2"/>
      <c r="J45" s="6">
        <f t="shared" si="29"/>
        <v>2.5360628584877407E-2</v>
      </c>
      <c r="K45" s="2"/>
      <c r="L45" s="7">
        <f t="shared" si="30"/>
        <v>500</v>
      </c>
      <c r="M45" s="2"/>
      <c r="N45" s="6">
        <f t="shared" si="31"/>
        <v>0.43569567528472714</v>
      </c>
      <c r="O45" s="11"/>
      <c r="P45" s="7">
        <v>3295.18</v>
      </c>
      <c r="Q45" s="2"/>
      <c r="R45" s="6">
        <f t="shared" si="32"/>
        <v>5.6610382928134508E-2</v>
      </c>
      <c r="S45" s="2"/>
      <c r="T45" s="7">
        <v>2295.1799999999998</v>
      </c>
      <c r="U45" s="2"/>
      <c r="V45" s="6">
        <f t="shared" si="33"/>
        <v>2.7703618907281145E-2</v>
      </c>
      <c r="W45" s="2"/>
      <c r="X45" s="7">
        <f t="shared" si="34"/>
        <v>1000</v>
      </c>
      <c r="Y45" s="2"/>
      <c r="Z45" s="6">
        <f t="shared" si="35"/>
        <v>0.43569567528472714</v>
      </c>
    </row>
    <row r="46" spans="1:26" s="27" customFormat="1" outlineLevel="1" collapsed="1" x14ac:dyDescent="0.25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118.91</v>
      </c>
      <c r="E46" s="1"/>
      <c r="F46" s="5">
        <f t="shared" si="28"/>
        <v>2.9545279488753119E-3</v>
      </c>
      <c r="G46" s="1"/>
      <c r="H46" s="1">
        <f>SUM(OSRRefH22_6x_0)</f>
        <v>118.91</v>
      </c>
      <c r="I46" s="1"/>
      <c r="J46" s="5">
        <f t="shared" si="29"/>
        <v>2.627795941954681E-3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237.82</v>
      </c>
      <c r="Q46" s="1"/>
      <c r="R46" s="5">
        <f t="shared" si="32"/>
        <v>4.0856891787304332E-3</v>
      </c>
      <c r="S46" s="1"/>
      <c r="T46" s="1">
        <f>SUM(OSRRefT22_6x_0)</f>
        <v>237.82</v>
      </c>
      <c r="U46" s="1"/>
      <c r="V46" s="5">
        <f t="shared" si="33"/>
        <v>2.8705699110874103E-3</v>
      </c>
      <c r="W46" s="1"/>
      <c r="X46" s="1">
        <f t="shared" si="34"/>
        <v>0</v>
      </c>
      <c r="Y46" s="1"/>
      <c r="Z46" s="5">
        <f t="shared" si="35"/>
        <v>0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7">
        <v>118.91</v>
      </c>
      <c r="E47" s="2"/>
      <c r="F47" s="6">
        <f t="shared" si="28"/>
        <v>2.9545279488753119E-3</v>
      </c>
      <c r="G47" s="2"/>
      <c r="H47" s="7">
        <v>118.91</v>
      </c>
      <c r="I47" s="2"/>
      <c r="J47" s="6">
        <f t="shared" si="29"/>
        <v>2.627795941954681E-3</v>
      </c>
      <c r="K47" s="2"/>
      <c r="L47" s="7">
        <f t="shared" si="30"/>
        <v>0</v>
      </c>
      <c r="M47" s="2"/>
      <c r="N47" s="6">
        <f t="shared" si="31"/>
        <v>0</v>
      </c>
      <c r="O47" s="11"/>
      <c r="P47" s="7">
        <v>237.82</v>
      </c>
      <c r="Q47" s="2"/>
      <c r="R47" s="6">
        <f t="shared" si="32"/>
        <v>4.0856891787304332E-3</v>
      </c>
      <c r="S47" s="2"/>
      <c r="T47" s="7">
        <v>237.82</v>
      </c>
      <c r="U47" s="2"/>
      <c r="V47" s="6">
        <f t="shared" si="33"/>
        <v>2.8705699110874103E-3</v>
      </c>
      <c r="W47" s="2"/>
      <c r="X47" s="7">
        <f t="shared" si="34"/>
        <v>0</v>
      </c>
      <c r="Y47" s="2"/>
      <c r="Z47" s="6">
        <f t="shared" si="35"/>
        <v>0</v>
      </c>
    </row>
    <row r="48" spans="1:26" s="27" customFormat="1" outlineLevel="1" collapsed="1" x14ac:dyDescent="0.25">
      <c r="A48" s="28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703.44</v>
      </c>
      <c r="E48" s="1"/>
      <c r="F48" s="5">
        <f t="shared" si="28"/>
        <v>1.7478203181875783E-2</v>
      </c>
      <c r="G48" s="1"/>
      <c r="H48" s="1">
        <f>SUM(OSRRefH22_7x_0)</f>
        <v>1102.03</v>
      </c>
      <c r="I48" s="1"/>
      <c r="J48" s="5">
        <f t="shared" si="29"/>
        <v>2.4353796669012842E-2</v>
      </c>
      <c r="K48" s="1"/>
      <c r="L48" s="1">
        <f t="shared" si="30"/>
        <v>-398.58999999999992</v>
      </c>
      <c r="M48" s="1"/>
      <c r="N48" s="5">
        <f t="shared" si="31"/>
        <v>-0.36168706841011583</v>
      </c>
      <c r="O48" s="14"/>
      <c r="P48" s="1">
        <f>SUM(OSRRefP22_7x_0)</f>
        <v>1769.51</v>
      </c>
      <c r="Q48" s="1"/>
      <c r="R48" s="5">
        <f t="shared" si="32"/>
        <v>3.0399747114016017E-2</v>
      </c>
      <c r="S48" s="1"/>
      <c r="T48" s="1">
        <f>SUM(OSRRefT22_7x_0)</f>
        <v>3230.42</v>
      </c>
      <c r="U48" s="1"/>
      <c r="V48" s="5">
        <f t="shared" si="33"/>
        <v>3.8992290186590665E-2</v>
      </c>
      <c r="W48" s="1"/>
      <c r="X48" s="1">
        <f t="shared" si="34"/>
        <v>-1460.91</v>
      </c>
      <c r="Y48" s="1"/>
      <c r="Z48" s="5">
        <f t="shared" si="35"/>
        <v>-0.45223531305526837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>
        <v>703.44</v>
      </c>
      <c r="E49" s="2"/>
      <c r="F49" s="6">
        <f t="shared" si="28"/>
        <v>1.7478203181875783E-2</v>
      </c>
      <c r="G49" s="2"/>
      <c r="H49" s="7">
        <v>1102.03</v>
      </c>
      <c r="I49" s="2"/>
      <c r="J49" s="6">
        <f t="shared" si="29"/>
        <v>2.4353796669012842E-2</v>
      </c>
      <c r="K49" s="2"/>
      <c r="L49" s="7">
        <f t="shared" si="30"/>
        <v>-398.58999999999992</v>
      </c>
      <c r="M49" s="2"/>
      <c r="N49" s="6">
        <f t="shared" si="31"/>
        <v>-0.36168706841011583</v>
      </c>
      <c r="O49" s="11"/>
      <c r="P49" s="7">
        <v>1769.51</v>
      </c>
      <c r="Q49" s="2"/>
      <c r="R49" s="6">
        <f t="shared" si="32"/>
        <v>3.0399747114016017E-2</v>
      </c>
      <c r="S49" s="2"/>
      <c r="T49" s="7">
        <v>3230.42</v>
      </c>
      <c r="U49" s="2"/>
      <c r="V49" s="6">
        <f t="shared" si="33"/>
        <v>3.8992290186590665E-2</v>
      </c>
      <c r="W49" s="2"/>
      <c r="X49" s="7">
        <f t="shared" si="34"/>
        <v>-1460.91</v>
      </c>
      <c r="Y49" s="2"/>
      <c r="Z49" s="6">
        <f t="shared" si="35"/>
        <v>-0.45223531305526837</v>
      </c>
    </row>
    <row r="50" spans="1:26" s="27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537.73</v>
      </c>
      <c r="E50" s="1"/>
      <c r="F50" s="5">
        <f t="shared" si="28"/>
        <v>1.3360846976273832E-2</v>
      </c>
      <c r="G50" s="1"/>
      <c r="H50" s="1">
        <f>SUM(OSRRefH22_8x_0)</f>
        <v>379.66</v>
      </c>
      <c r="I50" s="1"/>
      <c r="J50" s="5">
        <f t="shared" si="29"/>
        <v>8.3901186386554066E-3</v>
      </c>
      <c r="K50" s="1"/>
      <c r="L50" s="1">
        <f t="shared" si="30"/>
        <v>158.07</v>
      </c>
      <c r="M50" s="1"/>
      <c r="N50" s="5">
        <f t="shared" si="31"/>
        <v>0.41634620449876203</v>
      </c>
      <c r="O50" s="14"/>
      <c r="P50" s="1">
        <f>SUM(OSRRefP22_8x_0)</f>
        <v>3184.3</v>
      </c>
      <c r="Q50" s="1"/>
      <c r="R50" s="5">
        <f t="shared" si="32"/>
        <v>5.4705491766173238E-2</v>
      </c>
      <c r="S50" s="1"/>
      <c r="T50" s="1">
        <f>SUM(OSRRefT22_8x_0)</f>
        <v>3272.21</v>
      </c>
      <c r="U50" s="1"/>
      <c r="V50" s="5">
        <f t="shared" si="33"/>
        <v>3.949670998553248E-2</v>
      </c>
      <c r="W50" s="1"/>
      <c r="X50" s="1">
        <f t="shared" si="34"/>
        <v>-87.909999999999854</v>
      </c>
      <c r="Y50" s="1"/>
      <c r="Z50" s="5">
        <f t="shared" si="35"/>
        <v>-2.686563515177811E-2</v>
      </c>
    </row>
    <row r="51" spans="1:26" s="24" customFormat="1" hidden="1" outlineLevel="2" x14ac:dyDescent="0.25">
      <c r="A51" s="29"/>
      <c r="B51" s="11" t="str">
        <f>CONCATENATE("          ", "6375", " - ", "OUTSIDE REPAIRS &amp; MAINTENANCE")</f>
        <v xml:space="preserve">          6375 - OUTSIDE REPAIRS &amp; MAINTENANCE</v>
      </c>
      <c r="C51" s="11"/>
      <c r="D51" s="7">
        <v>537.73</v>
      </c>
      <c r="E51" s="2"/>
      <c r="F51" s="6">
        <f t="shared" si="28"/>
        <v>1.3360846976273832E-2</v>
      </c>
      <c r="G51" s="2"/>
      <c r="H51" s="7">
        <v>379.66</v>
      </c>
      <c r="I51" s="2"/>
      <c r="J51" s="6">
        <f t="shared" si="29"/>
        <v>8.3901186386554066E-3</v>
      </c>
      <c r="K51" s="2"/>
      <c r="L51" s="7">
        <f t="shared" si="30"/>
        <v>158.07</v>
      </c>
      <c r="M51" s="2"/>
      <c r="N51" s="6">
        <f t="shared" si="31"/>
        <v>0.41634620449876203</v>
      </c>
      <c r="O51" s="11"/>
      <c r="P51" s="7">
        <v>3184.3</v>
      </c>
      <c r="Q51" s="2"/>
      <c r="R51" s="6">
        <f t="shared" si="32"/>
        <v>5.4705491766173238E-2</v>
      </c>
      <c r="S51" s="2"/>
      <c r="T51" s="7">
        <v>3272.21</v>
      </c>
      <c r="U51" s="2"/>
      <c r="V51" s="6">
        <f t="shared" si="33"/>
        <v>3.949670998553248E-2</v>
      </c>
      <c r="W51" s="2"/>
      <c r="X51" s="7">
        <f t="shared" si="34"/>
        <v>-87.909999999999854</v>
      </c>
      <c r="Y51" s="2"/>
      <c r="Z51" s="6">
        <f t="shared" si="35"/>
        <v>-2.686563515177811E-2</v>
      </c>
    </row>
    <row r="52" spans="1:26" s="27" customFormat="1" outlineLevel="1" collapsed="1" x14ac:dyDescent="0.25">
      <c r="A52" s="28"/>
      <c r="B52" s="14" t="str">
        <f>CONCATENATE("     ","Royalty &amp; Commissions                             ")</f>
        <v xml:space="preserve">     Royalty &amp; Commissions                             </v>
      </c>
      <c r="C52" s="14"/>
      <c r="D52" s="1">
        <f>SUM(OSRRefD22_9x_0)</f>
        <v>0</v>
      </c>
      <c r="E52" s="1"/>
      <c r="F52" s="5">
        <f t="shared" si="28"/>
        <v>0</v>
      </c>
      <c r="G52" s="1"/>
      <c r="H52" s="1">
        <f>SUM(OSRRefH22_9x_0)</f>
        <v>3620.08</v>
      </c>
      <c r="I52" s="1"/>
      <c r="J52" s="5">
        <f t="shared" si="29"/>
        <v>8.0000265188388708E-2</v>
      </c>
      <c r="K52" s="1"/>
      <c r="L52" s="1">
        <f t="shared" si="30"/>
        <v>-3620.08</v>
      </c>
      <c r="M52" s="1"/>
      <c r="N52" s="5">
        <f t="shared" si="31"/>
        <v>-1</v>
      </c>
      <c r="O52" s="14"/>
      <c r="P52" s="1">
        <f>SUM(OSRRefP22_9x_0)</f>
        <v>1436.88</v>
      </c>
      <c r="Q52" s="1"/>
      <c r="R52" s="5">
        <f t="shared" si="32"/>
        <v>2.4685245425675659E-2</v>
      </c>
      <c r="S52" s="1"/>
      <c r="T52" s="1">
        <f>SUM(OSRRefT22_9x_0)</f>
        <v>6627.84</v>
      </c>
      <c r="U52" s="1"/>
      <c r="V52" s="5">
        <f t="shared" si="33"/>
        <v>8.000032831343698E-2</v>
      </c>
      <c r="W52" s="1"/>
      <c r="X52" s="1">
        <f t="shared" si="34"/>
        <v>-5190.96</v>
      </c>
      <c r="Y52" s="1"/>
      <c r="Z52" s="5">
        <f t="shared" si="35"/>
        <v>-0.78320538818076479</v>
      </c>
    </row>
    <row r="53" spans="1:26" s="24" customFormat="1" hidden="1" outlineLevel="2" x14ac:dyDescent="0.25">
      <c r="A53" s="29"/>
      <c r="B53" s="11" t="str">
        <f>CONCATENATE("          ", "6259", " - ", "ROYALTY &amp; COMMISSIONS")</f>
        <v xml:space="preserve">          6259 - ROYALTY &amp; COMMISSIONS</v>
      </c>
      <c r="C53" s="11"/>
      <c r="D53" s="7"/>
      <c r="E53" s="2"/>
      <c r="F53" s="6">
        <f t="shared" si="28"/>
        <v>0</v>
      </c>
      <c r="G53" s="2"/>
      <c r="H53" s="7">
        <v>3620.08</v>
      </c>
      <c r="I53" s="2"/>
      <c r="J53" s="6">
        <f t="shared" si="29"/>
        <v>8.0000265188388708E-2</v>
      </c>
      <c r="K53" s="2"/>
      <c r="L53" s="7">
        <f t="shared" si="30"/>
        <v>-3620.08</v>
      </c>
      <c r="M53" s="2"/>
      <c r="N53" s="6">
        <f t="shared" si="31"/>
        <v>-1</v>
      </c>
      <c r="O53" s="11"/>
      <c r="P53" s="7">
        <v>1436.88</v>
      </c>
      <c r="Q53" s="2"/>
      <c r="R53" s="6">
        <f t="shared" si="32"/>
        <v>2.4685245425675659E-2</v>
      </c>
      <c r="S53" s="2"/>
      <c r="T53" s="7">
        <v>6627.84</v>
      </c>
      <c r="U53" s="2"/>
      <c r="V53" s="6">
        <f t="shared" si="33"/>
        <v>8.000032831343698E-2</v>
      </c>
      <c r="W53" s="2"/>
      <c r="X53" s="7">
        <f t="shared" si="34"/>
        <v>-5190.96</v>
      </c>
      <c r="Y53" s="2"/>
      <c r="Z53" s="6">
        <f t="shared" si="35"/>
        <v>-0.78320538818076479</v>
      </c>
    </row>
    <row r="54" spans="1:26" s="27" customFormat="1" outlineLevel="1" collapsed="1" x14ac:dyDescent="0.25">
      <c r="A54" s="28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SUM(OSRRefD22_10x_0)</f>
        <v>48.74</v>
      </c>
      <c r="E54" s="1"/>
      <c r="F54" s="5">
        <f t="shared" si="28"/>
        <v>1.2110309665140249E-3</v>
      </c>
      <c r="G54" s="1"/>
      <c r="H54" s="1">
        <f>SUM(OSRRefH22_10x_0)</f>
        <v>45.83</v>
      </c>
      <c r="I54" s="1"/>
      <c r="J54" s="5">
        <f t="shared" si="29"/>
        <v>1.0127986546109077E-3</v>
      </c>
      <c r="K54" s="1"/>
      <c r="L54" s="1">
        <f t="shared" si="30"/>
        <v>2.9100000000000037</v>
      </c>
      <c r="M54" s="1"/>
      <c r="N54" s="5">
        <f t="shared" si="31"/>
        <v>6.3495526947414435E-2</v>
      </c>
      <c r="O54" s="14"/>
      <c r="P54" s="1">
        <f>SUM(OSRRefP22_10x_0)</f>
        <v>86.1</v>
      </c>
      <c r="Q54" s="1"/>
      <c r="R54" s="5">
        <f t="shared" si="32"/>
        <v>1.4791768492502324E-3</v>
      </c>
      <c r="S54" s="1"/>
      <c r="T54" s="1">
        <f>SUM(OSRRefT22_10x_0)</f>
        <v>65.33</v>
      </c>
      <c r="U54" s="1"/>
      <c r="V54" s="5">
        <f t="shared" si="33"/>
        <v>7.885557660892293E-4</v>
      </c>
      <c r="W54" s="1"/>
      <c r="X54" s="1">
        <f t="shared" si="34"/>
        <v>20.769999999999996</v>
      </c>
      <c r="Y54" s="1"/>
      <c r="Z54" s="5">
        <f t="shared" si="35"/>
        <v>0.31792438389713756</v>
      </c>
    </row>
    <row r="55" spans="1:26" s="24" customFormat="1" hidden="1" outlineLevel="2" x14ac:dyDescent="0.25">
      <c r="A55" s="29"/>
      <c r="B55" s="11" t="str">
        <f>CONCATENATE("          ", "6286", " - ", "LAUNDRY EXPENSE")</f>
        <v xml:space="preserve">          6286 - LAUNDRY EXPENSE</v>
      </c>
      <c r="C55" s="11"/>
      <c r="D55" s="7">
        <v>48.74</v>
      </c>
      <c r="E55" s="2"/>
      <c r="F55" s="6">
        <f t="shared" si="28"/>
        <v>1.2110309665140249E-3</v>
      </c>
      <c r="G55" s="2"/>
      <c r="H55" s="7">
        <v>45.83</v>
      </c>
      <c r="I55" s="2"/>
      <c r="J55" s="6">
        <f t="shared" si="29"/>
        <v>1.0127986546109077E-3</v>
      </c>
      <c r="K55" s="2"/>
      <c r="L55" s="7">
        <f t="shared" si="30"/>
        <v>2.9100000000000037</v>
      </c>
      <c r="M55" s="2"/>
      <c r="N55" s="6">
        <f t="shared" si="31"/>
        <v>6.3495526947414435E-2</v>
      </c>
      <c r="O55" s="11"/>
      <c r="P55" s="7">
        <v>86.1</v>
      </c>
      <c r="Q55" s="2"/>
      <c r="R55" s="6">
        <f t="shared" si="32"/>
        <v>1.4791768492502324E-3</v>
      </c>
      <c r="S55" s="2"/>
      <c r="T55" s="7">
        <v>65.33</v>
      </c>
      <c r="U55" s="2"/>
      <c r="V55" s="6">
        <f t="shared" si="33"/>
        <v>7.885557660892293E-4</v>
      </c>
      <c r="W55" s="2"/>
      <c r="X55" s="7">
        <f t="shared" si="34"/>
        <v>20.769999999999996</v>
      </c>
      <c r="Y55" s="2"/>
      <c r="Z55" s="6">
        <f t="shared" si="35"/>
        <v>0.31792438389713756</v>
      </c>
    </row>
    <row r="56" spans="1:26" s="27" customFormat="1" outlineLevel="1" collapsed="1" x14ac:dyDescent="0.25">
      <c r="A56" s="28"/>
      <c r="B56" s="14" t="str">
        <f>CONCATENATE("     ","Subscriptions &amp; Dues                              ")</f>
        <v xml:space="preserve">     Subscriptions &amp; Dues                              </v>
      </c>
      <c r="C56" s="14"/>
      <c r="D56" s="1">
        <f>SUM(OSRRefD22_11x_0)</f>
        <v>30.68</v>
      </c>
      <c r="E56" s="1"/>
      <c r="F56" s="5">
        <f t="shared" si="28"/>
        <v>7.6229852385412968E-4</v>
      </c>
      <c r="G56" s="1"/>
      <c r="H56" s="1">
        <f>SUM(OSRRefH22_11x_0)</f>
        <v>30.68</v>
      </c>
      <c r="I56" s="1"/>
      <c r="J56" s="5">
        <f t="shared" si="29"/>
        <v>6.7799831384382828E-4</v>
      </c>
      <c r="K56" s="1"/>
      <c r="L56" s="1">
        <f t="shared" si="30"/>
        <v>0</v>
      </c>
      <c r="M56" s="1"/>
      <c r="N56" s="5">
        <f t="shared" si="31"/>
        <v>0</v>
      </c>
      <c r="O56" s="14"/>
      <c r="P56" s="1">
        <f>SUM(OSRRefP22_11x_0)</f>
        <v>30.68</v>
      </c>
      <c r="Q56" s="1"/>
      <c r="R56" s="5">
        <f t="shared" si="32"/>
        <v>5.2707486335652884E-4</v>
      </c>
      <c r="S56" s="1"/>
      <c r="T56" s="1">
        <f>SUM(OSRRefT22_11x_0)</f>
        <v>61.36</v>
      </c>
      <c r="U56" s="1"/>
      <c r="V56" s="5">
        <f t="shared" si="33"/>
        <v>7.4063648870710411E-4</v>
      </c>
      <c r="W56" s="1"/>
      <c r="X56" s="1">
        <f t="shared" si="34"/>
        <v>-30.68</v>
      </c>
      <c r="Y56" s="1"/>
      <c r="Z56" s="5">
        <f t="shared" si="35"/>
        <v>-0.5</v>
      </c>
    </row>
    <row r="57" spans="1:26" s="24" customFormat="1" hidden="1" outlineLevel="2" x14ac:dyDescent="0.25">
      <c r="A57" s="29"/>
      <c r="B57" s="11" t="str">
        <f>CONCATENATE("          ", "6275", " - ", "SUBSCRIPTIONS")</f>
        <v xml:space="preserve">          6275 - SUBSCRIPTIONS</v>
      </c>
      <c r="C57" s="11"/>
      <c r="D57" s="7">
        <v>30.68</v>
      </c>
      <c r="E57" s="2"/>
      <c r="F57" s="6">
        <f t="shared" si="28"/>
        <v>7.6229852385412968E-4</v>
      </c>
      <c r="G57" s="2"/>
      <c r="H57" s="7">
        <v>30.68</v>
      </c>
      <c r="I57" s="2"/>
      <c r="J57" s="6">
        <f t="shared" si="29"/>
        <v>6.7799831384382828E-4</v>
      </c>
      <c r="K57" s="2"/>
      <c r="L57" s="7">
        <f t="shared" si="30"/>
        <v>0</v>
      </c>
      <c r="M57" s="2"/>
      <c r="N57" s="6">
        <f t="shared" si="31"/>
        <v>0</v>
      </c>
      <c r="O57" s="11"/>
      <c r="P57" s="7">
        <v>30.68</v>
      </c>
      <c r="Q57" s="2"/>
      <c r="R57" s="6">
        <f t="shared" si="32"/>
        <v>5.2707486335652884E-4</v>
      </c>
      <c r="S57" s="2"/>
      <c r="T57" s="7">
        <v>61.36</v>
      </c>
      <c r="U57" s="2"/>
      <c r="V57" s="6">
        <f t="shared" si="33"/>
        <v>7.4063648870710411E-4</v>
      </c>
      <c r="W57" s="2"/>
      <c r="X57" s="7">
        <f t="shared" si="34"/>
        <v>-30.68</v>
      </c>
      <c r="Y57" s="2"/>
      <c r="Z57" s="6">
        <f t="shared" si="35"/>
        <v>-0.5</v>
      </c>
    </row>
    <row r="58" spans="1:26" s="27" customFormat="1" outlineLevel="1" collapsed="1" x14ac:dyDescent="0.25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SUM(OSRRefD22_12x_0)</f>
        <v>1742.36</v>
      </c>
      <c r="E58" s="1"/>
      <c r="F58" s="5">
        <f t="shared" si="28"/>
        <v>4.3291996610902259E-2</v>
      </c>
      <c r="G58" s="1"/>
      <c r="H58" s="1">
        <f>SUM(OSRRefH22_12x_0)</f>
        <v>1592.53</v>
      </c>
      <c r="I58" s="1"/>
      <c r="J58" s="5">
        <f t="shared" si="29"/>
        <v>3.5193372058204428E-2</v>
      </c>
      <c r="K58" s="1"/>
      <c r="L58" s="1">
        <f t="shared" si="30"/>
        <v>149.82999999999993</v>
      </c>
      <c r="M58" s="1"/>
      <c r="N58" s="5">
        <f t="shared" si="31"/>
        <v>9.4083000006279269E-2</v>
      </c>
      <c r="O58" s="14"/>
      <c r="P58" s="1">
        <f>SUM(OSRRefP22_12x_0)</f>
        <v>4673.67</v>
      </c>
      <c r="Q58" s="1"/>
      <c r="R58" s="5">
        <f t="shared" si="32"/>
        <v>8.0292502497506787E-2</v>
      </c>
      <c r="S58" s="1"/>
      <c r="T58" s="1">
        <f>SUM(OSRRefT22_12x_0)</f>
        <v>1958.25</v>
      </c>
      <c r="U58" s="1"/>
      <c r="V58" s="5">
        <f t="shared" si="33"/>
        <v>2.3636756910213275E-2</v>
      </c>
      <c r="W58" s="1"/>
      <c r="X58" s="1">
        <f t="shared" si="34"/>
        <v>2715.42</v>
      </c>
      <c r="Y58" s="1"/>
      <c r="Z58" s="5">
        <f t="shared" si="35"/>
        <v>1.386656453466105</v>
      </c>
    </row>
    <row r="59" spans="1:26" s="24" customFormat="1" hidden="1" outlineLevel="2" x14ac:dyDescent="0.25">
      <c r="A59" s="29"/>
      <c r="B59" s="11" t="str">
        <f>CONCATENATE("          ", "6237", " - ", "JANITORIAL SUPPLIES")</f>
        <v xml:space="preserve">          6237 - JANITORIAL SUPPLIES</v>
      </c>
      <c r="C59" s="11"/>
      <c r="D59" s="7">
        <v>117.63</v>
      </c>
      <c r="E59" s="2"/>
      <c r="F59" s="6">
        <f t="shared" si="28"/>
        <v>2.9227240991186857E-3</v>
      </c>
      <c r="G59" s="2"/>
      <c r="H59" s="7"/>
      <c r="I59" s="2"/>
      <c r="J59" s="6">
        <f t="shared" si="29"/>
        <v>0</v>
      </c>
      <c r="K59" s="2"/>
      <c r="L59" s="7">
        <f t="shared" si="30"/>
        <v>117.63</v>
      </c>
      <c r="M59" s="2"/>
      <c r="N59" s="6">
        <f t="shared" si="31"/>
        <v>0</v>
      </c>
      <c r="O59" s="11"/>
      <c r="P59" s="7">
        <v>117.63</v>
      </c>
      <c r="Q59" s="2"/>
      <c r="R59" s="6">
        <f t="shared" si="32"/>
        <v>2.0208545038014501E-3</v>
      </c>
      <c r="S59" s="2"/>
      <c r="T59" s="7"/>
      <c r="U59" s="2"/>
      <c r="V59" s="6">
        <f t="shared" si="33"/>
        <v>0</v>
      </c>
      <c r="W59" s="2"/>
      <c r="X59" s="7">
        <f t="shared" si="34"/>
        <v>117.63</v>
      </c>
      <c r="Y59" s="2"/>
      <c r="Z59" s="6">
        <f t="shared" si="35"/>
        <v>0</v>
      </c>
    </row>
    <row r="60" spans="1:26" s="24" customFormat="1" hidden="1" outlineLevel="2" x14ac:dyDescent="0.25">
      <c r="A60" s="29"/>
      <c r="B60" s="11" t="str">
        <f>CONCATENATE("          ", "6239", " - ", "KITCHEN SUPPLIES")</f>
        <v xml:space="preserve">          6239 - KITCHEN SUPPLIES</v>
      </c>
      <c r="C60" s="11"/>
      <c r="D60" s="7">
        <v>490.75</v>
      </c>
      <c r="E60" s="2"/>
      <c r="F60" s="6">
        <f t="shared" si="28"/>
        <v>1.2193546303175169E-2</v>
      </c>
      <c r="G60" s="2"/>
      <c r="H60" s="7">
        <v>282.93</v>
      </c>
      <c r="I60" s="2"/>
      <c r="J60" s="6">
        <f t="shared" si="29"/>
        <v>6.2524792351966859E-3</v>
      </c>
      <c r="K60" s="2"/>
      <c r="L60" s="7">
        <f t="shared" si="30"/>
        <v>207.82</v>
      </c>
      <c r="M60" s="2"/>
      <c r="N60" s="6">
        <f t="shared" si="31"/>
        <v>0.73452797511752022</v>
      </c>
      <c r="O60" s="11"/>
      <c r="P60" s="7">
        <v>1667.33</v>
      </c>
      <c r="Q60" s="2"/>
      <c r="R60" s="6">
        <f t="shared" si="32"/>
        <v>2.8644319814870964E-2</v>
      </c>
      <c r="S60" s="2"/>
      <c r="T60" s="7">
        <v>430.71</v>
      </c>
      <c r="U60" s="2"/>
      <c r="V60" s="6">
        <f t="shared" si="33"/>
        <v>5.1988191338174184E-3</v>
      </c>
      <c r="W60" s="2"/>
      <c r="X60" s="7">
        <f t="shared" si="34"/>
        <v>1236.6199999999999</v>
      </c>
      <c r="Y60" s="2"/>
      <c r="Z60" s="6">
        <f t="shared" si="35"/>
        <v>2.8711197789696081</v>
      </c>
    </row>
    <row r="61" spans="1:26" s="24" customFormat="1" hidden="1" outlineLevel="2" x14ac:dyDescent="0.25">
      <c r="A61" s="29"/>
      <c r="B61" s="11" t="str">
        <f>CONCATENATE("          ", "6241", " - ", "OFFICE EXPENSE")</f>
        <v xml:space="preserve">          6241 - OFFICE EXPENSE</v>
      </c>
      <c r="C61" s="11"/>
      <c r="D61" s="7"/>
      <c r="E61" s="2"/>
      <c r="F61" s="6">
        <f t="shared" si="28"/>
        <v>0</v>
      </c>
      <c r="G61" s="2"/>
      <c r="H61" s="7">
        <v>4.7300000000000004</v>
      </c>
      <c r="I61" s="2"/>
      <c r="J61" s="6">
        <f t="shared" si="29"/>
        <v>1.0452842322298918E-4</v>
      </c>
      <c r="K61" s="2"/>
      <c r="L61" s="7">
        <f t="shared" si="30"/>
        <v>-4.7300000000000004</v>
      </c>
      <c r="M61" s="2"/>
      <c r="N61" s="6">
        <f t="shared" si="31"/>
        <v>-1</v>
      </c>
      <c r="O61" s="11"/>
      <c r="P61" s="7">
        <v>1074.28</v>
      </c>
      <c r="Q61" s="2"/>
      <c r="R61" s="6">
        <f t="shared" si="32"/>
        <v>1.8455866499564922E-2</v>
      </c>
      <c r="S61" s="2"/>
      <c r="T61" s="7">
        <v>54.73</v>
      </c>
      <c r="U61" s="2"/>
      <c r="V61" s="6">
        <f t="shared" si="33"/>
        <v>6.6061008844426011E-4</v>
      </c>
      <c r="W61" s="2"/>
      <c r="X61" s="7">
        <f t="shared" si="34"/>
        <v>1019.55</v>
      </c>
      <c r="Y61" s="2"/>
      <c r="Z61" s="6">
        <f t="shared" si="35"/>
        <v>18.628722821121872</v>
      </c>
    </row>
    <row r="62" spans="1:26" s="24" customFormat="1" hidden="1" outlineLevel="2" x14ac:dyDescent="0.25">
      <c r="A62" s="29"/>
      <c r="B62" s="11" t="str">
        <f>CONCATENATE("          ", "6243", " - ", "PAPER SUPPLIES")</f>
        <v xml:space="preserve">          6243 - PAPER SUPPLIES</v>
      </c>
      <c r="C62" s="11"/>
      <c r="D62" s="7">
        <v>320.79000000000002</v>
      </c>
      <c r="E62" s="2"/>
      <c r="F62" s="6">
        <f t="shared" si="28"/>
        <v>7.9705913776781708E-3</v>
      </c>
      <c r="G62" s="2"/>
      <c r="H62" s="7">
        <v>193.05</v>
      </c>
      <c r="I62" s="2"/>
      <c r="J62" s="6">
        <f t="shared" si="29"/>
        <v>4.2662182036359532E-3</v>
      </c>
      <c r="K62" s="2"/>
      <c r="L62" s="7">
        <f t="shared" si="30"/>
        <v>127.74000000000001</v>
      </c>
      <c r="M62" s="2"/>
      <c r="N62" s="6">
        <f t="shared" si="31"/>
        <v>0.66169386169386168</v>
      </c>
      <c r="O62" s="11"/>
      <c r="P62" s="7">
        <v>886.49</v>
      </c>
      <c r="Q62" s="2"/>
      <c r="R62" s="6">
        <f t="shared" si="32"/>
        <v>1.522968043079952E-2</v>
      </c>
      <c r="S62" s="2"/>
      <c r="T62" s="7">
        <v>260.79000000000002</v>
      </c>
      <c r="U62" s="2"/>
      <c r="V62" s="6">
        <f t="shared" si="33"/>
        <v>3.1478257804746688E-3</v>
      </c>
      <c r="W62" s="2"/>
      <c r="X62" s="7">
        <f t="shared" si="34"/>
        <v>625.70000000000005</v>
      </c>
      <c r="Y62" s="2"/>
      <c r="Z62" s="6">
        <f t="shared" si="35"/>
        <v>2.399248437440086</v>
      </c>
    </row>
    <row r="63" spans="1:26" s="24" customFormat="1" hidden="1" outlineLevel="2" x14ac:dyDescent="0.25">
      <c r="A63" s="29"/>
      <c r="B63" s="11" t="str">
        <f>CONCATENATE("          ", "6245", " - ", "PRINTING")</f>
        <v xml:space="preserve">          6245 - PRINTING</v>
      </c>
      <c r="C63" s="11"/>
      <c r="D63" s="7">
        <v>33.159999999999997</v>
      </c>
      <c r="E63" s="2"/>
      <c r="F63" s="6">
        <f t="shared" si="28"/>
        <v>8.2391848275759256E-4</v>
      </c>
      <c r="G63" s="2"/>
      <c r="H63" s="7"/>
      <c r="I63" s="2"/>
      <c r="J63" s="6">
        <f t="shared" si="29"/>
        <v>0</v>
      </c>
      <c r="K63" s="2"/>
      <c r="L63" s="7">
        <f t="shared" si="30"/>
        <v>33.159999999999997</v>
      </c>
      <c r="M63" s="2"/>
      <c r="N63" s="6">
        <f t="shared" si="31"/>
        <v>0</v>
      </c>
      <c r="O63" s="11"/>
      <c r="P63" s="7">
        <v>147.91</v>
      </c>
      <c r="Q63" s="2"/>
      <c r="R63" s="6">
        <f t="shared" si="32"/>
        <v>2.5410574654193018E-3</v>
      </c>
      <c r="S63" s="2"/>
      <c r="T63" s="7"/>
      <c r="U63" s="2"/>
      <c r="V63" s="6">
        <f t="shared" si="33"/>
        <v>0</v>
      </c>
      <c r="W63" s="2"/>
      <c r="X63" s="7">
        <f t="shared" si="34"/>
        <v>147.91</v>
      </c>
      <c r="Y63" s="2"/>
      <c r="Z63" s="6">
        <f t="shared" si="35"/>
        <v>0</v>
      </c>
    </row>
    <row r="64" spans="1:26" s="24" customFormat="1" hidden="1" outlineLevel="2" x14ac:dyDescent="0.25">
      <c r="A64" s="29"/>
      <c r="B64" s="11" t="str">
        <f>CONCATENATE("          ", "6247", " - ", "STORE SUPPLIES")</f>
        <v xml:space="preserve">          6247 - STORE SUPPLIES</v>
      </c>
      <c r="C64" s="11"/>
      <c r="D64" s="7">
        <v>689.18</v>
      </c>
      <c r="E64" s="2"/>
      <c r="F64" s="6">
        <f t="shared" si="28"/>
        <v>1.7123888418180869E-2</v>
      </c>
      <c r="G64" s="2"/>
      <c r="H64" s="7">
        <v>1111.82</v>
      </c>
      <c r="I64" s="2"/>
      <c r="J64" s="6">
        <f t="shared" si="29"/>
        <v>2.4570146196148796E-2</v>
      </c>
      <c r="K64" s="2"/>
      <c r="L64" s="7">
        <f t="shared" si="30"/>
        <v>-422.64</v>
      </c>
      <c r="M64" s="2"/>
      <c r="N64" s="6">
        <f t="shared" si="31"/>
        <v>-0.38013347484305016</v>
      </c>
      <c r="O64" s="11"/>
      <c r="P64" s="7">
        <v>689.18</v>
      </c>
      <c r="Q64" s="2"/>
      <c r="R64" s="6">
        <f t="shared" si="32"/>
        <v>1.1839943100653602E-2</v>
      </c>
      <c r="S64" s="2"/>
      <c r="T64" s="7">
        <v>1111.82</v>
      </c>
      <c r="U64" s="2"/>
      <c r="V64" s="6">
        <f t="shared" si="33"/>
        <v>1.342005314332354E-2</v>
      </c>
      <c r="W64" s="2"/>
      <c r="X64" s="7">
        <f t="shared" si="34"/>
        <v>-422.64</v>
      </c>
      <c r="Y64" s="2"/>
      <c r="Z64" s="6">
        <f t="shared" si="35"/>
        <v>-0.38013347484305016</v>
      </c>
    </row>
    <row r="65" spans="1:26" s="24" customFormat="1" hidden="1" outlineLevel="2" x14ac:dyDescent="0.25">
      <c r="A65" s="29"/>
      <c r="B65" s="11" t="str">
        <f>CONCATENATE("          ", "6248", " - ", "UNIFORMS")</f>
        <v xml:space="preserve">          6248 - UNIFORMS</v>
      </c>
      <c r="C65" s="11"/>
      <c r="D65" s="7">
        <v>90.85</v>
      </c>
      <c r="E65" s="2"/>
      <c r="F65" s="6">
        <f t="shared" si="28"/>
        <v>2.2573279299917758E-3</v>
      </c>
      <c r="G65" s="2"/>
      <c r="H65" s="7"/>
      <c r="I65" s="2"/>
      <c r="J65" s="6">
        <f t="shared" si="29"/>
        <v>0</v>
      </c>
      <c r="K65" s="2"/>
      <c r="L65" s="7">
        <f t="shared" si="30"/>
        <v>90.85</v>
      </c>
      <c r="M65" s="2"/>
      <c r="N65" s="6">
        <f t="shared" si="31"/>
        <v>0</v>
      </c>
      <c r="O65" s="11"/>
      <c r="P65" s="7">
        <v>90.85</v>
      </c>
      <c r="Q65" s="2"/>
      <c r="R65" s="6">
        <f t="shared" si="32"/>
        <v>1.5607806823970222E-3</v>
      </c>
      <c r="S65" s="2"/>
      <c r="T65" s="7">
        <v>100.2</v>
      </c>
      <c r="U65" s="2"/>
      <c r="V65" s="6">
        <f t="shared" si="33"/>
        <v>1.209448764153387E-3</v>
      </c>
      <c r="W65" s="2"/>
      <c r="X65" s="7">
        <f t="shared" si="34"/>
        <v>-9.3500000000000085</v>
      </c>
      <c r="Y65" s="2"/>
      <c r="Z65" s="6">
        <f t="shared" si="35"/>
        <v>-9.3313373253493093E-2</v>
      </c>
    </row>
    <row r="66" spans="1:26" s="27" customFormat="1" outlineLevel="1" collapsed="1" x14ac:dyDescent="0.25">
      <c r="A66" s="28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SUM(OSRRefD22_13x_0)</f>
        <v>0</v>
      </c>
      <c r="E66" s="1"/>
      <c r="F66" s="5">
        <f t="shared" ref="F66:F69" si="36">IF(D$12=0,0,D66/D$12)</f>
        <v>0</v>
      </c>
      <c r="G66" s="1"/>
      <c r="H66" s="1">
        <f>SUM(OSRRefH22_13x_0)</f>
        <v>50</v>
      </c>
      <c r="I66" s="1"/>
      <c r="J66" s="5">
        <f t="shared" ref="J66:J69" si="37">IF(H$12=0,0,H66/H$12)</f>
        <v>1.1049516196933317E-3</v>
      </c>
      <c r="K66" s="1"/>
      <c r="L66" s="1">
        <f t="shared" ref="L66:L69" si="38">+D66-H66</f>
        <v>-50</v>
      </c>
      <c r="M66" s="1"/>
      <c r="N66" s="5">
        <f t="shared" ref="N66:N69" si="39">IF(H66=0,0,L66/H66)</f>
        <v>-1</v>
      </c>
      <c r="O66" s="14"/>
      <c r="P66" s="1">
        <f>SUM(OSRRefP22_13x_0)</f>
        <v>-95</v>
      </c>
      <c r="Q66" s="1"/>
      <c r="R66" s="5">
        <f t="shared" ref="R66:R69" si="40">IF(P$12=0,0,P66/P$12)</f>
        <v>-1.6320766629357966E-3</v>
      </c>
      <c r="S66" s="1"/>
      <c r="T66" s="1">
        <f>SUM(OSRRefT22_13x_0)</f>
        <v>5</v>
      </c>
      <c r="U66" s="1"/>
      <c r="V66" s="5">
        <f t="shared" ref="V66:V69" si="41">IF(T$12=0,0,T66/T$12)</f>
        <v>6.0351734738192967E-5</v>
      </c>
      <c r="W66" s="1"/>
      <c r="X66" s="1">
        <f t="shared" ref="X66:X69" si="42">+P66-T66</f>
        <v>-100</v>
      </c>
      <c r="Y66" s="1"/>
      <c r="Z66" s="5">
        <f t="shared" ref="Z66:Z69" si="43">IF(T66=0,0,X66/T66)</f>
        <v>-20</v>
      </c>
    </row>
    <row r="67" spans="1:26" s="24" customFormat="1" hidden="1" outlineLevel="2" x14ac:dyDescent="0.25">
      <c r="A67" s="29"/>
      <c r="B67" s="11" t="str">
        <f>CONCATENATE("          ", "6309", " - ", "TELEPHONE")</f>
        <v xml:space="preserve">          6309 - TELEPHONE</v>
      </c>
      <c r="C67" s="11"/>
      <c r="D67" s="7"/>
      <c r="E67" s="2"/>
      <c r="F67" s="6">
        <f t="shared" si="36"/>
        <v>0</v>
      </c>
      <c r="G67" s="2"/>
      <c r="H67" s="7">
        <v>50</v>
      </c>
      <c r="I67" s="2"/>
      <c r="J67" s="6">
        <f t="shared" si="37"/>
        <v>1.1049516196933317E-3</v>
      </c>
      <c r="K67" s="2"/>
      <c r="L67" s="7">
        <f t="shared" si="38"/>
        <v>-50</v>
      </c>
      <c r="M67" s="2"/>
      <c r="N67" s="6">
        <f t="shared" si="39"/>
        <v>-1</v>
      </c>
      <c r="O67" s="11"/>
      <c r="P67" s="7">
        <v>-95</v>
      </c>
      <c r="Q67" s="2"/>
      <c r="R67" s="6">
        <f t="shared" si="40"/>
        <v>-1.6320766629357966E-3</v>
      </c>
      <c r="S67" s="2"/>
      <c r="T67" s="7">
        <v>5</v>
      </c>
      <c r="U67" s="2"/>
      <c r="V67" s="6">
        <f t="shared" si="41"/>
        <v>6.0351734738192967E-5</v>
      </c>
      <c r="W67" s="2"/>
      <c r="X67" s="7">
        <f t="shared" si="42"/>
        <v>-100</v>
      </c>
      <c r="Y67" s="2"/>
      <c r="Z67" s="6">
        <f t="shared" si="43"/>
        <v>-20</v>
      </c>
    </row>
    <row r="68" spans="1:26" s="27" customFormat="1" outlineLevel="1" collapsed="1" x14ac:dyDescent="0.25">
      <c r="A68" s="28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SUM(OSRRefD22_14x_0)</f>
        <v>0</v>
      </c>
      <c r="E68" s="1"/>
      <c r="F68" s="5">
        <f t="shared" si="36"/>
        <v>0</v>
      </c>
      <c r="G68" s="1"/>
      <c r="H68" s="1">
        <f>SUM(OSRRefH22_14x_0)</f>
        <v>45.16</v>
      </c>
      <c r="I68" s="1"/>
      <c r="J68" s="5">
        <f t="shared" si="37"/>
        <v>9.9799230290701702E-4</v>
      </c>
      <c r="K68" s="1"/>
      <c r="L68" s="1">
        <f t="shared" si="38"/>
        <v>-45.16</v>
      </c>
      <c r="M68" s="1"/>
      <c r="N68" s="5">
        <f t="shared" si="39"/>
        <v>-1</v>
      </c>
      <c r="O68" s="14"/>
      <c r="P68" s="1">
        <f>SUM(OSRRefP22_14x_0)</f>
        <v>0</v>
      </c>
      <c r="Q68" s="1"/>
      <c r="R68" s="5">
        <f t="shared" si="40"/>
        <v>0</v>
      </c>
      <c r="S68" s="1"/>
      <c r="T68" s="1">
        <f>SUM(OSRRefT22_14x_0)</f>
        <v>45.16</v>
      </c>
      <c r="U68" s="1"/>
      <c r="V68" s="5">
        <f t="shared" si="41"/>
        <v>5.4509686815535881E-4</v>
      </c>
      <c r="W68" s="1"/>
      <c r="X68" s="1">
        <f t="shared" si="42"/>
        <v>-45.16</v>
      </c>
      <c r="Y68" s="1"/>
      <c r="Z68" s="5">
        <f t="shared" si="43"/>
        <v>-1</v>
      </c>
    </row>
    <row r="69" spans="1:26" s="24" customFormat="1" hidden="1" outlineLevel="2" x14ac:dyDescent="0.25">
      <c r="A69" s="29"/>
      <c r="B69" s="11" t="str">
        <f>CONCATENATE("          ", "6376", " - ", "TRAINING")</f>
        <v xml:space="preserve">          6376 - TRAINING</v>
      </c>
      <c r="C69" s="11"/>
      <c r="D69" s="7"/>
      <c r="E69" s="2"/>
      <c r="F69" s="6">
        <f t="shared" si="36"/>
        <v>0</v>
      </c>
      <c r="G69" s="2"/>
      <c r="H69" s="7">
        <v>45.16</v>
      </c>
      <c r="I69" s="2"/>
      <c r="J69" s="6">
        <f t="shared" si="37"/>
        <v>9.9799230290701702E-4</v>
      </c>
      <c r="K69" s="2"/>
      <c r="L69" s="7">
        <f t="shared" si="38"/>
        <v>-45.16</v>
      </c>
      <c r="M69" s="2"/>
      <c r="N69" s="6">
        <f t="shared" si="39"/>
        <v>-1</v>
      </c>
      <c r="O69" s="11"/>
      <c r="P69" s="7"/>
      <c r="Q69" s="2"/>
      <c r="R69" s="6">
        <f t="shared" si="40"/>
        <v>0</v>
      </c>
      <c r="S69" s="2"/>
      <c r="T69" s="7">
        <v>45.16</v>
      </c>
      <c r="U69" s="2"/>
      <c r="V69" s="6">
        <f t="shared" si="41"/>
        <v>5.4509686815535881E-4</v>
      </c>
      <c r="W69" s="2"/>
      <c r="X69" s="7">
        <f t="shared" si="42"/>
        <v>-45.16</v>
      </c>
      <c r="Y69" s="2"/>
      <c r="Z69" s="6">
        <f t="shared" si="43"/>
        <v>-1</v>
      </c>
    </row>
    <row r="70" spans="1:26" s="62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5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3</v>
      </c>
      <c r="C73" s="26"/>
      <c r="D73" s="20">
        <f>+D20-D22+D71</f>
        <v>-682.92000000000189</v>
      </c>
      <c r="E73" s="13"/>
      <c r="F73" s="19">
        <f>IF(D$12=0,0,D73/D$12)</f>
        <v>-1.6968347715464918E-2</v>
      </c>
      <c r="G73" s="13"/>
      <c r="H73" s="20">
        <f>+H20-H22+H71</f>
        <v>-3233.0699999999888</v>
      </c>
      <c r="I73" s="13"/>
      <c r="J73" s="19">
        <f>IF(H$12=0,0,H73/H$12)</f>
        <v>-7.144771866163814E-2</v>
      </c>
      <c r="K73" s="15"/>
      <c r="L73" s="20">
        <f>+D73-H73</f>
        <v>2550.1499999999869</v>
      </c>
      <c r="M73" s="15"/>
      <c r="N73" s="19">
        <f>IF(H73=0,0,L73/H73)</f>
        <v>-0.7887704256326018</v>
      </c>
      <c r="O73" s="25"/>
      <c r="P73" s="20">
        <f>+P20-P22+P71</f>
        <v>-14353.419999999991</v>
      </c>
      <c r="Q73" s="13"/>
      <c r="R73" s="19">
        <f>IF(P$12=0,0,P73/P$12)</f>
        <v>-0.24658822963490429</v>
      </c>
      <c r="S73" s="13"/>
      <c r="T73" s="20">
        <f>+T20-T22+T71</f>
        <v>-9864.5599999999977</v>
      </c>
      <c r="U73" s="13"/>
      <c r="V73" s="19">
        <f>IF(T$12=0,0,T73/T$12)</f>
        <v>-0.11906866168579773</v>
      </c>
      <c r="W73" s="15"/>
      <c r="X73" s="20">
        <f>+P73-T73</f>
        <v>-4488.8599999999933</v>
      </c>
      <c r="Y73" s="15"/>
      <c r="Z73" s="19">
        <f>IF(T73=0,0,X73/T73)</f>
        <v>0.45504918617758872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3522.79</v>
      </c>
      <c r="E75" s="4"/>
      <c r="F75" s="12">
        <f>IF(D$12=0,0,D75/D$12)</f>
        <v>8.7529909284487922E-2</v>
      </c>
      <c r="G75" s="4"/>
      <c r="H75" s="4">
        <v>739.71</v>
      </c>
      <c r="I75" s="4"/>
      <c r="J75" s="12">
        <f>IF(H$12=0,0,H75/H$12)</f>
        <v>1.6346875252067086E-2</v>
      </c>
      <c r="K75" s="4"/>
      <c r="L75" s="4">
        <f>+D75-H75</f>
        <v>2783.08</v>
      </c>
      <c r="M75" s="4"/>
      <c r="N75" s="12">
        <f>IF(H75=0,0,L75/H75)</f>
        <v>3.7623933703748764</v>
      </c>
      <c r="O75" s="10"/>
      <c r="P75" s="4">
        <v>7257.48</v>
      </c>
      <c r="Q75" s="4"/>
      <c r="R75" s="12">
        <f>IF(P$12=0,0,P75/P$12)</f>
        <v>0.12468172357603458</v>
      </c>
      <c r="S75" s="4"/>
      <c r="T75" s="4">
        <v>8458.36</v>
      </c>
      <c r="U75" s="4"/>
      <c r="V75" s="12">
        <f>IF(T$12=0,0,T75/T$12)</f>
        <v>0.10209533980802837</v>
      </c>
      <c r="W75" s="4"/>
      <c r="X75" s="4">
        <f>+P75-T75</f>
        <v>-1200.880000000001</v>
      </c>
      <c r="Y75" s="4"/>
      <c r="Z75" s="12">
        <f>IF(T75=0,0,X75/T75)</f>
        <v>-0.1419755129836045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4</v>
      </c>
      <c r="C77" s="26"/>
      <c r="D77" s="31">
        <f>+D73-D75</f>
        <v>-4205.7100000000019</v>
      </c>
      <c r="E77" s="13"/>
      <c r="F77" s="36">
        <f>IF(D$12=0,0,D77/D$12)</f>
        <v>-0.10449825699995284</v>
      </c>
      <c r="G77" s="13"/>
      <c r="H77" s="31">
        <f>+H73-H75</f>
        <v>-3972.7799999999888</v>
      </c>
      <c r="I77" s="13"/>
      <c r="J77" s="36">
        <f>IF(H$12=0,0,H77/H$12)</f>
        <v>-8.7794593913705227E-2</v>
      </c>
      <c r="K77" s="15"/>
      <c r="L77" s="31">
        <f>D77-H77</f>
        <v>-232.93000000001302</v>
      </c>
      <c r="M77" s="15"/>
      <c r="N77" s="36">
        <f>IF(H77=0,0,L77/H77)</f>
        <v>5.8631487270881771E-2</v>
      </c>
      <c r="O77" s="25"/>
      <c r="P77" s="31">
        <f>+P73-P75</f>
        <v>-21610.899999999991</v>
      </c>
      <c r="Q77" s="13"/>
      <c r="R77" s="36">
        <f>IF(P$12=0,0,P77/P$12)</f>
        <v>-0.37126995321093886</v>
      </c>
      <c r="S77" s="13"/>
      <c r="T77" s="31">
        <f>+T73-T75</f>
        <v>-18322.919999999998</v>
      </c>
      <c r="U77" s="13"/>
      <c r="V77" s="36">
        <f>IF(T$12=0,0,T77/T$12)</f>
        <v>-0.22116400149382612</v>
      </c>
      <c r="W77" s="15"/>
      <c r="X77" s="31">
        <f>P77-T77</f>
        <v>-3287.9799999999923</v>
      </c>
      <c r="Y77" s="15"/>
      <c r="Z77" s="36">
        <f>IF(T77=0,0,X77/T77)</f>
        <v>0.17944628912858826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5</v>
      </c>
      <c r="C80" s="26"/>
      <c r="D80" s="32">
        <f>SUM(D77:D79)</f>
        <v>-4205.7100000000019</v>
      </c>
      <c r="E80" s="13"/>
      <c r="F80" s="30">
        <f>IF(D$12=0,0,D80/D$12)</f>
        <v>-0.10449825699995284</v>
      </c>
      <c r="G80" s="13"/>
      <c r="H80" s="32">
        <f>SUM(H77:H79)</f>
        <v>-3972.7799999999888</v>
      </c>
      <c r="I80" s="13"/>
      <c r="J80" s="30">
        <f>IF(H$12=0,0,H80/H$12)</f>
        <v>-8.7794593913705227E-2</v>
      </c>
      <c r="K80" s="15"/>
      <c r="L80" s="32">
        <f>+D80-H80</f>
        <v>-232.93000000001302</v>
      </c>
      <c r="M80" s="15"/>
      <c r="N80" s="30">
        <f>IF(H80=0,0,L80/H80)</f>
        <v>5.8631487270881771E-2</v>
      </c>
      <c r="O80" s="25"/>
      <c r="P80" s="32">
        <f>SUM(P77:P79)</f>
        <v>-21610.899999999991</v>
      </c>
      <c r="Q80" s="13"/>
      <c r="R80" s="30">
        <f>IF(P$12=0,0,P80/P$12)</f>
        <v>-0.37126995321093886</v>
      </c>
      <c r="S80" s="13"/>
      <c r="T80" s="32">
        <f>SUM(T77:T79)</f>
        <v>-18322.919999999998</v>
      </c>
      <c r="U80" s="13"/>
      <c r="V80" s="30">
        <f>IF(T$12=0,0,T80/T$12)</f>
        <v>-0.22116400149382612</v>
      </c>
      <c r="W80" s="15"/>
      <c r="X80" s="32">
        <f>+P80-T80</f>
        <v>-3287.9799999999923</v>
      </c>
      <c r="Y80" s="15"/>
      <c r="Z80" s="30">
        <f>IF(T80=0,0,X80/T80)</f>
        <v>0.17944628912858826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7">
        <v>43732.710067245367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60" t="s">
        <v>313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A84" s="9"/>
      <c r="B84" s="56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25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","415", " - ", "Outpost")</f>
        <v>Department 415 - Outpost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42482.479999999996</v>
      </c>
      <c r="E12" s="4"/>
      <c r="F12" s="12"/>
      <c r="G12" s="4"/>
      <c r="H12" s="4">
        <f>SUM(OSRRefH13x_0)</f>
        <v>43121.279999999999</v>
      </c>
      <c r="I12" s="4"/>
      <c r="J12" s="12"/>
      <c r="K12" s="4"/>
      <c r="L12" s="4">
        <f t="shared" ref="L12:L14" si="0">+D12-H12</f>
        <v>-638.80000000000291</v>
      </c>
      <c r="M12" s="4"/>
      <c r="N12" s="12">
        <f t="shared" ref="N12:N14" si="1">IF(H12=0,0,L12/H12)</f>
        <v>-1.4814031494426949E-2</v>
      </c>
      <c r="O12" s="10"/>
      <c r="P12" s="4">
        <f>SUM(OSRRefP13x_0)</f>
        <v>67795.350000000006</v>
      </c>
      <c r="Q12" s="4"/>
      <c r="R12" s="12"/>
      <c r="S12" s="4"/>
      <c r="T12" s="4">
        <f>SUM(OSRRefT13x_0)</f>
        <v>67034.880000000005</v>
      </c>
      <c r="U12" s="4"/>
      <c r="V12" s="12"/>
      <c r="W12" s="4"/>
      <c r="X12" s="4">
        <f t="shared" ref="X12:X14" si="2">+P12-T12</f>
        <v>760.47000000000116</v>
      </c>
      <c r="Y12" s="4"/>
      <c r="Z12" s="12">
        <f t="shared" ref="Z12:Z14" si="3">IF(T12=0,0,X12/T12)</f>
        <v>1.1344392650512704E-2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--16658.44</f>
        <v>16658.439999999999</v>
      </c>
      <c r="E13" s="2"/>
      <c r="F13" s="21"/>
      <c r="G13" s="2"/>
      <c r="H13" s="2">
        <f>--19174.34</f>
        <v>19174.34</v>
      </c>
      <c r="I13" s="2"/>
      <c r="J13" s="21"/>
      <c r="K13" s="2"/>
      <c r="L13" s="2">
        <f t="shared" si="0"/>
        <v>-2515.9000000000015</v>
      </c>
      <c r="M13" s="2"/>
      <c r="N13" s="21">
        <f t="shared" si="1"/>
        <v>-0.13121181746020991</v>
      </c>
      <c r="O13" s="11"/>
      <c r="P13" s="2">
        <f>--26429.84</f>
        <v>26429.84</v>
      </c>
      <c r="Q13" s="2"/>
      <c r="R13" s="21"/>
      <c r="S13" s="2"/>
      <c r="T13" s="2">
        <f>--34608.39</f>
        <v>34608.39</v>
      </c>
      <c r="U13" s="2"/>
      <c r="V13" s="21"/>
      <c r="W13" s="2"/>
      <c r="X13" s="2">
        <f t="shared" si="2"/>
        <v>-8178.5499999999993</v>
      </c>
      <c r="Y13" s="2"/>
      <c r="Z13" s="21">
        <f t="shared" si="3"/>
        <v>-0.23631697400543625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--25824.04</f>
        <v>25824.04</v>
      </c>
      <c r="E14" s="2"/>
      <c r="F14" s="21"/>
      <c r="G14" s="2"/>
      <c r="H14" s="2">
        <f>--23946.94</f>
        <v>23946.94</v>
      </c>
      <c r="I14" s="2"/>
      <c r="J14" s="21"/>
      <c r="K14" s="2"/>
      <c r="L14" s="2">
        <f t="shared" si="0"/>
        <v>1877.1000000000022</v>
      </c>
      <c r="M14" s="2"/>
      <c r="N14" s="21">
        <f t="shared" si="1"/>
        <v>7.8385797934934581E-2</v>
      </c>
      <c r="O14" s="11"/>
      <c r="P14" s="2">
        <f>--41365.51</f>
        <v>41365.51</v>
      </c>
      <c r="Q14" s="2"/>
      <c r="R14" s="21"/>
      <c r="S14" s="2"/>
      <c r="T14" s="2">
        <f>--32426.49</f>
        <v>32426.49</v>
      </c>
      <c r="U14" s="2"/>
      <c r="V14" s="21"/>
      <c r="W14" s="2"/>
      <c r="X14" s="2">
        <f t="shared" si="2"/>
        <v>8939.02</v>
      </c>
      <c r="Y14" s="2"/>
      <c r="Z14" s="21">
        <f t="shared" si="3"/>
        <v>0.27567029302277241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16562.36</v>
      </c>
      <c r="E16" s="4"/>
      <c r="F16" s="12">
        <f t="shared" ref="F16:F18" si="4">IF(D$12=0,0,D16/D$12)</f>
        <v>0.38986330364893956</v>
      </c>
      <c r="G16" s="4"/>
      <c r="H16" s="4">
        <f>SUM(OSRRefH16x_0)</f>
        <v>14273.48</v>
      </c>
      <c r="I16" s="4"/>
      <c r="J16" s="12">
        <f t="shared" ref="J16:J18" si="5">IF(H$12=0,0,H16/H$12)</f>
        <v>0.33100779939742048</v>
      </c>
      <c r="K16" s="4"/>
      <c r="L16" s="4">
        <f t="shared" ref="L16:L18" si="6">+D16-H16</f>
        <v>2288.880000000001</v>
      </c>
      <c r="M16" s="4"/>
      <c r="N16" s="12">
        <f t="shared" ref="N16:N18" si="7">IF(H16=0,0,L16/H16)</f>
        <v>0.16035893138884147</v>
      </c>
      <c r="O16" s="10"/>
      <c r="P16" s="4">
        <f>SUM(OSRRefP16x_0)</f>
        <v>22642.28</v>
      </c>
      <c r="Q16" s="4"/>
      <c r="R16" s="12">
        <f t="shared" ref="R16:R18" si="8">IF(P$12=0,0,P16/P$12)</f>
        <v>0.33397983785023599</v>
      </c>
      <c r="S16" s="4"/>
      <c r="T16" s="4">
        <f>SUM(OSRRefT16x_0)</f>
        <v>22452.63</v>
      </c>
      <c r="U16" s="4"/>
      <c r="V16" s="12">
        <f t="shared" ref="V16:V18" si="9">IF(T$12=0,0,T16/T$12)</f>
        <v>0.33493951208684197</v>
      </c>
      <c r="W16" s="4"/>
      <c r="X16" s="4">
        <f t="shared" ref="X16:X18" si="10">+P16-T16</f>
        <v>189.64999999999782</v>
      </c>
      <c r="Y16" s="4"/>
      <c r="Z16" s="12">
        <f t="shared" ref="Z16:Z18" si="11">IF(T16=0,0,X16/T16)</f>
        <v>8.446671948898539E-3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16164.36</v>
      </c>
      <c r="E17" s="2"/>
      <c r="F17" s="21">
        <f t="shared" si="4"/>
        <v>0.38049473571222775</v>
      </c>
      <c r="G17" s="2"/>
      <c r="H17" s="2">
        <v>17583.48</v>
      </c>
      <c r="I17" s="2"/>
      <c r="J17" s="21">
        <f t="shared" si="5"/>
        <v>0.40776804399127298</v>
      </c>
      <c r="K17" s="2"/>
      <c r="L17" s="2">
        <f t="shared" si="6"/>
        <v>-1419.119999999999</v>
      </c>
      <c r="M17" s="2"/>
      <c r="N17" s="21">
        <f t="shared" si="7"/>
        <v>-8.0707573244886616E-2</v>
      </c>
      <c r="O17" s="11"/>
      <c r="P17" s="2">
        <v>24224.28</v>
      </c>
      <c r="Q17" s="2"/>
      <c r="R17" s="21">
        <f t="shared" si="8"/>
        <v>0.35731477158831687</v>
      </c>
      <c r="S17" s="2"/>
      <c r="T17" s="2">
        <v>25578.63</v>
      </c>
      <c r="U17" s="2"/>
      <c r="V17" s="21">
        <f t="shared" si="9"/>
        <v>0.38157195179584119</v>
      </c>
      <c r="W17" s="2"/>
      <c r="X17" s="2">
        <f t="shared" si="10"/>
        <v>-1354.3500000000022</v>
      </c>
      <c r="Y17" s="2"/>
      <c r="Z17" s="21">
        <f t="shared" si="11"/>
        <v>-5.2948496459740112E-2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398</v>
      </c>
      <c r="E18" s="2"/>
      <c r="F18" s="21">
        <f t="shared" si="4"/>
        <v>9.3685679367117945E-3</v>
      </c>
      <c r="G18" s="2"/>
      <c r="H18" s="2">
        <v>-3310</v>
      </c>
      <c r="I18" s="2"/>
      <c r="J18" s="21">
        <f t="shared" si="5"/>
        <v>-7.67602445938525E-2</v>
      </c>
      <c r="K18" s="2"/>
      <c r="L18" s="2">
        <f t="shared" si="6"/>
        <v>3708</v>
      </c>
      <c r="M18" s="2"/>
      <c r="N18" s="21">
        <f t="shared" si="7"/>
        <v>-1.1202416918429003</v>
      </c>
      <c r="O18" s="11"/>
      <c r="P18" s="2">
        <v>-1582</v>
      </c>
      <c r="Q18" s="2"/>
      <c r="R18" s="21">
        <f t="shared" si="8"/>
        <v>-2.3334933738080856E-2</v>
      </c>
      <c r="S18" s="2"/>
      <c r="T18" s="2">
        <v>-3126</v>
      </c>
      <c r="U18" s="2"/>
      <c r="V18" s="21">
        <f t="shared" si="9"/>
        <v>-4.6632439708999253E-2</v>
      </c>
      <c r="W18" s="2"/>
      <c r="X18" s="2">
        <f t="shared" si="10"/>
        <v>1544</v>
      </c>
      <c r="Y18" s="2"/>
      <c r="Z18" s="21">
        <f t="shared" si="11"/>
        <v>-0.49392194497760716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25920.119999999995</v>
      </c>
      <c r="E20" s="13"/>
      <c r="F20" s="19">
        <f>IF(D$12=0,0,D20/D$12)</f>
        <v>0.61013669635106038</v>
      </c>
      <c r="G20" s="13"/>
      <c r="H20" s="20">
        <f>H12-H16</f>
        <v>28847.8</v>
      </c>
      <c r="I20" s="13"/>
      <c r="J20" s="19">
        <f>IF(H$12=0,0,H20/H$12)</f>
        <v>0.66899220060257947</v>
      </c>
      <c r="K20" s="15"/>
      <c r="L20" s="20">
        <f>+D20-H20</f>
        <v>-2927.6800000000039</v>
      </c>
      <c r="M20" s="15"/>
      <c r="N20" s="19">
        <f>IF(H20=0,0,L20/H20)</f>
        <v>-0.10148711513529642</v>
      </c>
      <c r="O20" s="25"/>
      <c r="P20" s="20">
        <f>P12-P16</f>
        <v>45153.070000000007</v>
      </c>
      <c r="Q20" s="13"/>
      <c r="R20" s="19">
        <f>IF(P$12=0,0,P20/P$12)</f>
        <v>0.66602016214976401</v>
      </c>
      <c r="S20" s="13"/>
      <c r="T20" s="20">
        <f>T12-T16</f>
        <v>44582.25</v>
      </c>
      <c r="U20" s="13"/>
      <c r="V20" s="19">
        <f>IF(T$12=0,0,T20/T$12)</f>
        <v>0.66506048791315797</v>
      </c>
      <c r="W20" s="15"/>
      <c r="X20" s="20">
        <f>+P20-T20</f>
        <v>570.82000000000698</v>
      </c>
      <c r="Y20" s="15"/>
      <c r="Z20" s="19">
        <f>IF(T20=0,0,X20/T20)</f>
        <v>1.280375037150451E-2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63396.839999999982</v>
      </c>
      <c r="E22" s="22"/>
      <c r="F22" s="33">
        <f t="shared" ref="F22:F31" si="12">IF(D$12=0,0,D22/D$12)</f>
        <v>1.4923055339518783</v>
      </c>
      <c r="G22" s="22"/>
      <c r="H22" s="22">
        <f>SUM(OSRRefH22x_0)</f>
        <v>58886.12</v>
      </c>
      <c r="I22" s="22"/>
      <c r="J22" s="33">
        <f t="shared" ref="J22:J31" si="13">IF(H$12=0,0,H22/H$12)</f>
        <v>1.3655930436202266</v>
      </c>
      <c r="K22" s="4"/>
      <c r="L22" s="22">
        <f t="shared" ref="L22:L31" si="14">+D22-H22</f>
        <v>4510.7199999999793</v>
      </c>
      <c r="M22" s="4"/>
      <c r="N22" s="33">
        <f t="shared" ref="N22:N31" si="15">IF(H22=0,0,L22/H22)</f>
        <v>7.660073375525471E-2</v>
      </c>
      <c r="O22" s="10"/>
      <c r="P22" s="22">
        <f>SUM(OSRRefP22x_0)</f>
        <v>126012.34999999996</v>
      </c>
      <c r="Q22" s="22"/>
      <c r="R22" s="33">
        <f t="shared" ref="R22:R31" si="16">IF(P$12=0,0,P22/P$12)</f>
        <v>1.8587167113968723</v>
      </c>
      <c r="S22" s="22"/>
      <c r="T22" s="22">
        <f>SUM(OSRRefT22x_0)</f>
        <v>116347.91</v>
      </c>
      <c r="U22" s="22"/>
      <c r="V22" s="33">
        <f t="shared" ref="V22:V31" si="17">IF(T$12=0,0,T22/T$12)</f>
        <v>1.7356324051001508</v>
      </c>
      <c r="W22" s="4"/>
      <c r="X22" s="22">
        <f t="shared" ref="X22:X31" si="18">+P22-T22</f>
        <v>9664.4399999999587</v>
      </c>
      <c r="Y22" s="4"/>
      <c r="Z22" s="33">
        <f t="shared" ref="Z22:Z31" si="19">IF(T22=0,0,X22/T22)</f>
        <v>8.306500735595472E-2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7555.3799999999992</v>
      </c>
      <c r="E23" s="1"/>
      <c r="F23" s="5">
        <f t="shared" si="12"/>
        <v>0.17784696185345111</v>
      </c>
      <c r="G23" s="1"/>
      <c r="H23" s="1">
        <f>SUM(OSRRefH22_0x_0)</f>
        <v>6938.08</v>
      </c>
      <c r="I23" s="1"/>
      <c r="J23" s="5">
        <f t="shared" si="13"/>
        <v>0.16089689359870579</v>
      </c>
      <c r="K23" s="1"/>
      <c r="L23" s="1">
        <f t="shared" si="14"/>
        <v>617.29999999999927</v>
      </c>
      <c r="M23" s="1"/>
      <c r="N23" s="5">
        <f t="shared" si="15"/>
        <v>8.8972741738348252E-2</v>
      </c>
      <c r="O23" s="14"/>
      <c r="P23" s="1">
        <f>SUM(OSRRefP22_0x_0)</f>
        <v>18703.759999999998</v>
      </c>
      <c r="Q23" s="1"/>
      <c r="R23" s="5">
        <f t="shared" si="16"/>
        <v>0.27588558802336732</v>
      </c>
      <c r="S23" s="1"/>
      <c r="T23" s="1">
        <f>SUM(OSRRefT22_0x_0)</f>
        <v>13418.999999999998</v>
      </c>
      <c r="U23" s="1"/>
      <c r="V23" s="5">
        <f t="shared" si="17"/>
        <v>0.2001793693074411</v>
      </c>
      <c r="W23" s="1"/>
      <c r="X23" s="1">
        <f t="shared" si="18"/>
        <v>5284.76</v>
      </c>
      <c r="Y23" s="1"/>
      <c r="Z23" s="5">
        <f t="shared" si="19"/>
        <v>0.3938266636858187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1398.6</v>
      </c>
      <c r="E24" s="2"/>
      <c r="F24" s="6">
        <f t="shared" si="12"/>
        <v>3.2921806824836967E-2</v>
      </c>
      <c r="G24" s="2"/>
      <c r="H24" s="7">
        <v>1195.21</v>
      </c>
      <c r="I24" s="2"/>
      <c r="J24" s="6">
        <f t="shared" si="13"/>
        <v>2.7717405420247268E-2</v>
      </c>
      <c r="K24" s="2"/>
      <c r="L24" s="7">
        <f t="shared" si="14"/>
        <v>203.38999999999987</v>
      </c>
      <c r="M24" s="2"/>
      <c r="N24" s="6">
        <f t="shared" si="15"/>
        <v>0.17017093230478314</v>
      </c>
      <c r="O24" s="11"/>
      <c r="P24" s="7">
        <v>2507.98</v>
      </c>
      <c r="Q24" s="2"/>
      <c r="R24" s="6">
        <f t="shared" si="16"/>
        <v>3.6993392614685219E-2</v>
      </c>
      <c r="S24" s="2"/>
      <c r="T24" s="7">
        <v>2243.27</v>
      </c>
      <c r="U24" s="2"/>
      <c r="V24" s="6">
        <f t="shared" si="17"/>
        <v>3.3464220417788466E-2</v>
      </c>
      <c r="W24" s="2"/>
      <c r="X24" s="7">
        <f t="shared" si="18"/>
        <v>264.71000000000004</v>
      </c>
      <c r="Y24" s="2"/>
      <c r="Z24" s="6">
        <f t="shared" si="19"/>
        <v>0.11800184552015586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745.58</v>
      </c>
      <c r="E25" s="2"/>
      <c r="F25" s="6">
        <f t="shared" si="12"/>
        <v>1.7550293674003969E-2</v>
      </c>
      <c r="G25" s="2"/>
      <c r="H25" s="7">
        <v>493.08</v>
      </c>
      <c r="I25" s="2"/>
      <c r="J25" s="6">
        <f t="shared" si="13"/>
        <v>1.1434725499799635E-2</v>
      </c>
      <c r="K25" s="2"/>
      <c r="L25" s="7">
        <f t="shared" si="14"/>
        <v>252.50000000000006</v>
      </c>
      <c r="M25" s="2"/>
      <c r="N25" s="6">
        <f t="shared" si="15"/>
        <v>0.51208728806684523</v>
      </c>
      <c r="O25" s="11"/>
      <c r="P25" s="7">
        <v>1309.8800000000001</v>
      </c>
      <c r="Q25" s="2"/>
      <c r="R25" s="6">
        <f t="shared" si="16"/>
        <v>1.9321089130744217E-2</v>
      </c>
      <c r="S25" s="2"/>
      <c r="T25" s="7">
        <v>1136.01</v>
      </c>
      <c r="U25" s="2"/>
      <c r="V25" s="6">
        <f t="shared" si="17"/>
        <v>1.6946550810563097E-2</v>
      </c>
      <c r="W25" s="2"/>
      <c r="X25" s="7">
        <f t="shared" si="18"/>
        <v>173.87000000000012</v>
      </c>
      <c r="Y25" s="2"/>
      <c r="Z25" s="6">
        <f t="shared" si="19"/>
        <v>0.15305323016522751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3090.11</v>
      </c>
      <c r="E26" s="2"/>
      <c r="F26" s="6">
        <f t="shared" si="12"/>
        <v>7.2738455947016292E-2</v>
      </c>
      <c r="G26" s="2"/>
      <c r="H26" s="7">
        <v>3401.61</v>
      </c>
      <c r="I26" s="2"/>
      <c r="J26" s="6">
        <f t="shared" si="13"/>
        <v>7.8884717707823154E-2</v>
      </c>
      <c r="K26" s="2"/>
      <c r="L26" s="7">
        <f t="shared" si="14"/>
        <v>-311.5</v>
      </c>
      <c r="M26" s="2"/>
      <c r="N26" s="6">
        <f t="shared" si="15"/>
        <v>-9.1574283942015694E-2</v>
      </c>
      <c r="O26" s="11"/>
      <c r="P26" s="7">
        <v>6180.22</v>
      </c>
      <c r="Q26" s="2"/>
      <c r="R26" s="6">
        <f t="shared" si="16"/>
        <v>9.1159939435374246E-2</v>
      </c>
      <c r="S26" s="2"/>
      <c r="T26" s="7">
        <v>4659.83</v>
      </c>
      <c r="U26" s="2"/>
      <c r="V26" s="6">
        <f t="shared" si="17"/>
        <v>6.9513512965190649E-2</v>
      </c>
      <c r="W26" s="2"/>
      <c r="X26" s="7">
        <f t="shared" si="18"/>
        <v>1520.3900000000003</v>
      </c>
      <c r="Y26" s="2"/>
      <c r="Z26" s="6">
        <f t="shared" si="19"/>
        <v>0.32627585126496039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49.96</v>
      </c>
      <c r="E27" s="2"/>
      <c r="F27" s="6">
        <f t="shared" si="12"/>
        <v>1.1760142063269377E-3</v>
      </c>
      <c r="G27" s="2"/>
      <c r="H27" s="7">
        <v>36.630000000000003</v>
      </c>
      <c r="I27" s="2"/>
      <c r="J27" s="6">
        <f t="shared" si="13"/>
        <v>8.4946457990115333E-4</v>
      </c>
      <c r="K27" s="2"/>
      <c r="L27" s="7">
        <f t="shared" si="14"/>
        <v>13.329999999999998</v>
      </c>
      <c r="M27" s="2"/>
      <c r="N27" s="6">
        <f t="shared" si="15"/>
        <v>0.36390936390936385</v>
      </c>
      <c r="O27" s="11"/>
      <c r="P27" s="7">
        <v>87.77</v>
      </c>
      <c r="Q27" s="2"/>
      <c r="R27" s="6">
        <f t="shared" si="16"/>
        <v>1.2946315639641951E-3</v>
      </c>
      <c r="S27" s="2"/>
      <c r="T27" s="7">
        <v>84.39</v>
      </c>
      <c r="U27" s="2"/>
      <c r="V27" s="6">
        <f t="shared" si="17"/>
        <v>1.2588968608581083E-3</v>
      </c>
      <c r="W27" s="2"/>
      <c r="X27" s="7">
        <f t="shared" si="18"/>
        <v>3.3799999999999955</v>
      </c>
      <c r="Y27" s="2"/>
      <c r="Z27" s="6">
        <f t="shared" si="19"/>
        <v>4.005213887901405E-2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581.80999999999995</v>
      </c>
      <c r="E28" s="2"/>
      <c r="F28" s="6">
        <f t="shared" si="12"/>
        <v>1.3695292741854995E-2</v>
      </c>
      <c r="G28" s="2"/>
      <c r="H28" s="7">
        <v>471.44</v>
      </c>
      <c r="I28" s="2"/>
      <c r="J28" s="6">
        <f t="shared" si="13"/>
        <v>1.0932885109161881E-2</v>
      </c>
      <c r="K28" s="2"/>
      <c r="L28" s="7">
        <f t="shared" si="14"/>
        <v>110.36999999999995</v>
      </c>
      <c r="M28" s="2"/>
      <c r="N28" s="6">
        <f t="shared" si="15"/>
        <v>0.23411250636348199</v>
      </c>
      <c r="O28" s="11"/>
      <c r="P28" s="7">
        <v>1163.6199999999999</v>
      </c>
      <c r="Q28" s="2"/>
      <c r="R28" s="6">
        <f t="shared" si="16"/>
        <v>1.716371403053454E-2</v>
      </c>
      <c r="S28" s="2"/>
      <c r="T28" s="7">
        <v>1171.74</v>
      </c>
      <c r="U28" s="2"/>
      <c r="V28" s="6">
        <f t="shared" si="17"/>
        <v>1.7479556911267687E-2</v>
      </c>
      <c r="W28" s="2"/>
      <c r="X28" s="7">
        <f t="shared" si="18"/>
        <v>-8.1200000000001182</v>
      </c>
      <c r="Y28" s="2"/>
      <c r="Z28" s="6">
        <f t="shared" si="19"/>
        <v>-6.9298649871132826E-3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864.41</v>
      </c>
      <c r="E29" s="2"/>
      <c r="F29" s="6">
        <f t="shared" si="12"/>
        <v>2.0347446759228748E-2</v>
      </c>
      <c r="G29" s="2"/>
      <c r="H29" s="7">
        <v>658.1</v>
      </c>
      <c r="I29" s="2"/>
      <c r="J29" s="6">
        <f t="shared" si="13"/>
        <v>1.5261606334505842E-2</v>
      </c>
      <c r="K29" s="2"/>
      <c r="L29" s="7">
        <f t="shared" si="14"/>
        <v>206.30999999999995</v>
      </c>
      <c r="M29" s="2"/>
      <c r="N29" s="6">
        <f t="shared" si="15"/>
        <v>0.31349339006230048</v>
      </c>
      <c r="O29" s="11"/>
      <c r="P29" s="7">
        <v>2603.8000000000002</v>
      </c>
      <c r="Q29" s="2"/>
      <c r="R29" s="6">
        <f t="shared" si="16"/>
        <v>3.8406763885723727E-2</v>
      </c>
      <c r="S29" s="2"/>
      <c r="T29" s="7">
        <v>1609.31</v>
      </c>
      <c r="U29" s="2"/>
      <c r="V29" s="6">
        <f t="shared" si="17"/>
        <v>2.4007054238032496E-2</v>
      </c>
      <c r="W29" s="2"/>
      <c r="X29" s="7">
        <f t="shared" si="18"/>
        <v>994.49000000000024</v>
      </c>
      <c r="Y29" s="2"/>
      <c r="Z29" s="6">
        <f t="shared" si="19"/>
        <v>0.61796049238493533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471.2</v>
      </c>
      <c r="E30" s="2"/>
      <c r="F30" s="6">
        <f t="shared" si="12"/>
        <v>1.109163118537336E-2</v>
      </c>
      <c r="G30" s="2"/>
      <c r="H30" s="7">
        <v>383.14</v>
      </c>
      <c r="I30" s="2"/>
      <c r="J30" s="6">
        <f t="shared" si="13"/>
        <v>8.8851722397850896E-3</v>
      </c>
      <c r="K30" s="2"/>
      <c r="L30" s="7">
        <f t="shared" si="14"/>
        <v>88.06</v>
      </c>
      <c r="M30" s="2"/>
      <c r="N30" s="6">
        <f t="shared" si="15"/>
        <v>0.22983765725322339</v>
      </c>
      <c r="O30" s="11"/>
      <c r="P30" s="7">
        <v>4228.7299999999996</v>
      </c>
      <c r="Q30" s="2"/>
      <c r="R30" s="6">
        <f t="shared" si="16"/>
        <v>6.2374926893953631E-2</v>
      </c>
      <c r="S30" s="2"/>
      <c r="T30" s="7">
        <v>1921.46</v>
      </c>
      <c r="U30" s="2"/>
      <c r="V30" s="6">
        <f t="shared" si="17"/>
        <v>2.8663585285749745E-2</v>
      </c>
      <c r="W30" s="2"/>
      <c r="X30" s="7">
        <f t="shared" si="18"/>
        <v>2307.2699999999995</v>
      </c>
      <c r="Y30" s="2"/>
      <c r="Z30" s="6">
        <f t="shared" si="19"/>
        <v>1.2007900242523912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353.71</v>
      </c>
      <c r="E31" s="2"/>
      <c r="F31" s="6">
        <f t="shared" si="12"/>
        <v>8.32602051480987E-3</v>
      </c>
      <c r="G31" s="2"/>
      <c r="H31" s="7">
        <v>298.87</v>
      </c>
      <c r="I31" s="2"/>
      <c r="J31" s="6">
        <f t="shared" si="13"/>
        <v>6.930916707481782E-3</v>
      </c>
      <c r="K31" s="2"/>
      <c r="L31" s="7">
        <f t="shared" si="14"/>
        <v>54.839999999999975</v>
      </c>
      <c r="M31" s="2"/>
      <c r="N31" s="6">
        <f t="shared" si="15"/>
        <v>0.18349114999832694</v>
      </c>
      <c r="O31" s="11"/>
      <c r="P31" s="7">
        <v>621.76</v>
      </c>
      <c r="Q31" s="2"/>
      <c r="R31" s="6">
        <f t="shared" si="16"/>
        <v>9.17113046838758E-3</v>
      </c>
      <c r="S31" s="2"/>
      <c r="T31" s="7">
        <v>592.99</v>
      </c>
      <c r="U31" s="2"/>
      <c r="V31" s="6">
        <f t="shared" si="17"/>
        <v>8.8459918179908722E-3</v>
      </c>
      <c r="W31" s="2"/>
      <c r="X31" s="7">
        <f t="shared" si="18"/>
        <v>28.769999999999982</v>
      </c>
      <c r="Y31" s="2"/>
      <c r="Z31" s="6">
        <f t="shared" si="19"/>
        <v>4.8516838395251151E-2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21079.68</v>
      </c>
      <c r="E32" s="1"/>
      <c r="F32" s="5">
        <f t="shared" ref="F32:F37" si="20">IF(D$12=0,0,D32/D$12)</f>
        <v>0.4961970205129268</v>
      </c>
      <c r="G32" s="1"/>
      <c r="H32" s="1">
        <f>SUM(OSRRefH22_1x_0)</f>
        <v>17963.98</v>
      </c>
      <c r="I32" s="1"/>
      <c r="J32" s="5">
        <f t="shared" ref="J32:J37" si="21">IF(H$12=0,0,H32/H$12)</f>
        <v>0.41659199355863274</v>
      </c>
      <c r="K32" s="1"/>
      <c r="L32" s="1">
        <f t="shared" ref="L32:L37" si="22">+D32-H32</f>
        <v>3115.7000000000007</v>
      </c>
      <c r="M32" s="1"/>
      <c r="N32" s="5">
        <f t="shared" ref="N32:N37" si="23">IF(H32=0,0,L32/H32)</f>
        <v>0.17344152019763998</v>
      </c>
      <c r="O32" s="14"/>
      <c r="P32" s="1">
        <f>SUM(OSRRefP22_1x_0)</f>
        <v>38565.160000000003</v>
      </c>
      <c r="Q32" s="1"/>
      <c r="R32" s="5">
        <f t="shared" ref="R32:R37" si="24">IF(P$12=0,0,P32/P$12)</f>
        <v>0.56884668343772837</v>
      </c>
      <c r="S32" s="1"/>
      <c r="T32" s="1">
        <f>SUM(OSRRefT22_1x_0)</f>
        <v>34145.03</v>
      </c>
      <c r="U32" s="1"/>
      <c r="V32" s="5">
        <f t="shared" ref="V32:V37" si="25">IF(T$12=0,0,T32/T$12)</f>
        <v>0.50936214102270339</v>
      </c>
      <c r="W32" s="1"/>
      <c r="X32" s="1">
        <f t="shared" ref="X32:X37" si="26">+P32-T32</f>
        <v>4420.1300000000047</v>
      </c>
      <c r="Y32" s="1"/>
      <c r="Z32" s="5">
        <f t="shared" ref="Z32:Z37" si="27">IF(T32=0,0,X32/T32)</f>
        <v>0.12945163615319724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4981.0600000000004</v>
      </c>
      <c r="E33" s="2"/>
      <c r="F33" s="6">
        <f t="shared" si="20"/>
        <v>0.1172497462483358</v>
      </c>
      <c r="G33" s="2"/>
      <c r="H33" s="7">
        <v>5027.62</v>
      </c>
      <c r="I33" s="2"/>
      <c r="J33" s="6">
        <f t="shared" si="21"/>
        <v>0.11659255012838209</v>
      </c>
      <c r="K33" s="2"/>
      <c r="L33" s="7">
        <f t="shared" si="22"/>
        <v>-46.559999999999491</v>
      </c>
      <c r="M33" s="2"/>
      <c r="N33" s="6">
        <f t="shared" si="23"/>
        <v>-9.2608431027005802E-3</v>
      </c>
      <c r="O33" s="11"/>
      <c r="P33" s="7">
        <v>10673.27</v>
      </c>
      <c r="Q33" s="2"/>
      <c r="R33" s="6">
        <f t="shared" si="24"/>
        <v>0.1574336587981329</v>
      </c>
      <c r="S33" s="2"/>
      <c r="T33" s="7">
        <v>10807.18</v>
      </c>
      <c r="U33" s="2"/>
      <c r="V33" s="6">
        <f t="shared" si="25"/>
        <v>0.16121726480303986</v>
      </c>
      <c r="W33" s="2"/>
      <c r="X33" s="7">
        <f t="shared" si="26"/>
        <v>-133.90999999999985</v>
      </c>
      <c r="Y33" s="2"/>
      <c r="Z33" s="6">
        <f t="shared" si="27"/>
        <v>-1.2390836462425892E-2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2938.97</v>
      </c>
      <c r="E34" s="2"/>
      <c r="F34" s="6">
        <f t="shared" si="20"/>
        <v>6.9180754042607678E-2</v>
      </c>
      <c r="G34" s="2"/>
      <c r="H34" s="7">
        <v>2701.18</v>
      </c>
      <c r="I34" s="2"/>
      <c r="J34" s="6">
        <f t="shared" si="21"/>
        <v>6.2641461477952409E-2</v>
      </c>
      <c r="K34" s="2"/>
      <c r="L34" s="7">
        <f t="shared" si="22"/>
        <v>237.78999999999996</v>
      </c>
      <c r="M34" s="2"/>
      <c r="N34" s="6">
        <f t="shared" si="23"/>
        <v>8.8031897170866055E-2</v>
      </c>
      <c r="O34" s="11"/>
      <c r="P34" s="7">
        <v>6188.29</v>
      </c>
      <c r="Q34" s="2"/>
      <c r="R34" s="6">
        <f t="shared" si="24"/>
        <v>9.1278974147931971E-2</v>
      </c>
      <c r="S34" s="2"/>
      <c r="T34" s="7">
        <v>5662.43</v>
      </c>
      <c r="U34" s="2"/>
      <c r="V34" s="6">
        <f t="shared" si="25"/>
        <v>8.4469905816195984E-2</v>
      </c>
      <c r="W34" s="2"/>
      <c r="X34" s="7">
        <f t="shared" si="26"/>
        <v>525.85999999999967</v>
      </c>
      <c r="Y34" s="2"/>
      <c r="Z34" s="6">
        <f t="shared" si="27"/>
        <v>9.2868256208023706E-2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4538.71</v>
      </c>
      <c r="E35" s="2"/>
      <c r="F35" s="6">
        <f t="shared" si="20"/>
        <v>0.10683721854279694</v>
      </c>
      <c r="G35" s="2"/>
      <c r="H35" s="7">
        <v>2566.4</v>
      </c>
      <c r="I35" s="2"/>
      <c r="J35" s="6">
        <f t="shared" si="21"/>
        <v>5.9515858527390657E-2</v>
      </c>
      <c r="K35" s="2"/>
      <c r="L35" s="7">
        <f t="shared" si="22"/>
        <v>1972.31</v>
      </c>
      <c r="M35" s="2"/>
      <c r="N35" s="6">
        <f t="shared" si="23"/>
        <v>0.76851231296758105</v>
      </c>
      <c r="O35" s="11"/>
      <c r="P35" s="7">
        <v>7997.1</v>
      </c>
      <c r="Q35" s="2"/>
      <c r="R35" s="6">
        <f t="shared" si="24"/>
        <v>0.11795941757067409</v>
      </c>
      <c r="S35" s="2"/>
      <c r="T35" s="7">
        <v>4616.4799999999996</v>
      </c>
      <c r="U35" s="2"/>
      <c r="V35" s="6">
        <f t="shared" si="25"/>
        <v>6.8866834698592727E-2</v>
      </c>
      <c r="W35" s="2"/>
      <c r="X35" s="7">
        <f t="shared" si="26"/>
        <v>3380.6200000000008</v>
      </c>
      <c r="Y35" s="2"/>
      <c r="Z35" s="6">
        <f t="shared" si="27"/>
        <v>0.73229386892177617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>
        <v>200.5</v>
      </c>
      <c r="E36" s="2"/>
      <c r="F36" s="6">
        <f t="shared" si="20"/>
        <v>4.7195926414842077E-3</v>
      </c>
      <c r="G36" s="2"/>
      <c r="H36" s="7"/>
      <c r="I36" s="2"/>
      <c r="J36" s="6">
        <f t="shared" si="21"/>
        <v>0</v>
      </c>
      <c r="K36" s="2"/>
      <c r="L36" s="7">
        <f t="shared" si="22"/>
        <v>200.5</v>
      </c>
      <c r="M36" s="2"/>
      <c r="N36" s="6">
        <f t="shared" si="23"/>
        <v>0</v>
      </c>
      <c r="O36" s="11"/>
      <c r="P36" s="7">
        <v>200.5</v>
      </c>
      <c r="Q36" s="2"/>
      <c r="R36" s="6">
        <f t="shared" si="24"/>
        <v>2.9574299712295899E-3</v>
      </c>
      <c r="S36" s="2"/>
      <c r="T36" s="7"/>
      <c r="U36" s="2"/>
      <c r="V36" s="6">
        <f t="shared" si="25"/>
        <v>0</v>
      </c>
      <c r="W36" s="2"/>
      <c r="X36" s="7">
        <f t="shared" si="26"/>
        <v>200.5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8420.44</v>
      </c>
      <c r="E37" s="2"/>
      <c r="F37" s="6">
        <f t="shared" si="20"/>
        <v>0.19820970903770216</v>
      </c>
      <c r="G37" s="2"/>
      <c r="H37" s="7">
        <v>7668.78</v>
      </c>
      <c r="I37" s="2"/>
      <c r="J37" s="6">
        <f t="shared" si="21"/>
        <v>0.1778421234249076</v>
      </c>
      <c r="K37" s="2"/>
      <c r="L37" s="7">
        <f t="shared" si="22"/>
        <v>751.66000000000076</v>
      </c>
      <c r="M37" s="2"/>
      <c r="N37" s="6">
        <f t="shared" si="23"/>
        <v>9.8015590485057702E-2</v>
      </c>
      <c r="O37" s="11"/>
      <c r="P37" s="7">
        <v>13506</v>
      </c>
      <c r="Q37" s="2"/>
      <c r="R37" s="6">
        <f t="shared" si="24"/>
        <v>0.19921720294975981</v>
      </c>
      <c r="S37" s="2"/>
      <c r="T37" s="7">
        <v>13058.94</v>
      </c>
      <c r="U37" s="2"/>
      <c r="V37" s="6">
        <f t="shared" si="25"/>
        <v>0.19480813570487482</v>
      </c>
      <c r="W37" s="2"/>
      <c r="X37" s="7">
        <f t="shared" si="26"/>
        <v>447.05999999999949</v>
      </c>
      <c r="Y37" s="2"/>
      <c r="Z37" s="6">
        <f t="shared" si="27"/>
        <v>3.4234018993884612E-2</v>
      </c>
    </row>
    <row r="38" spans="1:26" s="27" customFormat="1" outlineLevel="1" collapsed="1" x14ac:dyDescent="0.25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360.17</v>
      </c>
      <c r="E38" s="1"/>
      <c r="F38" s="5">
        <f t="shared" ref="F38:F46" si="28">IF(D$12=0,0,D38/D$12)</f>
        <v>8.4780832004157959E-3</v>
      </c>
      <c r="G38" s="1"/>
      <c r="H38" s="1">
        <f>SUM(OSRRefH22_2x_0)</f>
        <v>255.2</v>
      </c>
      <c r="I38" s="1"/>
      <c r="J38" s="5">
        <f t="shared" ref="J38:J46" si="29">IF(H$12=0,0,H38/H$12)</f>
        <v>5.918191667779806E-3</v>
      </c>
      <c r="K38" s="1"/>
      <c r="L38" s="1">
        <f t="shared" ref="L38:L46" si="30">+D38-H38</f>
        <v>104.97000000000003</v>
      </c>
      <c r="M38" s="1"/>
      <c r="N38" s="5">
        <f t="shared" ref="N38:N46" si="31">IF(H38=0,0,L38/H38)</f>
        <v>0.41132445141065843</v>
      </c>
      <c r="O38" s="14"/>
      <c r="P38" s="1">
        <f>SUM(OSRRefP22_2x_0)</f>
        <v>2000.45</v>
      </c>
      <c r="Q38" s="1"/>
      <c r="R38" s="5">
        <f t="shared" ref="R38:R46" si="32">IF(P$12=0,0,P38/P$12)</f>
        <v>2.9507185964819119E-2</v>
      </c>
      <c r="S38" s="1"/>
      <c r="T38" s="1">
        <f>SUM(OSRRefT22_2x_0)</f>
        <v>276.88</v>
      </c>
      <c r="U38" s="1"/>
      <c r="V38" s="5">
        <f t="shared" ref="V38:V46" si="33">IF(T$12=0,0,T38/T$12)</f>
        <v>4.1303870462660632E-3</v>
      </c>
      <c r="W38" s="1"/>
      <c r="X38" s="1">
        <f t="shared" ref="X38:X46" si="34">+P38-T38</f>
        <v>1723.5700000000002</v>
      </c>
      <c r="Y38" s="1"/>
      <c r="Z38" s="5">
        <f t="shared" ref="Z38:Z46" si="35">IF(T38=0,0,X38/T38)</f>
        <v>6.2249711066165858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>
        <v>360.17</v>
      </c>
      <c r="E39" s="2"/>
      <c r="F39" s="6">
        <f t="shared" si="28"/>
        <v>8.4780832004157959E-3</v>
      </c>
      <c r="G39" s="2"/>
      <c r="H39" s="7">
        <v>255.2</v>
      </c>
      <c r="I39" s="2"/>
      <c r="J39" s="6">
        <f t="shared" si="29"/>
        <v>5.918191667779806E-3</v>
      </c>
      <c r="K39" s="2"/>
      <c r="L39" s="7">
        <f t="shared" si="30"/>
        <v>104.97000000000003</v>
      </c>
      <c r="M39" s="2"/>
      <c r="N39" s="6">
        <f t="shared" si="31"/>
        <v>0.41132445141065843</v>
      </c>
      <c r="O39" s="11"/>
      <c r="P39" s="7">
        <v>2000.45</v>
      </c>
      <c r="Q39" s="2"/>
      <c r="R39" s="6">
        <f t="shared" si="32"/>
        <v>2.9507185964819119E-2</v>
      </c>
      <c r="S39" s="2"/>
      <c r="T39" s="7">
        <v>276.88</v>
      </c>
      <c r="U39" s="2"/>
      <c r="V39" s="6">
        <f t="shared" si="33"/>
        <v>4.1303870462660632E-3</v>
      </c>
      <c r="W39" s="2"/>
      <c r="X39" s="7">
        <f t="shared" si="34"/>
        <v>1723.5700000000002</v>
      </c>
      <c r="Y39" s="2"/>
      <c r="Z39" s="6">
        <f t="shared" si="35"/>
        <v>6.2249711066165858</v>
      </c>
    </row>
    <row r="40" spans="1:26" s="27" customFormat="1" outlineLevel="1" collapsed="1" x14ac:dyDescent="0.25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-13.24</v>
      </c>
      <c r="E40" s="1"/>
      <c r="F40" s="5">
        <f t="shared" si="28"/>
        <v>-3.116578881458898E-4</v>
      </c>
      <c r="G40" s="1"/>
      <c r="H40" s="1">
        <f>SUM(OSRRefH22_3x_0)</f>
        <v>14.97</v>
      </c>
      <c r="I40" s="1"/>
      <c r="J40" s="5">
        <f t="shared" si="29"/>
        <v>3.4716038113896436E-4</v>
      </c>
      <c r="K40" s="1"/>
      <c r="L40" s="1">
        <f t="shared" si="30"/>
        <v>-28.21</v>
      </c>
      <c r="M40" s="1"/>
      <c r="N40" s="5">
        <f t="shared" si="31"/>
        <v>-1.8844355377421509</v>
      </c>
      <c r="O40" s="14"/>
      <c r="P40" s="1">
        <f>SUM(OSRRefP22_3x_0)</f>
        <v>-18.21</v>
      </c>
      <c r="Q40" s="1"/>
      <c r="R40" s="5">
        <f t="shared" si="32"/>
        <v>-2.686024926488321E-4</v>
      </c>
      <c r="S40" s="1"/>
      <c r="T40" s="1">
        <f>SUM(OSRRefT22_3x_0)</f>
        <v>7.27</v>
      </c>
      <c r="U40" s="1"/>
      <c r="V40" s="5">
        <f t="shared" si="33"/>
        <v>1.0845100341792212E-4</v>
      </c>
      <c r="W40" s="1"/>
      <c r="X40" s="1">
        <f t="shared" si="34"/>
        <v>-25.48</v>
      </c>
      <c r="Y40" s="1"/>
      <c r="Z40" s="5">
        <f t="shared" si="35"/>
        <v>-3.504814305364512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>
        <v>-13.24</v>
      </c>
      <c r="E41" s="2"/>
      <c r="F41" s="6">
        <f t="shared" si="28"/>
        <v>-3.116578881458898E-4</v>
      </c>
      <c r="G41" s="2"/>
      <c r="H41" s="7">
        <v>14.97</v>
      </c>
      <c r="I41" s="2"/>
      <c r="J41" s="6">
        <f t="shared" si="29"/>
        <v>3.4716038113896436E-4</v>
      </c>
      <c r="K41" s="2"/>
      <c r="L41" s="7">
        <f t="shared" si="30"/>
        <v>-28.21</v>
      </c>
      <c r="M41" s="2"/>
      <c r="N41" s="6">
        <f t="shared" si="31"/>
        <v>-1.8844355377421509</v>
      </c>
      <c r="O41" s="11"/>
      <c r="P41" s="7">
        <v>-18.21</v>
      </c>
      <c r="Q41" s="2"/>
      <c r="R41" s="6">
        <f t="shared" si="32"/>
        <v>-2.686024926488321E-4</v>
      </c>
      <c r="S41" s="2"/>
      <c r="T41" s="7">
        <v>7.27</v>
      </c>
      <c r="U41" s="2"/>
      <c r="V41" s="6">
        <f t="shared" si="33"/>
        <v>1.0845100341792212E-4</v>
      </c>
      <c r="W41" s="2"/>
      <c r="X41" s="7">
        <f t="shared" si="34"/>
        <v>-25.48</v>
      </c>
      <c r="Y41" s="2"/>
      <c r="Z41" s="6">
        <f t="shared" si="35"/>
        <v>-3.504814305364512</v>
      </c>
    </row>
    <row r="42" spans="1:26" s="27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1616.35</v>
      </c>
      <c r="E42" s="1"/>
      <c r="F42" s="5">
        <f t="shared" si="28"/>
        <v>3.8047449207296753E-2</v>
      </c>
      <c r="G42" s="1"/>
      <c r="H42" s="1">
        <f>SUM(OSRRefH22_4x_0)</f>
        <v>1398.06</v>
      </c>
      <c r="I42" s="1"/>
      <c r="J42" s="5">
        <f t="shared" si="29"/>
        <v>3.2421579322320676E-2</v>
      </c>
      <c r="K42" s="1"/>
      <c r="L42" s="1">
        <f t="shared" si="30"/>
        <v>218.28999999999996</v>
      </c>
      <c r="M42" s="1"/>
      <c r="N42" s="5">
        <f t="shared" si="31"/>
        <v>0.15613779093887242</v>
      </c>
      <c r="O42" s="14"/>
      <c r="P42" s="1">
        <f>SUM(OSRRefP22_4x_0)</f>
        <v>2468.56</v>
      </c>
      <c r="Q42" s="1"/>
      <c r="R42" s="5">
        <f t="shared" si="32"/>
        <v>3.6411936806875392E-2</v>
      </c>
      <c r="S42" s="1"/>
      <c r="T42" s="1">
        <f>SUM(OSRRefT22_4x_0)</f>
        <v>2197.56</v>
      </c>
      <c r="U42" s="1"/>
      <c r="V42" s="5">
        <f t="shared" si="33"/>
        <v>3.2782336598499169E-2</v>
      </c>
      <c r="W42" s="1"/>
      <c r="X42" s="1">
        <f t="shared" si="34"/>
        <v>271</v>
      </c>
      <c r="Y42" s="1"/>
      <c r="Z42" s="5">
        <f t="shared" si="35"/>
        <v>0.12331858970858589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1616.35</v>
      </c>
      <c r="E43" s="2"/>
      <c r="F43" s="6">
        <f t="shared" si="28"/>
        <v>3.8047449207296753E-2</v>
      </c>
      <c r="G43" s="2"/>
      <c r="H43" s="7">
        <v>1398.06</v>
      </c>
      <c r="I43" s="2"/>
      <c r="J43" s="6">
        <f t="shared" si="29"/>
        <v>3.2421579322320676E-2</v>
      </c>
      <c r="K43" s="2"/>
      <c r="L43" s="7">
        <f t="shared" si="30"/>
        <v>218.28999999999996</v>
      </c>
      <c r="M43" s="2"/>
      <c r="N43" s="6">
        <f t="shared" si="31"/>
        <v>0.15613779093887242</v>
      </c>
      <c r="O43" s="11"/>
      <c r="P43" s="7">
        <v>2468.56</v>
      </c>
      <c r="Q43" s="2"/>
      <c r="R43" s="6">
        <f t="shared" si="32"/>
        <v>3.6411936806875392E-2</v>
      </c>
      <c r="S43" s="2"/>
      <c r="T43" s="7">
        <v>2197.56</v>
      </c>
      <c r="U43" s="2"/>
      <c r="V43" s="6">
        <f t="shared" si="33"/>
        <v>3.2782336598499169E-2</v>
      </c>
      <c r="W43" s="2"/>
      <c r="X43" s="7">
        <f t="shared" si="34"/>
        <v>271</v>
      </c>
      <c r="Y43" s="2"/>
      <c r="Z43" s="6">
        <f t="shared" si="35"/>
        <v>0.12331858970858589</v>
      </c>
    </row>
    <row r="44" spans="1:26" s="27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13266.91</v>
      </c>
      <c r="E44" s="1"/>
      <c r="F44" s="5">
        <f t="shared" si="28"/>
        <v>0.31229132574181173</v>
      </c>
      <c r="G44" s="1"/>
      <c r="H44" s="1">
        <f>SUM(OSRRefH22_5x_0)</f>
        <v>13266.9</v>
      </c>
      <c r="I44" s="1"/>
      <c r="J44" s="5">
        <f t="shared" si="29"/>
        <v>0.30766480030277393</v>
      </c>
      <c r="K44" s="1"/>
      <c r="L44" s="1">
        <f t="shared" si="30"/>
        <v>1.0000000000218279E-2</v>
      </c>
      <c r="M44" s="1"/>
      <c r="N44" s="5">
        <f t="shared" si="31"/>
        <v>7.537555872297431E-7</v>
      </c>
      <c r="O44" s="14"/>
      <c r="P44" s="1">
        <f>SUM(OSRRefP22_5x_0)</f>
        <v>26533.82</v>
      </c>
      <c r="Q44" s="1"/>
      <c r="R44" s="5">
        <f t="shared" si="32"/>
        <v>0.3913811197965642</v>
      </c>
      <c r="S44" s="1"/>
      <c r="T44" s="1">
        <f>SUM(OSRRefT22_5x_0)</f>
        <v>26533.8</v>
      </c>
      <c r="U44" s="1"/>
      <c r="V44" s="5">
        <f t="shared" si="33"/>
        <v>0.3958208025433923</v>
      </c>
      <c r="W44" s="1"/>
      <c r="X44" s="1">
        <f t="shared" si="34"/>
        <v>2.0000000000436557E-2</v>
      </c>
      <c r="Y44" s="1"/>
      <c r="Z44" s="5">
        <f t="shared" si="35"/>
        <v>7.537555872297431E-7</v>
      </c>
    </row>
    <row r="45" spans="1:26" s="24" customFormat="1" hidden="1" outlineLevel="2" x14ac:dyDescent="0.25">
      <c r="A45" s="29"/>
      <c r="B45" s="11" t="str">
        <f>CONCATENATE("          ", "6321", " - ", "BUILDING DEPRECIATION")</f>
        <v xml:space="preserve">          6321 - BUILDING DEPRECIATION</v>
      </c>
      <c r="C45" s="11"/>
      <c r="D45" s="7">
        <v>10612.46</v>
      </c>
      <c r="E45" s="2"/>
      <c r="F45" s="6">
        <f t="shared" si="28"/>
        <v>0.24980792081818198</v>
      </c>
      <c r="G45" s="2"/>
      <c r="H45" s="7">
        <v>10612.46</v>
      </c>
      <c r="I45" s="2"/>
      <c r="J45" s="6">
        <f t="shared" si="29"/>
        <v>0.24610725841162412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>
        <v>21224.92</v>
      </c>
      <c r="Q45" s="2"/>
      <c r="R45" s="6">
        <f t="shared" si="32"/>
        <v>0.31307338925162265</v>
      </c>
      <c r="S45" s="2"/>
      <c r="T45" s="7">
        <v>21224.92</v>
      </c>
      <c r="U45" s="2"/>
      <c r="V45" s="6">
        <f t="shared" si="33"/>
        <v>0.31662501670771986</v>
      </c>
      <c r="W45" s="2"/>
      <c r="X45" s="7">
        <f t="shared" si="34"/>
        <v>0</v>
      </c>
      <c r="Y45" s="2"/>
      <c r="Z45" s="6">
        <f t="shared" si="35"/>
        <v>0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2654.45</v>
      </c>
      <c r="E46" s="2"/>
      <c r="F46" s="6">
        <f t="shared" si="28"/>
        <v>6.2483404923629693E-2</v>
      </c>
      <c r="G46" s="2"/>
      <c r="H46" s="7">
        <v>2654.44</v>
      </c>
      <c r="I46" s="2"/>
      <c r="J46" s="6">
        <f t="shared" si="29"/>
        <v>6.15575418911498E-2</v>
      </c>
      <c r="K46" s="2"/>
      <c r="L46" s="7">
        <f t="shared" si="30"/>
        <v>9.9999999997635314E-3</v>
      </c>
      <c r="M46" s="2"/>
      <c r="N46" s="6">
        <f t="shared" si="31"/>
        <v>3.7672729463704327E-6</v>
      </c>
      <c r="O46" s="11"/>
      <c r="P46" s="7">
        <v>5308.9</v>
      </c>
      <c r="Q46" s="2"/>
      <c r="R46" s="6">
        <f t="shared" si="32"/>
        <v>7.8307730544941487E-2</v>
      </c>
      <c r="S46" s="2"/>
      <c r="T46" s="7">
        <v>5308.88</v>
      </c>
      <c r="U46" s="2"/>
      <c r="V46" s="6">
        <f t="shared" si="33"/>
        <v>7.9195785835672411E-2</v>
      </c>
      <c r="W46" s="2"/>
      <c r="X46" s="7">
        <f t="shared" si="34"/>
        <v>1.9999999999527063E-2</v>
      </c>
      <c r="Y46" s="2"/>
      <c r="Z46" s="6">
        <f t="shared" si="35"/>
        <v>3.7672729463704327E-6</v>
      </c>
    </row>
    <row r="47" spans="1:26" s="27" customFormat="1" outlineLevel="1" collapsed="1" x14ac:dyDescent="0.25">
      <c r="A47" s="28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SUM(OSRRefD22_6x_0)</f>
        <v>0</v>
      </c>
      <c r="E47" s="1"/>
      <c r="F47" s="5">
        <f t="shared" ref="F47:F64" si="36">IF(D$12=0,0,D47/D$12)</f>
        <v>0</v>
      </c>
      <c r="G47" s="1"/>
      <c r="H47" s="1">
        <f>SUM(OSRRefH22_6x_0)</f>
        <v>0</v>
      </c>
      <c r="I47" s="1"/>
      <c r="J47" s="5">
        <f t="shared" ref="J47:J64" si="37">IF(H$12=0,0,H47/H$12)</f>
        <v>0</v>
      </c>
      <c r="K47" s="1"/>
      <c r="L47" s="1">
        <f t="shared" ref="L47:L64" si="38">+D47-H47</f>
        <v>0</v>
      </c>
      <c r="M47" s="1"/>
      <c r="N47" s="5">
        <f t="shared" ref="N47:N64" si="39">IF(H47=0,0,L47/H47)</f>
        <v>0</v>
      </c>
      <c r="O47" s="14"/>
      <c r="P47" s="1">
        <f>SUM(OSRRefP22_6x_0)</f>
        <v>15.35</v>
      </c>
      <c r="Q47" s="1"/>
      <c r="R47" s="5">
        <f t="shared" ref="R47:R64" si="40">IF(P$12=0,0,P47/P$12)</f>
        <v>2.2641670852056959E-4</v>
      </c>
      <c r="S47" s="1"/>
      <c r="T47" s="1">
        <f>SUM(OSRRefT22_6x_0)</f>
        <v>0</v>
      </c>
      <c r="U47" s="1"/>
      <c r="V47" s="5">
        <f t="shared" ref="V47:V64" si="41">IF(T$12=0,0,T47/T$12)</f>
        <v>0</v>
      </c>
      <c r="W47" s="1"/>
      <c r="X47" s="1">
        <f t="shared" ref="X47:X64" si="42">+P47-T47</f>
        <v>15.35</v>
      </c>
      <c r="Y47" s="1"/>
      <c r="Z47" s="5">
        <f t="shared" ref="Z47:Z64" si="43">IF(T47=0,0,X47/T47)</f>
        <v>0</v>
      </c>
    </row>
    <row r="48" spans="1:26" s="24" customFormat="1" hidden="1" outlineLevel="2" x14ac:dyDescent="0.25">
      <c r="A48" s="29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36"/>
        <v>0</v>
      </c>
      <c r="G48" s="2"/>
      <c r="H48" s="7"/>
      <c r="I48" s="2"/>
      <c r="J48" s="6">
        <f t="shared" si="37"/>
        <v>0</v>
      </c>
      <c r="K48" s="2"/>
      <c r="L48" s="7">
        <f t="shared" si="38"/>
        <v>0</v>
      </c>
      <c r="M48" s="2"/>
      <c r="N48" s="6">
        <f t="shared" si="39"/>
        <v>0</v>
      </c>
      <c r="O48" s="11"/>
      <c r="P48" s="7">
        <v>15.35</v>
      </c>
      <c r="Q48" s="2"/>
      <c r="R48" s="6">
        <f t="shared" si="40"/>
        <v>2.2641670852056959E-4</v>
      </c>
      <c r="S48" s="2"/>
      <c r="T48" s="7"/>
      <c r="U48" s="2"/>
      <c r="V48" s="6">
        <f t="shared" si="41"/>
        <v>0</v>
      </c>
      <c r="W48" s="2"/>
      <c r="X48" s="7">
        <f t="shared" si="42"/>
        <v>15.35</v>
      </c>
      <c r="Y48" s="2"/>
      <c r="Z48" s="6">
        <f t="shared" si="43"/>
        <v>0</v>
      </c>
    </row>
    <row r="49" spans="1:26" s="27" customFormat="1" outlineLevel="1" collapsed="1" x14ac:dyDescent="0.25">
      <c r="A49" s="28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SUM(OSRRefD22_7x_0)</f>
        <v>146.04</v>
      </c>
      <c r="E49" s="1"/>
      <c r="F49" s="5">
        <f t="shared" si="36"/>
        <v>3.4376524157723374E-3</v>
      </c>
      <c r="G49" s="1"/>
      <c r="H49" s="1">
        <f>SUM(OSRRefH22_7x_0)</f>
        <v>86.79</v>
      </c>
      <c r="I49" s="1"/>
      <c r="J49" s="5">
        <f t="shared" si="37"/>
        <v>2.0126953559820118E-3</v>
      </c>
      <c r="K49" s="1"/>
      <c r="L49" s="1">
        <f t="shared" si="38"/>
        <v>59.249999999999986</v>
      </c>
      <c r="M49" s="1"/>
      <c r="N49" s="5">
        <f t="shared" si="39"/>
        <v>0.68268233667473188</v>
      </c>
      <c r="O49" s="14"/>
      <c r="P49" s="1">
        <f>SUM(OSRRefP22_7x_0)</f>
        <v>292.51</v>
      </c>
      <c r="Q49" s="1"/>
      <c r="R49" s="5">
        <f t="shared" si="40"/>
        <v>4.3146026976776429E-3</v>
      </c>
      <c r="S49" s="1"/>
      <c r="T49" s="1">
        <f>SUM(OSRRefT22_7x_0)</f>
        <v>231.52</v>
      </c>
      <c r="U49" s="1"/>
      <c r="V49" s="5">
        <f t="shared" si="41"/>
        <v>3.4537243894521776E-3</v>
      </c>
      <c r="W49" s="1"/>
      <c r="X49" s="1">
        <f t="shared" si="42"/>
        <v>60.989999999999981</v>
      </c>
      <c r="Y49" s="1"/>
      <c r="Z49" s="5">
        <f t="shared" si="43"/>
        <v>0.26343296475466471</v>
      </c>
    </row>
    <row r="50" spans="1:26" s="24" customFormat="1" hidden="1" outlineLevel="2" x14ac:dyDescent="0.25">
      <c r="A50" s="29"/>
      <c r="B50" s="11" t="str">
        <f>CONCATENATE("          ", "6351", " - ", "EQUIPMENT RENTAL")</f>
        <v xml:space="preserve">          6351 - EQUIPMENT RENTAL</v>
      </c>
      <c r="C50" s="11"/>
      <c r="D50" s="7">
        <v>146.04</v>
      </c>
      <c r="E50" s="2"/>
      <c r="F50" s="6">
        <f t="shared" si="36"/>
        <v>3.4376524157723374E-3</v>
      </c>
      <c r="G50" s="2"/>
      <c r="H50" s="7">
        <v>86.79</v>
      </c>
      <c r="I50" s="2"/>
      <c r="J50" s="6">
        <f t="shared" si="37"/>
        <v>2.0126953559820118E-3</v>
      </c>
      <c r="K50" s="2"/>
      <c r="L50" s="7">
        <f t="shared" si="38"/>
        <v>59.249999999999986</v>
      </c>
      <c r="M50" s="2"/>
      <c r="N50" s="6">
        <f t="shared" si="39"/>
        <v>0.68268233667473188</v>
      </c>
      <c r="O50" s="11"/>
      <c r="P50" s="7">
        <v>292.51</v>
      </c>
      <c r="Q50" s="2"/>
      <c r="R50" s="6">
        <f t="shared" si="40"/>
        <v>4.3146026976776429E-3</v>
      </c>
      <c r="S50" s="2"/>
      <c r="T50" s="7">
        <v>231.52</v>
      </c>
      <c r="U50" s="2"/>
      <c r="V50" s="6">
        <f t="shared" si="41"/>
        <v>3.4537243894521776E-3</v>
      </c>
      <c r="W50" s="2"/>
      <c r="X50" s="7">
        <f t="shared" si="42"/>
        <v>60.989999999999981</v>
      </c>
      <c r="Y50" s="2"/>
      <c r="Z50" s="6">
        <f t="shared" si="43"/>
        <v>0.26343296475466471</v>
      </c>
    </row>
    <row r="51" spans="1:26" s="27" customFormat="1" outlineLevel="1" collapsed="1" x14ac:dyDescent="0.25">
      <c r="A51" s="28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SUM(OSRRefD22_8x_0)</f>
        <v>0</v>
      </c>
      <c r="E51" s="1"/>
      <c r="F51" s="5">
        <f t="shared" si="36"/>
        <v>0</v>
      </c>
      <c r="G51" s="1"/>
      <c r="H51" s="1">
        <f>SUM(OSRRefH22_8x_0)</f>
        <v>0</v>
      </c>
      <c r="I51" s="1"/>
      <c r="J51" s="5">
        <f t="shared" si="37"/>
        <v>0</v>
      </c>
      <c r="K51" s="1"/>
      <c r="L51" s="1">
        <f t="shared" si="38"/>
        <v>0</v>
      </c>
      <c r="M51" s="1"/>
      <c r="N51" s="5">
        <f t="shared" si="39"/>
        <v>0</v>
      </c>
      <c r="O51" s="14"/>
      <c r="P51" s="1">
        <f>SUM(OSRRefP22_8x_0)</f>
        <v>1354.55</v>
      </c>
      <c r="Q51" s="1"/>
      <c r="R51" s="5">
        <f t="shared" si="40"/>
        <v>1.997998387795033E-2</v>
      </c>
      <c r="S51" s="1"/>
      <c r="T51" s="1">
        <f>SUM(OSRRefT22_8x_0)</f>
        <v>1304.2</v>
      </c>
      <c r="U51" s="1"/>
      <c r="V51" s="5">
        <f t="shared" si="41"/>
        <v>1.9455543144106472E-2</v>
      </c>
      <c r="W51" s="1"/>
      <c r="X51" s="1">
        <f t="shared" si="42"/>
        <v>50.349999999999909</v>
      </c>
      <c r="Y51" s="1"/>
      <c r="Z51" s="5">
        <f t="shared" si="43"/>
        <v>3.860604201809531E-2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36"/>
        <v>0</v>
      </c>
      <c r="G52" s="2"/>
      <c r="H52" s="7"/>
      <c r="I52" s="2"/>
      <c r="J52" s="6">
        <f t="shared" si="37"/>
        <v>0</v>
      </c>
      <c r="K52" s="2"/>
      <c r="L52" s="7">
        <f t="shared" si="38"/>
        <v>0</v>
      </c>
      <c r="M52" s="2"/>
      <c r="N52" s="6">
        <f t="shared" si="39"/>
        <v>0</v>
      </c>
      <c r="O52" s="11"/>
      <c r="P52" s="7">
        <v>1354.55</v>
      </c>
      <c r="Q52" s="2"/>
      <c r="R52" s="6">
        <f t="shared" si="40"/>
        <v>1.997998387795033E-2</v>
      </c>
      <c r="S52" s="2"/>
      <c r="T52" s="7">
        <v>1304.2</v>
      </c>
      <c r="U52" s="2"/>
      <c r="V52" s="6">
        <f t="shared" si="41"/>
        <v>1.9455543144106472E-2</v>
      </c>
      <c r="W52" s="2"/>
      <c r="X52" s="7">
        <f t="shared" si="42"/>
        <v>50.349999999999909</v>
      </c>
      <c r="Y52" s="2"/>
      <c r="Z52" s="6">
        <f t="shared" si="43"/>
        <v>3.860604201809531E-2</v>
      </c>
    </row>
    <row r="53" spans="1:26" s="27" customFormat="1" outlineLevel="1" collapsed="1" x14ac:dyDescent="0.25">
      <c r="A53" s="28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SUM(OSRRefD22_9x_0)</f>
        <v>641.28</v>
      </c>
      <c r="E53" s="1"/>
      <c r="F53" s="5">
        <f t="shared" si="36"/>
        <v>1.5095163935815423E-2</v>
      </c>
      <c r="G53" s="1"/>
      <c r="H53" s="1">
        <f>SUM(OSRRefH22_9x_0)</f>
        <v>604.16</v>
      </c>
      <c r="I53" s="1"/>
      <c r="J53" s="5">
        <f t="shared" si="37"/>
        <v>1.4010715822906927E-2</v>
      </c>
      <c r="K53" s="1"/>
      <c r="L53" s="1">
        <f t="shared" si="38"/>
        <v>37.120000000000005</v>
      </c>
      <c r="M53" s="1"/>
      <c r="N53" s="5">
        <f t="shared" si="39"/>
        <v>6.1440677966101705E-2</v>
      </c>
      <c r="O53" s="14"/>
      <c r="P53" s="1">
        <f>SUM(OSRRefP22_9x_0)</f>
        <v>1282.56</v>
      </c>
      <c r="Q53" s="1"/>
      <c r="R53" s="5">
        <f t="shared" si="40"/>
        <v>1.8918111640400113E-2</v>
      </c>
      <c r="S53" s="1"/>
      <c r="T53" s="1">
        <f>SUM(OSRRefT22_9x_0)</f>
        <v>1208.32</v>
      </c>
      <c r="U53" s="1"/>
      <c r="V53" s="5">
        <f t="shared" si="41"/>
        <v>1.8025242977983996E-2</v>
      </c>
      <c r="W53" s="1"/>
      <c r="X53" s="1">
        <f t="shared" si="42"/>
        <v>74.240000000000009</v>
      </c>
      <c r="Y53" s="1"/>
      <c r="Z53" s="5">
        <f t="shared" si="43"/>
        <v>6.1440677966101705E-2</v>
      </c>
    </row>
    <row r="54" spans="1:26" s="24" customFormat="1" hidden="1" outlineLevel="2" x14ac:dyDescent="0.25">
      <c r="A54" s="29"/>
      <c r="B54" s="11" t="str">
        <f>CONCATENATE("          ", "6314", " - ", "LIABILITY INSURANCE")</f>
        <v xml:space="preserve">          6314 - LIABILITY INSURANCE</v>
      </c>
      <c r="C54" s="11"/>
      <c r="D54" s="7">
        <v>641.28</v>
      </c>
      <c r="E54" s="2"/>
      <c r="F54" s="6">
        <f t="shared" si="36"/>
        <v>1.5095163935815423E-2</v>
      </c>
      <c r="G54" s="2"/>
      <c r="H54" s="7">
        <v>604.16</v>
      </c>
      <c r="I54" s="2"/>
      <c r="J54" s="6">
        <f t="shared" si="37"/>
        <v>1.4010715822906927E-2</v>
      </c>
      <c r="K54" s="2"/>
      <c r="L54" s="7">
        <f t="shared" si="38"/>
        <v>37.120000000000005</v>
      </c>
      <c r="M54" s="2"/>
      <c r="N54" s="6">
        <f t="shared" si="39"/>
        <v>6.1440677966101705E-2</v>
      </c>
      <c r="O54" s="11"/>
      <c r="P54" s="7">
        <v>1282.56</v>
      </c>
      <c r="Q54" s="2"/>
      <c r="R54" s="6">
        <f t="shared" si="40"/>
        <v>1.8918111640400113E-2</v>
      </c>
      <c r="S54" s="2"/>
      <c r="T54" s="7">
        <v>1208.32</v>
      </c>
      <c r="U54" s="2"/>
      <c r="V54" s="6">
        <f t="shared" si="41"/>
        <v>1.8025242977983996E-2</v>
      </c>
      <c r="W54" s="2"/>
      <c r="X54" s="7">
        <f t="shared" si="42"/>
        <v>74.240000000000009</v>
      </c>
      <c r="Y54" s="2"/>
      <c r="Z54" s="6">
        <f t="shared" si="43"/>
        <v>6.1440677966101705E-2</v>
      </c>
    </row>
    <row r="55" spans="1:26" s="27" customFormat="1" outlineLevel="1" collapsed="1" x14ac:dyDescent="0.25">
      <c r="A55" s="28"/>
      <c r="B55" s="14" t="str">
        <f>CONCATENATE("     ","Interest                                          ")</f>
        <v xml:space="preserve">     Interest                                          </v>
      </c>
      <c r="C55" s="14"/>
      <c r="D55" s="1">
        <f>SUM(OSRRefD22_10x_0)</f>
        <v>7630</v>
      </c>
      <c r="E55" s="1"/>
      <c r="F55" s="5">
        <f t="shared" si="36"/>
        <v>0.1796034506460075</v>
      </c>
      <c r="G55" s="1"/>
      <c r="H55" s="1">
        <f>SUM(OSRRefH22_10x_0)</f>
        <v>7949</v>
      </c>
      <c r="I55" s="1"/>
      <c r="J55" s="5">
        <f t="shared" si="37"/>
        <v>0.18434053905635456</v>
      </c>
      <c r="K55" s="1"/>
      <c r="L55" s="1">
        <f t="shared" si="38"/>
        <v>-319</v>
      </c>
      <c r="M55" s="1"/>
      <c r="N55" s="5">
        <f t="shared" si="39"/>
        <v>-4.013083406717826E-2</v>
      </c>
      <c r="O55" s="14"/>
      <c r="P55" s="1">
        <f>SUM(OSRRefP22_10x_0)</f>
        <v>15260</v>
      </c>
      <c r="Q55" s="1"/>
      <c r="R55" s="5">
        <f t="shared" si="40"/>
        <v>0.22508918384520471</v>
      </c>
      <c r="S55" s="1"/>
      <c r="T55" s="1">
        <f>SUM(OSRRefT22_10x_0)</f>
        <v>15898</v>
      </c>
      <c r="U55" s="1"/>
      <c r="V55" s="5">
        <f t="shared" si="41"/>
        <v>0.23716011724045749</v>
      </c>
      <c r="W55" s="1"/>
      <c r="X55" s="1">
        <f t="shared" si="42"/>
        <v>-638</v>
      </c>
      <c r="Y55" s="1"/>
      <c r="Z55" s="5">
        <f t="shared" si="43"/>
        <v>-4.013083406717826E-2</v>
      </c>
    </row>
    <row r="56" spans="1:26" s="24" customFormat="1" hidden="1" outlineLevel="2" x14ac:dyDescent="0.25">
      <c r="A56" s="29"/>
      <c r="B56" s="11" t="str">
        <f>CONCATENATE("          ", "6401", " - ", "INTEREST EXPENSE")</f>
        <v xml:space="preserve">          6401 - INTEREST EXPENSE</v>
      </c>
      <c r="C56" s="11"/>
      <c r="D56" s="7">
        <v>7630</v>
      </c>
      <c r="E56" s="2"/>
      <c r="F56" s="6">
        <f t="shared" si="36"/>
        <v>0.1796034506460075</v>
      </c>
      <c r="G56" s="2"/>
      <c r="H56" s="7">
        <v>7949</v>
      </c>
      <c r="I56" s="2"/>
      <c r="J56" s="6">
        <f t="shared" si="37"/>
        <v>0.18434053905635456</v>
      </c>
      <c r="K56" s="2"/>
      <c r="L56" s="7">
        <f t="shared" si="38"/>
        <v>-319</v>
      </c>
      <c r="M56" s="2"/>
      <c r="N56" s="6">
        <f t="shared" si="39"/>
        <v>-4.013083406717826E-2</v>
      </c>
      <c r="O56" s="11"/>
      <c r="P56" s="7">
        <v>15260</v>
      </c>
      <c r="Q56" s="2"/>
      <c r="R56" s="6">
        <f t="shared" si="40"/>
        <v>0.22508918384520471</v>
      </c>
      <c r="S56" s="2"/>
      <c r="T56" s="7">
        <v>15898</v>
      </c>
      <c r="U56" s="2"/>
      <c r="V56" s="6">
        <f t="shared" si="41"/>
        <v>0.23716011724045749</v>
      </c>
      <c r="W56" s="2"/>
      <c r="X56" s="7">
        <f t="shared" si="42"/>
        <v>-638</v>
      </c>
      <c r="Y56" s="2"/>
      <c r="Z56" s="6">
        <f t="shared" si="43"/>
        <v>-4.013083406717826E-2</v>
      </c>
    </row>
    <row r="57" spans="1:26" s="27" customFormat="1" outlineLevel="1" collapsed="1" x14ac:dyDescent="0.25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SUM(OSRRefD22_11x_0)</f>
        <v>660.61</v>
      </c>
      <c r="E57" s="1"/>
      <c r="F57" s="5">
        <f t="shared" si="36"/>
        <v>1.5550175036862256E-2</v>
      </c>
      <c r="G57" s="1"/>
      <c r="H57" s="1">
        <f>SUM(OSRRefH22_11x_0)</f>
        <v>550.27</v>
      </c>
      <c r="I57" s="1"/>
      <c r="J57" s="5">
        <f t="shared" si="37"/>
        <v>1.2760984831619098E-2</v>
      </c>
      <c r="K57" s="1"/>
      <c r="L57" s="1">
        <f t="shared" si="38"/>
        <v>110.34000000000003</v>
      </c>
      <c r="M57" s="1"/>
      <c r="N57" s="5">
        <f t="shared" si="39"/>
        <v>0.20051974485252699</v>
      </c>
      <c r="O57" s="14"/>
      <c r="P57" s="1">
        <f>SUM(OSRRefP22_11x_0)</f>
        <v>1498.01</v>
      </c>
      <c r="Q57" s="1"/>
      <c r="R57" s="5">
        <f t="shared" si="40"/>
        <v>2.2096058210481984E-2</v>
      </c>
      <c r="S57" s="1"/>
      <c r="T57" s="1">
        <f>SUM(OSRRefT22_11x_0)</f>
        <v>1591.43</v>
      </c>
      <c r="U57" s="1"/>
      <c r="V57" s="5">
        <f t="shared" si="41"/>
        <v>2.3740327423574115E-2</v>
      </c>
      <c r="W57" s="1"/>
      <c r="X57" s="1">
        <f t="shared" si="42"/>
        <v>-93.420000000000073</v>
      </c>
      <c r="Y57" s="1"/>
      <c r="Z57" s="5">
        <f t="shared" si="43"/>
        <v>-5.8701922170626461E-2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7">
        <v>660.61</v>
      </c>
      <c r="E58" s="2"/>
      <c r="F58" s="6">
        <f t="shared" si="36"/>
        <v>1.5550175036862256E-2</v>
      </c>
      <c r="G58" s="2"/>
      <c r="H58" s="7">
        <v>550.27</v>
      </c>
      <c r="I58" s="2"/>
      <c r="J58" s="6">
        <f t="shared" si="37"/>
        <v>1.2760984831619098E-2</v>
      </c>
      <c r="K58" s="2"/>
      <c r="L58" s="7">
        <f t="shared" si="38"/>
        <v>110.34000000000003</v>
      </c>
      <c r="M58" s="2"/>
      <c r="N58" s="6">
        <f t="shared" si="39"/>
        <v>0.20051974485252699</v>
      </c>
      <c r="O58" s="11"/>
      <c r="P58" s="7">
        <v>1498.01</v>
      </c>
      <c r="Q58" s="2"/>
      <c r="R58" s="6">
        <f t="shared" si="40"/>
        <v>2.2096058210481984E-2</v>
      </c>
      <c r="S58" s="2"/>
      <c r="T58" s="7">
        <v>1591.43</v>
      </c>
      <c r="U58" s="2"/>
      <c r="V58" s="6">
        <f t="shared" si="41"/>
        <v>2.3740327423574115E-2</v>
      </c>
      <c r="W58" s="2"/>
      <c r="X58" s="7">
        <f t="shared" si="42"/>
        <v>-93.420000000000073</v>
      </c>
      <c r="Y58" s="2"/>
      <c r="Z58" s="6">
        <f t="shared" si="43"/>
        <v>-5.8701922170626461E-2</v>
      </c>
    </row>
    <row r="59" spans="1:26" s="27" customFormat="1" outlineLevel="1" collapsed="1" x14ac:dyDescent="0.25">
      <c r="A59" s="28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SUM(OSRRefD22_12x_0)</f>
        <v>3663.96</v>
      </c>
      <c r="E59" s="1"/>
      <c r="F59" s="5">
        <f t="shared" si="36"/>
        <v>8.6246377330137042E-2</v>
      </c>
      <c r="G59" s="1"/>
      <c r="H59" s="1">
        <f>SUM(OSRRefH22_12x_0)</f>
        <v>3885.44</v>
      </c>
      <c r="I59" s="1"/>
      <c r="J59" s="5">
        <f t="shared" si="37"/>
        <v>9.0104931950071993E-2</v>
      </c>
      <c r="K59" s="1"/>
      <c r="L59" s="1">
        <f t="shared" si="38"/>
        <v>-221.48000000000002</v>
      </c>
      <c r="M59" s="1"/>
      <c r="N59" s="5">
        <f t="shared" si="39"/>
        <v>-5.7002553121396807E-2</v>
      </c>
      <c r="O59" s="14"/>
      <c r="P59" s="1">
        <f>SUM(OSRRefP22_12x_0)</f>
        <v>7957.66</v>
      </c>
      <c r="Q59" s="1"/>
      <c r="R59" s="5">
        <f t="shared" si="40"/>
        <v>0.11737766675738084</v>
      </c>
      <c r="S59" s="1"/>
      <c r="T59" s="1">
        <f>SUM(OSRRefT22_12x_0)</f>
        <v>8010.9000000000005</v>
      </c>
      <c r="U59" s="1"/>
      <c r="V59" s="5">
        <f t="shared" si="41"/>
        <v>0.11950345849802371</v>
      </c>
      <c r="W59" s="1"/>
      <c r="X59" s="1">
        <f t="shared" si="42"/>
        <v>-53.240000000000691</v>
      </c>
      <c r="Y59" s="1"/>
      <c r="Z59" s="5">
        <f t="shared" si="43"/>
        <v>-6.6459449000737351E-3</v>
      </c>
    </row>
    <row r="60" spans="1:26" s="24" customFormat="1" hidden="1" outlineLevel="2" x14ac:dyDescent="0.25">
      <c r="A60" s="29"/>
      <c r="B60" s="11" t="str">
        <f>CONCATENATE("          ", "6282", " - ", "JANITORIAL/EXTERMINATOR EXPENS")</f>
        <v xml:space="preserve">          6282 - JANITORIAL/EXTERMINATOR EXPENS</v>
      </c>
      <c r="C60" s="11"/>
      <c r="D60" s="7">
        <v>328.54</v>
      </c>
      <c r="E60" s="2"/>
      <c r="F60" s="6">
        <f t="shared" si="36"/>
        <v>7.733540979716816E-3</v>
      </c>
      <c r="G60" s="2"/>
      <c r="H60" s="7">
        <v>328.54</v>
      </c>
      <c r="I60" s="2"/>
      <c r="J60" s="6">
        <f t="shared" si="37"/>
        <v>7.6189760600798495E-3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657.08</v>
      </c>
      <c r="Q60" s="2"/>
      <c r="R60" s="6">
        <f t="shared" si="40"/>
        <v>9.6921101520974513E-3</v>
      </c>
      <c r="S60" s="2"/>
      <c r="T60" s="7">
        <v>657.08</v>
      </c>
      <c r="U60" s="2"/>
      <c r="V60" s="6">
        <f t="shared" si="41"/>
        <v>9.8020612552748663E-3</v>
      </c>
      <c r="W60" s="2"/>
      <c r="X60" s="7">
        <f t="shared" si="42"/>
        <v>0</v>
      </c>
      <c r="Y60" s="2"/>
      <c r="Z60" s="6">
        <f t="shared" si="43"/>
        <v>0</v>
      </c>
    </row>
    <row r="61" spans="1:26" s="24" customFormat="1" hidden="1" outlineLevel="2" x14ac:dyDescent="0.25">
      <c r="A61" s="29"/>
      <c r="B61" s="11" t="str">
        <f>CONCATENATE("          ", "6283", " - ", "PLANT SERVICE")</f>
        <v xml:space="preserve">          6283 - PLANT SERVICE</v>
      </c>
      <c r="C61" s="11"/>
      <c r="D61" s="7">
        <v>61.55</v>
      </c>
      <c r="E61" s="2"/>
      <c r="F61" s="6">
        <f t="shared" si="36"/>
        <v>1.4488325540316857E-3</v>
      </c>
      <c r="G61" s="2"/>
      <c r="H61" s="7">
        <v>56</v>
      </c>
      <c r="I61" s="2"/>
      <c r="J61" s="6">
        <f t="shared" si="37"/>
        <v>1.2986627484156315E-3</v>
      </c>
      <c r="K61" s="2"/>
      <c r="L61" s="7">
        <f t="shared" si="38"/>
        <v>5.5499999999999972</v>
      </c>
      <c r="M61" s="2"/>
      <c r="N61" s="6">
        <f t="shared" si="39"/>
        <v>9.910714285714281E-2</v>
      </c>
      <c r="O61" s="11"/>
      <c r="P61" s="7">
        <v>123.1</v>
      </c>
      <c r="Q61" s="2"/>
      <c r="R61" s="6">
        <f t="shared" si="40"/>
        <v>1.8157587504157731E-3</v>
      </c>
      <c r="S61" s="2"/>
      <c r="T61" s="7">
        <v>112</v>
      </c>
      <c r="U61" s="2"/>
      <c r="V61" s="6">
        <f t="shared" si="41"/>
        <v>1.6707719921330506E-3</v>
      </c>
      <c r="W61" s="2"/>
      <c r="X61" s="7">
        <f t="shared" si="42"/>
        <v>11.099999999999994</v>
      </c>
      <c r="Y61" s="2"/>
      <c r="Z61" s="6">
        <f t="shared" si="43"/>
        <v>9.910714285714281E-2</v>
      </c>
    </row>
    <row r="62" spans="1:26" s="24" customFormat="1" hidden="1" outlineLevel="2" x14ac:dyDescent="0.25">
      <c r="A62" s="29"/>
      <c r="B62" s="11" t="str">
        <f>CONCATENATE("          ", "6284", " - ", "TRASH REMOVAL EXPENSE")</f>
        <v xml:space="preserve">          6284 - TRASH REMOVAL EXPENSE</v>
      </c>
      <c r="C62" s="11"/>
      <c r="D62" s="7"/>
      <c r="E62" s="2"/>
      <c r="F62" s="6">
        <f t="shared" si="36"/>
        <v>0</v>
      </c>
      <c r="G62" s="2"/>
      <c r="H62" s="7">
        <v>474</v>
      </c>
      <c r="I62" s="2"/>
      <c r="J62" s="6">
        <f t="shared" si="37"/>
        <v>1.0992252549089452E-2</v>
      </c>
      <c r="K62" s="2"/>
      <c r="L62" s="7">
        <f t="shared" si="38"/>
        <v>-474</v>
      </c>
      <c r="M62" s="2"/>
      <c r="N62" s="6">
        <f t="shared" si="39"/>
        <v>-1</v>
      </c>
      <c r="O62" s="11"/>
      <c r="P62" s="7">
        <v>623</v>
      </c>
      <c r="Q62" s="2"/>
      <c r="R62" s="6">
        <f t="shared" si="40"/>
        <v>9.1894208083592738E-3</v>
      </c>
      <c r="S62" s="2"/>
      <c r="T62" s="7">
        <v>948</v>
      </c>
      <c r="U62" s="2"/>
      <c r="V62" s="6">
        <f t="shared" si="41"/>
        <v>1.4141891504840465E-2</v>
      </c>
      <c r="W62" s="2"/>
      <c r="X62" s="7">
        <f t="shared" si="42"/>
        <v>-325</v>
      </c>
      <c r="Y62" s="2"/>
      <c r="Z62" s="6">
        <f t="shared" si="43"/>
        <v>-0.34282700421940926</v>
      </c>
    </row>
    <row r="63" spans="1:26" s="24" customFormat="1" hidden="1" outlineLevel="2" x14ac:dyDescent="0.25">
      <c r="A63" s="29"/>
      <c r="B63" s="11" t="str">
        <f>CONCATENATE("          ", "6285", " - ", "JANITORIAL SERVICES")</f>
        <v xml:space="preserve">          6285 - JANITORIAL SERVICES</v>
      </c>
      <c r="C63" s="11"/>
      <c r="D63" s="7">
        <v>3040.95</v>
      </c>
      <c r="E63" s="2"/>
      <c r="F63" s="6">
        <f t="shared" si="36"/>
        <v>7.1581273033024445E-2</v>
      </c>
      <c r="G63" s="2"/>
      <c r="H63" s="7">
        <v>2822.82</v>
      </c>
      <c r="I63" s="2"/>
      <c r="J63" s="6">
        <f t="shared" si="37"/>
        <v>6.5462342490760952E-2</v>
      </c>
      <c r="K63" s="2"/>
      <c r="L63" s="7">
        <f t="shared" si="38"/>
        <v>218.12999999999965</v>
      </c>
      <c r="M63" s="2"/>
      <c r="N63" s="6">
        <f t="shared" si="39"/>
        <v>7.7273790039747353E-2</v>
      </c>
      <c r="O63" s="11"/>
      <c r="P63" s="7">
        <v>6081.9</v>
      </c>
      <c r="Q63" s="2"/>
      <c r="R63" s="6">
        <f t="shared" si="40"/>
        <v>8.9709692478908934E-2</v>
      </c>
      <c r="S63" s="2"/>
      <c r="T63" s="7">
        <v>5820.52</v>
      </c>
      <c r="U63" s="2"/>
      <c r="V63" s="6">
        <f t="shared" si="41"/>
        <v>8.682823031830593E-2</v>
      </c>
      <c r="W63" s="2"/>
      <c r="X63" s="7">
        <f t="shared" si="42"/>
        <v>261.3799999999992</v>
      </c>
      <c r="Y63" s="2"/>
      <c r="Z63" s="6">
        <f t="shared" si="43"/>
        <v>4.4906640643791136E-2</v>
      </c>
    </row>
    <row r="64" spans="1:26" s="24" customFormat="1" hidden="1" outlineLevel="2" x14ac:dyDescent="0.25">
      <c r="A64" s="29"/>
      <c r="B64" s="11" t="str">
        <f>CONCATENATE("          ", "6286", " - ", "LAUNDRY EXPENSE")</f>
        <v xml:space="preserve">          6286 - LAUNDRY EXPENSE</v>
      </c>
      <c r="C64" s="11"/>
      <c r="D64" s="7">
        <v>232.92</v>
      </c>
      <c r="E64" s="2"/>
      <c r="F64" s="6">
        <f t="shared" si="36"/>
        <v>5.4827307633640975E-3</v>
      </c>
      <c r="G64" s="2"/>
      <c r="H64" s="7">
        <v>204.08</v>
      </c>
      <c r="I64" s="2"/>
      <c r="J64" s="6">
        <f t="shared" si="37"/>
        <v>4.7326981017261089E-3</v>
      </c>
      <c r="K64" s="2"/>
      <c r="L64" s="7">
        <f t="shared" si="38"/>
        <v>28.839999999999975</v>
      </c>
      <c r="M64" s="2"/>
      <c r="N64" s="6">
        <f t="shared" si="39"/>
        <v>0.14131713053704417</v>
      </c>
      <c r="O64" s="11"/>
      <c r="P64" s="7">
        <v>472.58</v>
      </c>
      <c r="Q64" s="2"/>
      <c r="R64" s="6">
        <f t="shared" si="40"/>
        <v>6.9706845675993993E-3</v>
      </c>
      <c r="S64" s="2"/>
      <c r="T64" s="7">
        <v>473.3</v>
      </c>
      <c r="U64" s="2"/>
      <c r="V64" s="6">
        <f t="shared" si="41"/>
        <v>7.0605034274694011E-3</v>
      </c>
      <c r="W64" s="2"/>
      <c r="X64" s="7">
        <f t="shared" si="42"/>
        <v>-0.72000000000002728</v>
      </c>
      <c r="Y64" s="2"/>
      <c r="Z64" s="6">
        <f t="shared" si="43"/>
        <v>-1.5212338897106006E-3</v>
      </c>
    </row>
    <row r="65" spans="1:26" s="27" customFormat="1" outlineLevel="1" collapsed="1" x14ac:dyDescent="0.25">
      <c r="A65" s="28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1">
        <f>SUM(OSRRefD22_13x_0)</f>
        <v>196.71</v>
      </c>
      <c r="E65" s="1"/>
      <c r="F65" s="5">
        <f t="shared" ref="F65:F74" si="44">IF(D$12=0,0,D65/D$12)</f>
        <v>4.6303793940466759E-3</v>
      </c>
      <c r="G65" s="1"/>
      <c r="H65" s="1">
        <f>SUM(OSRRefH22_13x_0)</f>
        <v>193.71</v>
      </c>
      <c r="I65" s="1"/>
      <c r="J65" s="5">
        <f t="shared" ref="J65:J74" si="45">IF(H$12=0,0,H65/H$12)</f>
        <v>4.4922135892070001E-3</v>
      </c>
      <c r="K65" s="1"/>
      <c r="L65" s="1">
        <f t="shared" ref="L65:L74" si="46">+D65-H65</f>
        <v>3</v>
      </c>
      <c r="M65" s="1"/>
      <c r="N65" s="5">
        <f t="shared" ref="N65:N74" si="47">IF(H65=0,0,L65/H65)</f>
        <v>1.5487068297971194E-2</v>
      </c>
      <c r="O65" s="14"/>
      <c r="P65" s="1">
        <f>SUM(OSRRefP22_13x_0)</f>
        <v>393.42</v>
      </c>
      <c r="Q65" s="1"/>
      <c r="R65" s="5">
        <f t="shared" ref="R65:R74" si="48">IF(P$12=0,0,P65/P$12)</f>
        <v>5.8030528642451142E-3</v>
      </c>
      <c r="S65" s="1"/>
      <c r="T65" s="1">
        <f>SUM(OSRRefT22_13x_0)</f>
        <v>193.71</v>
      </c>
      <c r="U65" s="1"/>
      <c r="V65" s="5">
        <f t="shared" ref="V65:V74" si="49">IF(T$12=0,0,T65/T$12)</f>
        <v>2.8896896660365471E-3</v>
      </c>
      <c r="W65" s="1"/>
      <c r="X65" s="1">
        <f t="shared" ref="X65:X74" si="50">+P65-T65</f>
        <v>199.71</v>
      </c>
      <c r="Y65" s="1"/>
      <c r="Z65" s="5">
        <f t="shared" ref="Z65:Z74" si="51">IF(T65=0,0,X65/T65)</f>
        <v>1.0309741365959424</v>
      </c>
    </row>
    <row r="66" spans="1:26" s="24" customFormat="1" hidden="1" outlineLevel="2" x14ac:dyDescent="0.25">
      <c r="A66" s="29"/>
      <c r="B66" s="11" t="str">
        <f>CONCATENATE("          ", "6275", " - ", "SUBSCRIPTIONS")</f>
        <v xml:space="preserve">          6275 - SUBSCRIPTIONS</v>
      </c>
      <c r="C66" s="11"/>
      <c r="D66" s="7">
        <v>196.71</v>
      </c>
      <c r="E66" s="2"/>
      <c r="F66" s="6">
        <f t="shared" si="44"/>
        <v>4.6303793940466759E-3</v>
      </c>
      <c r="G66" s="2"/>
      <c r="H66" s="7">
        <v>193.71</v>
      </c>
      <c r="I66" s="2"/>
      <c r="J66" s="6">
        <f t="shared" si="45"/>
        <v>4.4922135892070001E-3</v>
      </c>
      <c r="K66" s="2"/>
      <c r="L66" s="7">
        <f t="shared" si="46"/>
        <v>3</v>
      </c>
      <c r="M66" s="2"/>
      <c r="N66" s="6">
        <f t="shared" si="47"/>
        <v>1.5487068297971194E-2</v>
      </c>
      <c r="O66" s="11"/>
      <c r="P66" s="7">
        <v>393.42</v>
      </c>
      <c r="Q66" s="2"/>
      <c r="R66" s="6">
        <f t="shared" si="48"/>
        <v>5.8030528642451142E-3</v>
      </c>
      <c r="S66" s="2"/>
      <c r="T66" s="7">
        <v>193.71</v>
      </c>
      <c r="U66" s="2"/>
      <c r="V66" s="6">
        <f t="shared" si="49"/>
        <v>2.8896896660365471E-3</v>
      </c>
      <c r="W66" s="2"/>
      <c r="X66" s="7">
        <f t="shared" si="50"/>
        <v>199.71</v>
      </c>
      <c r="Y66" s="2"/>
      <c r="Z66" s="6">
        <f t="shared" si="51"/>
        <v>1.0309741365959424</v>
      </c>
    </row>
    <row r="67" spans="1:26" s="27" customFormat="1" outlineLevel="1" collapsed="1" x14ac:dyDescent="0.25">
      <c r="A67" s="28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SUM(OSRRefD22_14x_0)</f>
        <v>6442.49</v>
      </c>
      <c r="E67" s="1"/>
      <c r="F67" s="5">
        <f t="shared" si="44"/>
        <v>0.15165051569494062</v>
      </c>
      <c r="G67" s="1"/>
      <c r="H67" s="1">
        <f>SUM(OSRRefH22_14x_0)</f>
        <v>3340.5099999999998</v>
      </c>
      <c r="I67" s="1"/>
      <c r="J67" s="5">
        <f t="shared" si="45"/>
        <v>7.7467783887676805E-2</v>
      </c>
      <c r="K67" s="1"/>
      <c r="L67" s="1">
        <f t="shared" si="46"/>
        <v>3101.98</v>
      </c>
      <c r="M67" s="1"/>
      <c r="N67" s="5">
        <f t="shared" si="47"/>
        <v>0.92859473553439453</v>
      </c>
      <c r="O67" s="14"/>
      <c r="P67" s="1">
        <f>SUM(OSRRefP22_14x_0)</f>
        <v>7431.25</v>
      </c>
      <c r="Q67" s="1"/>
      <c r="R67" s="5">
        <f t="shared" si="48"/>
        <v>0.10961297493117152</v>
      </c>
      <c r="S67" s="1"/>
      <c r="T67" s="1">
        <f>SUM(OSRRefT22_14x_0)</f>
        <v>6356.16</v>
      </c>
      <c r="U67" s="1"/>
      <c r="V67" s="5">
        <f t="shared" si="49"/>
        <v>9.4818697370682242E-2</v>
      </c>
      <c r="W67" s="1"/>
      <c r="X67" s="1">
        <f t="shared" si="50"/>
        <v>1075.0900000000001</v>
      </c>
      <c r="Y67" s="1"/>
      <c r="Z67" s="5">
        <f t="shared" si="51"/>
        <v>0.1691414313044354</v>
      </c>
    </row>
    <row r="68" spans="1:26" s="24" customFormat="1" hidden="1" outlineLevel="2" x14ac:dyDescent="0.25">
      <c r="A68" s="29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44"/>
        <v>0</v>
      </c>
      <c r="G68" s="2"/>
      <c r="H68" s="7">
        <v>1036.06</v>
      </c>
      <c r="I68" s="2"/>
      <c r="J68" s="6">
        <f t="shared" si="45"/>
        <v>2.4026652270062485E-2</v>
      </c>
      <c r="K68" s="2"/>
      <c r="L68" s="7">
        <f t="shared" si="46"/>
        <v>-1036.06</v>
      </c>
      <c r="M68" s="2"/>
      <c r="N68" s="6">
        <f t="shared" si="47"/>
        <v>-1</v>
      </c>
      <c r="O68" s="11"/>
      <c r="P68" s="7"/>
      <c r="Q68" s="2"/>
      <c r="R68" s="6">
        <f t="shared" si="48"/>
        <v>0</v>
      </c>
      <c r="S68" s="2"/>
      <c r="T68" s="7">
        <v>1036.06</v>
      </c>
      <c r="U68" s="2"/>
      <c r="V68" s="6">
        <f t="shared" si="49"/>
        <v>1.5455535983655075E-2</v>
      </c>
      <c r="W68" s="2"/>
      <c r="X68" s="7">
        <f t="shared" si="50"/>
        <v>-1036.06</v>
      </c>
      <c r="Y68" s="2"/>
      <c r="Z68" s="6">
        <f t="shared" si="51"/>
        <v>-1</v>
      </c>
    </row>
    <row r="69" spans="1:26" s="24" customFormat="1" hidden="1" outlineLevel="2" x14ac:dyDescent="0.25">
      <c r="A69" s="29"/>
      <c r="B69" s="11" t="str">
        <f>CONCATENATE("          ", "6237", " - ", "JANITORIAL SUPPLIES")</f>
        <v xml:space="preserve">          6237 - JANITORIAL SUPPLIES</v>
      </c>
      <c r="C69" s="11"/>
      <c r="D69" s="7">
        <v>718.66</v>
      </c>
      <c r="E69" s="2"/>
      <c r="F69" s="6">
        <f t="shared" si="44"/>
        <v>1.6916620686927883E-2</v>
      </c>
      <c r="G69" s="2"/>
      <c r="H69" s="7">
        <v>706.99</v>
      </c>
      <c r="I69" s="2"/>
      <c r="J69" s="6">
        <f t="shared" si="45"/>
        <v>1.6395385294685129E-2</v>
      </c>
      <c r="K69" s="2"/>
      <c r="L69" s="7">
        <f t="shared" si="46"/>
        <v>11.669999999999959</v>
      </c>
      <c r="M69" s="2"/>
      <c r="N69" s="6">
        <f t="shared" si="47"/>
        <v>1.6506598396016859E-2</v>
      </c>
      <c r="O69" s="11"/>
      <c r="P69" s="7">
        <v>1241.52</v>
      </c>
      <c r="Q69" s="2"/>
      <c r="R69" s="6">
        <f t="shared" si="48"/>
        <v>1.8312760388433717E-2</v>
      </c>
      <c r="S69" s="2"/>
      <c r="T69" s="7">
        <v>2172.65</v>
      </c>
      <c r="U69" s="2"/>
      <c r="V69" s="6">
        <f t="shared" si="49"/>
        <v>3.2410739006320292E-2</v>
      </c>
      <c r="W69" s="2"/>
      <c r="X69" s="7">
        <f t="shared" si="50"/>
        <v>-931.13000000000011</v>
      </c>
      <c r="Y69" s="2"/>
      <c r="Z69" s="6">
        <f t="shared" si="51"/>
        <v>-0.4285687984719122</v>
      </c>
    </row>
    <row r="70" spans="1:26" s="24" customFormat="1" hidden="1" outlineLevel="2" x14ac:dyDescent="0.25">
      <c r="A70" s="29"/>
      <c r="B70" s="11" t="str">
        <f>CONCATENATE("          ", "6239", " - ", "KITCHEN SUPPLIES")</f>
        <v xml:space="preserve">          6239 - KITCHEN SUPPLIES</v>
      </c>
      <c r="C70" s="11"/>
      <c r="D70" s="7">
        <v>72.53</v>
      </c>
      <c r="E70" s="2"/>
      <c r="F70" s="6">
        <f t="shared" si="44"/>
        <v>1.7072920413309207E-3</v>
      </c>
      <c r="G70" s="2"/>
      <c r="H70" s="7">
        <v>283.25</v>
      </c>
      <c r="I70" s="2"/>
      <c r="J70" s="6">
        <f t="shared" si="45"/>
        <v>6.5686825622987078E-3</v>
      </c>
      <c r="K70" s="2"/>
      <c r="L70" s="7">
        <f t="shared" si="46"/>
        <v>-210.72</v>
      </c>
      <c r="M70" s="2"/>
      <c r="N70" s="6">
        <f t="shared" si="47"/>
        <v>-0.74393645189761692</v>
      </c>
      <c r="O70" s="11"/>
      <c r="P70" s="7">
        <v>135.76</v>
      </c>
      <c r="Q70" s="2"/>
      <c r="R70" s="6">
        <f t="shared" si="48"/>
        <v>2.0024972214171028E-3</v>
      </c>
      <c r="S70" s="2"/>
      <c r="T70" s="7">
        <v>470.54</v>
      </c>
      <c r="U70" s="2"/>
      <c r="V70" s="6">
        <f t="shared" si="49"/>
        <v>7.0193308319489792E-3</v>
      </c>
      <c r="W70" s="2"/>
      <c r="X70" s="7">
        <f t="shared" si="50"/>
        <v>-334.78000000000003</v>
      </c>
      <c r="Y70" s="2"/>
      <c r="Z70" s="6">
        <f t="shared" si="51"/>
        <v>-0.71148042674374123</v>
      </c>
    </row>
    <row r="71" spans="1:26" s="24" customFormat="1" hidden="1" outlineLevel="2" x14ac:dyDescent="0.25">
      <c r="A71" s="29"/>
      <c r="B71" s="11" t="str">
        <f>CONCATENATE("          ", "6241", " - ", "OFFICE EXPENSE")</f>
        <v xml:space="preserve">          6241 - OFFICE EXPENSE</v>
      </c>
      <c r="C71" s="11"/>
      <c r="D71" s="7">
        <v>4739.95</v>
      </c>
      <c r="E71" s="2"/>
      <c r="F71" s="6">
        <f t="shared" si="44"/>
        <v>0.11157423012969112</v>
      </c>
      <c r="G71" s="2"/>
      <c r="H71" s="7">
        <v>-216.48</v>
      </c>
      <c r="I71" s="2"/>
      <c r="J71" s="6">
        <f t="shared" si="45"/>
        <v>-5.0202591388752837E-3</v>
      </c>
      <c r="K71" s="2"/>
      <c r="L71" s="7">
        <f t="shared" si="46"/>
        <v>4956.4299999999994</v>
      </c>
      <c r="M71" s="2"/>
      <c r="N71" s="6">
        <f t="shared" si="47"/>
        <v>-22.895556171470805</v>
      </c>
      <c r="O71" s="11"/>
      <c r="P71" s="7">
        <v>4784.01</v>
      </c>
      <c r="Q71" s="2"/>
      <c r="R71" s="6">
        <f t="shared" si="48"/>
        <v>7.0565459135471673E-2</v>
      </c>
      <c r="S71" s="2"/>
      <c r="T71" s="7">
        <v>139.13999999999999</v>
      </c>
      <c r="U71" s="2"/>
      <c r="V71" s="6">
        <f t="shared" si="49"/>
        <v>2.0756358480838628E-3</v>
      </c>
      <c r="W71" s="2"/>
      <c r="X71" s="7">
        <f t="shared" si="50"/>
        <v>4644.87</v>
      </c>
      <c r="Y71" s="2"/>
      <c r="Z71" s="6">
        <f t="shared" si="51"/>
        <v>33.382708063820616</v>
      </c>
    </row>
    <row r="72" spans="1:26" s="24" customFormat="1" hidden="1" outlineLevel="2" x14ac:dyDescent="0.25">
      <c r="A72" s="29"/>
      <c r="B72" s="11" t="str">
        <f>CONCATENATE("          ", "6243", " - ", "PAPER SUPPLIES")</f>
        <v xml:space="preserve">          6243 - PAPER SUPPLIES</v>
      </c>
      <c r="C72" s="11"/>
      <c r="D72" s="7">
        <v>500.79</v>
      </c>
      <c r="E72" s="2"/>
      <c r="F72" s="6">
        <f t="shared" si="44"/>
        <v>1.1788153610617837E-2</v>
      </c>
      <c r="G72" s="2"/>
      <c r="H72" s="7">
        <v>238.44</v>
      </c>
      <c r="I72" s="2"/>
      <c r="J72" s="6">
        <f t="shared" si="45"/>
        <v>5.5295204595039848E-3</v>
      </c>
      <c r="K72" s="2"/>
      <c r="L72" s="7">
        <f t="shared" si="46"/>
        <v>262.35000000000002</v>
      </c>
      <c r="M72" s="2"/>
      <c r="N72" s="6">
        <f t="shared" si="47"/>
        <v>1.1002767991947662</v>
      </c>
      <c r="O72" s="11"/>
      <c r="P72" s="7">
        <v>859.4</v>
      </c>
      <c r="Q72" s="2"/>
      <c r="R72" s="6">
        <f t="shared" si="48"/>
        <v>1.2676385622317753E-2</v>
      </c>
      <c r="S72" s="2"/>
      <c r="T72" s="7">
        <v>577.79</v>
      </c>
      <c r="U72" s="2"/>
      <c r="V72" s="6">
        <f t="shared" si="49"/>
        <v>8.6192441904870999E-3</v>
      </c>
      <c r="W72" s="2"/>
      <c r="X72" s="7">
        <f t="shared" si="50"/>
        <v>281.61</v>
      </c>
      <c r="Y72" s="2"/>
      <c r="Z72" s="6">
        <f t="shared" si="51"/>
        <v>0.48739161286972782</v>
      </c>
    </row>
    <row r="73" spans="1:26" s="24" customFormat="1" hidden="1" outlineLevel="2" x14ac:dyDescent="0.25">
      <c r="A73" s="29"/>
      <c r="B73" s="11" t="str">
        <f>CONCATENATE("          ", "6247", " - ", "STORE SUPPLIES")</f>
        <v xml:space="preserve">          6247 - STORE SUPPLIES</v>
      </c>
      <c r="C73" s="11"/>
      <c r="D73" s="7">
        <v>410.56</v>
      </c>
      <c r="E73" s="2"/>
      <c r="F73" s="6">
        <f t="shared" si="44"/>
        <v>9.6642192263728492E-3</v>
      </c>
      <c r="G73" s="2"/>
      <c r="H73" s="7">
        <v>710.13</v>
      </c>
      <c r="I73" s="2"/>
      <c r="J73" s="6">
        <f t="shared" si="45"/>
        <v>1.6468203170221293E-2</v>
      </c>
      <c r="K73" s="2"/>
      <c r="L73" s="7">
        <f t="shared" si="46"/>
        <v>-299.57</v>
      </c>
      <c r="M73" s="2"/>
      <c r="N73" s="6">
        <f t="shared" si="47"/>
        <v>-0.42185233689606128</v>
      </c>
      <c r="O73" s="11"/>
      <c r="P73" s="7">
        <v>410.56</v>
      </c>
      <c r="Q73" s="2"/>
      <c r="R73" s="6">
        <f t="shared" si="48"/>
        <v>6.0558725635312741E-3</v>
      </c>
      <c r="S73" s="2"/>
      <c r="T73" s="7">
        <v>848.66</v>
      </c>
      <c r="U73" s="2"/>
      <c r="V73" s="6">
        <f t="shared" si="49"/>
        <v>1.2659976418246737E-2</v>
      </c>
      <c r="W73" s="2"/>
      <c r="X73" s="7">
        <f t="shared" si="50"/>
        <v>-438.09999999999997</v>
      </c>
      <c r="Y73" s="2"/>
      <c r="Z73" s="6">
        <f t="shared" si="51"/>
        <v>-0.51622557914830436</v>
      </c>
    </row>
    <row r="74" spans="1:26" s="24" customFormat="1" hidden="1" outlineLevel="2" x14ac:dyDescent="0.25">
      <c r="A74" s="29"/>
      <c r="B74" s="11" t="str">
        <f>CONCATENATE("          ", "6248", " - ", "UNIFORMS")</f>
        <v xml:space="preserve">          6248 - UNIFORMS</v>
      </c>
      <c r="C74" s="11"/>
      <c r="D74" s="7"/>
      <c r="E74" s="2"/>
      <c r="F74" s="6">
        <f t="shared" si="44"/>
        <v>0</v>
      </c>
      <c r="G74" s="2"/>
      <c r="H74" s="7">
        <v>582.12</v>
      </c>
      <c r="I74" s="2"/>
      <c r="J74" s="6">
        <f t="shared" si="45"/>
        <v>1.3499599269780489E-2</v>
      </c>
      <c r="K74" s="2"/>
      <c r="L74" s="7">
        <f t="shared" si="46"/>
        <v>-582.12</v>
      </c>
      <c r="M74" s="2"/>
      <c r="N74" s="6">
        <f t="shared" si="47"/>
        <v>-1</v>
      </c>
      <c r="O74" s="11"/>
      <c r="P74" s="7"/>
      <c r="Q74" s="2"/>
      <c r="R74" s="6">
        <f t="shared" si="48"/>
        <v>0</v>
      </c>
      <c r="S74" s="2"/>
      <c r="T74" s="7">
        <v>1111.32</v>
      </c>
      <c r="U74" s="2"/>
      <c r="V74" s="6">
        <f t="shared" si="49"/>
        <v>1.6578235091940195E-2</v>
      </c>
      <c r="W74" s="2"/>
      <c r="X74" s="7">
        <f t="shared" si="50"/>
        <v>-1111.32</v>
      </c>
      <c r="Y74" s="2"/>
      <c r="Z74" s="6">
        <f t="shared" si="51"/>
        <v>-1</v>
      </c>
    </row>
    <row r="75" spans="1:26" s="27" customFormat="1" outlineLevel="1" collapsed="1" x14ac:dyDescent="0.25">
      <c r="A75" s="28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SUM(OSRRefD22_15x_0)</f>
        <v>150.5</v>
      </c>
      <c r="E75" s="1"/>
      <c r="F75" s="5">
        <f t="shared" ref="F75:F80" si="52">IF(D$12=0,0,D75/D$12)</f>
        <v>3.5426368705405147E-3</v>
      </c>
      <c r="G75" s="1"/>
      <c r="H75" s="1">
        <f>SUM(OSRRefH22_15x_0)</f>
        <v>152.05000000000001</v>
      </c>
      <c r="I75" s="1"/>
      <c r="J75" s="5">
        <f t="shared" ref="J75:J80" si="53">IF(H$12=0,0,H75/H$12)</f>
        <v>3.5261012660106569E-3</v>
      </c>
      <c r="K75" s="1"/>
      <c r="L75" s="1">
        <f t="shared" ref="L75:L80" si="54">+D75-H75</f>
        <v>-1.5500000000000114</v>
      </c>
      <c r="M75" s="1"/>
      <c r="N75" s="5">
        <f t="shared" ref="N75:N80" si="55">IF(H75=0,0,L75/H75)</f>
        <v>-1.0194015126603164E-2</v>
      </c>
      <c r="O75" s="14"/>
      <c r="P75" s="1">
        <f>SUM(OSRRefP22_15x_0)</f>
        <v>242.5</v>
      </c>
      <c r="Q75" s="1"/>
      <c r="R75" s="5">
        <f t="shared" ref="R75:R80" si="56">IF(P$12=0,0,P75/P$12)</f>
        <v>3.576941486399878E-3</v>
      </c>
      <c r="S75" s="1"/>
      <c r="T75" s="1">
        <f>SUM(OSRRefT22_15x_0)</f>
        <v>301.3</v>
      </c>
      <c r="U75" s="1"/>
      <c r="V75" s="5">
        <f t="shared" ref="V75:V80" si="57">IF(T$12=0,0,T75/T$12)</f>
        <v>4.494675010979359E-3</v>
      </c>
      <c r="W75" s="1"/>
      <c r="X75" s="1">
        <f t="shared" ref="X75:X80" si="58">+P75-T75</f>
        <v>-58.800000000000011</v>
      </c>
      <c r="Y75" s="1"/>
      <c r="Z75" s="5">
        <f t="shared" ref="Z75:Z80" si="59">IF(T75=0,0,X75/T75)</f>
        <v>-0.19515433123133094</v>
      </c>
    </row>
    <row r="76" spans="1:26" s="24" customFormat="1" hidden="1" outlineLevel="2" x14ac:dyDescent="0.25">
      <c r="A76" s="29"/>
      <c r="B76" s="11" t="str">
        <f>CONCATENATE("          ", "6309", " - ", "TELEPHONE")</f>
        <v xml:space="preserve">          6309 - TELEPHONE</v>
      </c>
      <c r="C76" s="11"/>
      <c r="D76" s="7">
        <v>150.5</v>
      </c>
      <c r="E76" s="2"/>
      <c r="F76" s="6">
        <f t="shared" si="52"/>
        <v>3.5426368705405147E-3</v>
      </c>
      <c r="G76" s="2"/>
      <c r="H76" s="7">
        <v>152.05000000000001</v>
      </c>
      <c r="I76" s="2"/>
      <c r="J76" s="6">
        <f t="shared" si="53"/>
        <v>3.5261012660106569E-3</v>
      </c>
      <c r="K76" s="2"/>
      <c r="L76" s="7">
        <f t="shared" si="54"/>
        <v>-1.5500000000000114</v>
      </c>
      <c r="M76" s="2"/>
      <c r="N76" s="6">
        <f t="shared" si="55"/>
        <v>-1.0194015126603164E-2</v>
      </c>
      <c r="O76" s="11"/>
      <c r="P76" s="7">
        <v>242.5</v>
      </c>
      <c r="Q76" s="2"/>
      <c r="R76" s="6">
        <f t="shared" si="56"/>
        <v>3.576941486399878E-3</v>
      </c>
      <c r="S76" s="2"/>
      <c r="T76" s="7">
        <v>301.3</v>
      </c>
      <c r="U76" s="2"/>
      <c r="V76" s="6">
        <f t="shared" si="57"/>
        <v>4.494675010979359E-3</v>
      </c>
      <c r="W76" s="2"/>
      <c r="X76" s="7">
        <f t="shared" si="58"/>
        <v>-58.800000000000011</v>
      </c>
      <c r="Y76" s="2"/>
      <c r="Z76" s="6">
        <f t="shared" si="59"/>
        <v>-0.19515433123133094</v>
      </c>
    </row>
    <row r="77" spans="1:26" s="27" customFormat="1" outlineLevel="1" collapsed="1" x14ac:dyDescent="0.25">
      <c r="A77" s="28"/>
      <c r="B77" s="14" t="str">
        <f>CONCATENATE("     ","Training                                          ")</f>
        <v xml:space="preserve">     Training                                          </v>
      </c>
      <c r="C77" s="14"/>
      <c r="D77" s="1">
        <f>SUM(OSRRefD22_16x_0)</f>
        <v>0</v>
      </c>
      <c r="E77" s="1"/>
      <c r="F77" s="5">
        <f t="shared" si="52"/>
        <v>0</v>
      </c>
      <c r="G77" s="1"/>
      <c r="H77" s="1">
        <f>SUM(OSRRefH22_16x_0)</f>
        <v>0</v>
      </c>
      <c r="I77" s="1"/>
      <c r="J77" s="5">
        <f t="shared" si="53"/>
        <v>0</v>
      </c>
      <c r="K77" s="1"/>
      <c r="L77" s="1">
        <f t="shared" si="54"/>
        <v>0</v>
      </c>
      <c r="M77" s="1"/>
      <c r="N77" s="5">
        <f t="shared" si="55"/>
        <v>0</v>
      </c>
      <c r="O77" s="14"/>
      <c r="P77" s="1">
        <f>SUM(OSRRefP22_16x_0)</f>
        <v>0</v>
      </c>
      <c r="Q77" s="1"/>
      <c r="R77" s="5">
        <f t="shared" si="56"/>
        <v>0</v>
      </c>
      <c r="S77" s="1"/>
      <c r="T77" s="1">
        <f>SUM(OSRRefT22_16x_0)</f>
        <v>98.83</v>
      </c>
      <c r="U77" s="1"/>
      <c r="V77" s="5">
        <f t="shared" si="57"/>
        <v>1.474307106986691E-3</v>
      </c>
      <c r="W77" s="1"/>
      <c r="X77" s="1">
        <f t="shared" si="58"/>
        <v>-98.83</v>
      </c>
      <c r="Y77" s="1"/>
      <c r="Z77" s="5">
        <f t="shared" si="59"/>
        <v>-1</v>
      </c>
    </row>
    <row r="78" spans="1:26" s="24" customFormat="1" hidden="1" outlineLevel="2" x14ac:dyDescent="0.25">
      <c r="A78" s="29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52"/>
        <v>0</v>
      </c>
      <c r="G78" s="2"/>
      <c r="H78" s="7"/>
      <c r="I78" s="2"/>
      <c r="J78" s="6">
        <f t="shared" si="53"/>
        <v>0</v>
      </c>
      <c r="K78" s="2"/>
      <c r="L78" s="7">
        <f t="shared" si="54"/>
        <v>0</v>
      </c>
      <c r="M78" s="2"/>
      <c r="N78" s="6">
        <f t="shared" si="55"/>
        <v>0</v>
      </c>
      <c r="O78" s="11"/>
      <c r="P78" s="7"/>
      <c r="Q78" s="2"/>
      <c r="R78" s="6">
        <f t="shared" si="56"/>
        <v>0</v>
      </c>
      <c r="S78" s="2"/>
      <c r="T78" s="7">
        <v>98.83</v>
      </c>
      <c r="U78" s="2"/>
      <c r="V78" s="6">
        <f t="shared" si="57"/>
        <v>1.474307106986691E-3</v>
      </c>
      <c r="W78" s="2"/>
      <c r="X78" s="7">
        <f t="shared" si="58"/>
        <v>-98.83</v>
      </c>
      <c r="Y78" s="2"/>
      <c r="Z78" s="6">
        <f t="shared" si="59"/>
        <v>-1</v>
      </c>
    </row>
    <row r="79" spans="1:26" s="27" customFormat="1" outlineLevel="1" collapsed="1" x14ac:dyDescent="0.25">
      <c r="A79" s="28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SUM(OSRRefD22_17x_0)</f>
        <v>0</v>
      </c>
      <c r="E79" s="1"/>
      <c r="F79" s="5">
        <f t="shared" si="52"/>
        <v>0</v>
      </c>
      <c r="G79" s="1"/>
      <c r="H79" s="1">
        <f>SUM(OSRRefH22_17x_0)</f>
        <v>2287</v>
      </c>
      <c r="I79" s="1"/>
      <c r="J79" s="5">
        <f t="shared" si="53"/>
        <v>5.3036459029045524E-2</v>
      </c>
      <c r="K79" s="1"/>
      <c r="L79" s="1">
        <f t="shared" si="54"/>
        <v>-2287</v>
      </c>
      <c r="M79" s="1"/>
      <c r="N79" s="5">
        <f t="shared" si="55"/>
        <v>-1</v>
      </c>
      <c r="O79" s="14"/>
      <c r="P79" s="1">
        <f>SUM(OSRRefP22_17x_0)</f>
        <v>2031</v>
      </c>
      <c r="Q79" s="1"/>
      <c r="R79" s="5">
        <f t="shared" si="56"/>
        <v>2.9957806840734649E-2</v>
      </c>
      <c r="S79" s="1"/>
      <c r="T79" s="1">
        <f>SUM(OSRRefT22_17x_0)</f>
        <v>4574</v>
      </c>
      <c r="U79" s="1"/>
      <c r="V79" s="5">
        <f t="shared" si="57"/>
        <v>6.8233134750147972E-2</v>
      </c>
      <c r="W79" s="1"/>
      <c r="X79" s="1">
        <f t="shared" si="58"/>
        <v>-2543</v>
      </c>
      <c r="Y79" s="1"/>
      <c r="Z79" s="5">
        <f t="shared" si="59"/>
        <v>-0.55596851770878886</v>
      </c>
    </row>
    <row r="80" spans="1:26" s="24" customFormat="1" hidden="1" outlineLevel="2" x14ac:dyDescent="0.25">
      <c r="A80" s="29"/>
      <c r="B80" s="11" t="str">
        <f>CONCATENATE("          ", "6274", " - ", "UTILITIES")</f>
        <v xml:space="preserve">          6274 - UTILITIES</v>
      </c>
      <c r="C80" s="11"/>
      <c r="D80" s="7"/>
      <c r="E80" s="2"/>
      <c r="F80" s="6">
        <f t="shared" si="52"/>
        <v>0</v>
      </c>
      <c r="G80" s="2"/>
      <c r="H80" s="7">
        <v>2287</v>
      </c>
      <c r="I80" s="2"/>
      <c r="J80" s="6">
        <f t="shared" si="53"/>
        <v>5.3036459029045524E-2</v>
      </c>
      <c r="K80" s="2"/>
      <c r="L80" s="7">
        <f t="shared" si="54"/>
        <v>-2287</v>
      </c>
      <c r="M80" s="2"/>
      <c r="N80" s="6">
        <f t="shared" si="55"/>
        <v>-1</v>
      </c>
      <c r="O80" s="11"/>
      <c r="P80" s="7">
        <v>2031</v>
      </c>
      <c r="Q80" s="2"/>
      <c r="R80" s="6">
        <f t="shared" si="56"/>
        <v>2.9957806840734649E-2</v>
      </c>
      <c r="S80" s="2"/>
      <c r="T80" s="7">
        <v>4574</v>
      </c>
      <c r="U80" s="2"/>
      <c r="V80" s="6">
        <f t="shared" si="57"/>
        <v>6.8233134750147972E-2</v>
      </c>
      <c r="W80" s="2"/>
      <c r="X80" s="7">
        <f t="shared" si="58"/>
        <v>-2543</v>
      </c>
      <c r="Y80" s="2"/>
      <c r="Z80" s="6">
        <f t="shared" si="59"/>
        <v>-0.55596851770878886</v>
      </c>
    </row>
    <row r="81" spans="1:26" s="62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5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6" t="s">
        <v>3</v>
      </c>
      <c r="C84" s="26"/>
      <c r="D84" s="20">
        <f>+D20-D22+D82</f>
        <v>-37476.719999999987</v>
      </c>
      <c r="E84" s="13"/>
      <c r="F84" s="19">
        <f>IF(D$12=0,0,D84/D$12)</f>
        <v>-0.88216883760081777</v>
      </c>
      <c r="G84" s="13"/>
      <c r="H84" s="20">
        <f>+H20-H22+H82</f>
        <v>-30038.320000000003</v>
      </c>
      <c r="I84" s="13"/>
      <c r="J84" s="19">
        <f>IF(H$12=0,0,H84/H$12)</f>
        <v>-0.69660084301764702</v>
      </c>
      <c r="K84" s="15"/>
      <c r="L84" s="20">
        <f>+D84-H84</f>
        <v>-7438.3999999999833</v>
      </c>
      <c r="M84" s="15"/>
      <c r="N84" s="19">
        <f>IF(H84=0,0,L84/H84)</f>
        <v>0.24763036015329692</v>
      </c>
      <c r="O84" s="25"/>
      <c r="P84" s="20">
        <f>+P20-P22+P82</f>
        <v>-80859.279999999955</v>
      </c>
      <c r="Q84" s="13"/>
      <c r="R84" s="19">
        <f>IF(P$12=0,0,P84/P$12)</f>
        <v>-1.1926965492471084</v>
      </c>
      <c r="S84" s="13"/>
      <c r="T84" s="20">
        <f>+T20-T22+T82</f>
        <v>-71765.66</v>
      </c>
      <c r="U84" s="13"/>
      <c r="V84" s="19">
        <f>IF(T$12=0,0,T84/T$12)</f>
        <v>-1.0705719171869927</v>
      </c>
      <c r="W84" s="15"/>
      <c r="X84" s="20">
        <f>+P84-T84</f>
        <v>-9093.6199999999517</v>
      </c>
      <c r="Y84" s="15"/>
      <c r="Z84" s="19">
        <f>IF(T84=0,0,X84/T84)</f>
        <v>0.12671269239354799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3189.55</v>
      </c>
      <c r="E86" s="4"/>
      <c r="F86" s="12">
        <f>IF(D$12=0,0,D86/D$12)</f>
        <v>7.5079185584269098E-2</v>
      </c>
      <c r="G86" s="4"/>
      <c r="H86" s="4">
        <v>1934.47</v>
      </c>
      <c r="I86" s="4"/>
      <c r="J86" s="12">
        <f>IF(H$12=0,0,H86/H$12)</f>
        <v>4.4861145123706904E-2</v>
      </c>
      <c r="K86" s="4"/>
      <c r="L86" s="4">
        <f>+D86-H86</f>
        <v>1255.0800000000002</v>
      </c>
      <c r="M86" s="4"/>
      <c r="N86" s="12">
        <f>IF(H86=0,0,L86/H86)</f>
        <v>0.6487978619466831</v>
      </c>
      <c r="O86" s="10"/>
      <c r="P86" s="4">
        <v>8452.84</v>
      </c>
      <c r="Q86" s="4"/>
      <c r="R86" s="12">
        <f>IF(P$12=0,0,P86/P$12)</f>
        <v>0.12468170752123854</v>
      </c>
      <c r="S86" s="4"/>
      <c r="T86" s="4">
        <v>6843.95</v>
      </c>
      <c r="U86" s="4"/>
      <c r="V86" s="12">
        <f>IF(T$12=0,0,T86/T$12)</f>
        <v>0.10209535692463385</v>
      </c>
      <c r="W86" s="4"/>
      <c r="X86" s="4">
        <f>+P86-T86</f>
        <v>1608.8900000000003</v>
      </c>
      <c r="Y86" s="4"/>
      <c r="Z86" s="12">
        <f>IF(T86=0,0,X86/T86)</f>
        <v>0.235082079793102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4</v>
      </c>
      <c r="C88" s="26"/>
      <c r="D88" s="31">
        <f>+D84-D86</f>
        <v>-40666.26999999999</v>
      </c>
      <c r="E88" s="13"/>
      <c r="F88" s="36">
        <f>IF(D$12=0,0,D88/D$12)</f>
        <v>-0.95724802318508695</v>
      </c>
      <c r="G88" s="13"/>
      <c r="H88" s="31">
        <f>+H84-H86</f>
        <v>-31972.790000000005</v>
      </c>
      <c r="I88" s="13"/>
      <c r="J88" s="36">
        <f>IF(H$12=0,0,H88/H$12)</f>
        <v>-0.741461988141354</v>
      </c>
      <c r="K88" s="15"/>
      <c r="L88" s="31">
        <f>D88-H88</f>
        <v>-8693.479999999985</v>
      </c>
      <c r="M88" s="15"/>
      <c r="N88" s="36">
        <f>IF(H88=0,0,L88/H88)</f>
        <v>0.27190245205376146</v>
      </c>
      <c r="O88" s="25"/>
      <c r="P88" s="31">
        <f>+P84-P86</f>
        <v>-89312.119999999952</v>
      </c>
      <c r="Q88" s="13"/>
      <c r="R88" s="36">
        <f>IF(P$12=0,0,P88/P$12)</f>
        <v>-1.317378256768347</v>
      </c>
      <c r="S88" s="13"/>
      <c r="T88" s="31">
        <f>+T84-T86</f>
        <v>-78609.61</v>
      </c>
      <c r="U88" s="13"/>
      <c r="V88" s="36">
        <f>IF(T$12=0,0,T88/T$12)</f>
        <v>-1.1726672741116266</v>
      </c>
      <c r="W88" s="15"/>
      <c r="X88" s="31">
        <f>P88-T88</f>
        <v>-10702.509999999951</v>
      </c>
      <c r="Y88" s="15"/>
      <c r="Z88" s="36">
        <f>IF(T88=0,0,X88/T88)</f>
        <v>0.13614760332737882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5</v>
      </c>
      <c r="C91" s="26"/>
      <c r="D91" s="32">
        <f>SUM(D88:D90)</f>
        <v>-40666.26999999999</v>
      </c>
      <c r="E91" s="13"/>
      <c r="F91" s="30">
        <f>IF(D$12=0,0,D91/D$12)</f>
        <v>-0.95724802318508695</v>
      </c>
      <c r="G91" s="13"/>
      <c r="H91" s="32">
        <f>SUM(H88:H90)</f>
        <v>-31972.790000000005</v>
      </c>
      <c r="I91" s="13"/>
      <c r="J91" s="30">
        <f>IF(H$12=0,0,H91/H$12)</f>
        <v>-0.741461988141354</v>
      </c>
      <c r="K91" s="15"/>
      <c r="L91" s="32">
        <f>+D91-H91</f>
        <v>-8693.479999999985</v>
      </c>
      <c r="M91" s="15"/>
      <c r="N91" s="30">
        <f>IF(H91=0,0,L91/H91)</f>
        <v>0.27190245205376146</v>
      </c>
      <c r="O91" s="25"/>
      <c r="P91" s="32">
        <f>SUM(P88:P90)</f>
        <v>-89312.119999999952</v>
      </c>
      <c r="Q91" s="13"/>
      <c r="R91" s="30">
        <f>IF(P$12=0,0,P91/P$12)</f>
        <v>-1.317378256768347</v>
      </c>
      <c r="S91" s="13"/>
      <c r="T91" s="32">
        <f>SUM(T88:T90)</f>
        <v>-78609.61</v>
      </c>
      <c r="U91" s="13"/>
      <c r="V91" s="30">
        <f>IF(T$12=0,0,T91/T$12)</f>
        <v>-1.1726672741116266</v>
      </c>
      <c r="W91" s="15"/>
      <c r="X91" s="32">
        <f>+P91-T91</f>
        <v>-10702.509999999951</v>
      </c>
      <c r="Y91" s="15"/>
      <c r="Z91" s="30">
        <f>IF(T91=0,0,X91/T91)</f>
        <v>0.13614760332737882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7">
        <v>43732.710081365738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60" t="s">
        <v>313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6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","418", " - ", "Nugget")</f>
        <v>Department 418 - Nugget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74781.83</v>
      </c>
      <c r="E12" s="4"/>
      <c r="F12" s="12"/>
      <c r="G12" s="4"/>
      <c r="H12" s="4">
        <f>SUM(OSRRefH13x_0)</f>
        <v>77199.679999999993</v>
      </c>
      <c r="I12" s="4"/>
      <c r="J12" s="12"/>
      <c r="K12" s="4"/>
      <c r="L12" s="4">
        <f t="shared" ref="L12:L14" si="0">+D12-H12</f>
        <v>-2417.8499999999913</v>
      </c>
      <c r="M12" s="4"/>
      <c r="N12" s="12">
        <f t="shared" ref="N12:N14" si="1">IF(H12=0,0,L12/H12)</f>
        <v>-3.1319430339607518E-2</v>
      </c>
      <c r="O12" s="10"/>
      <c r="P12" s="4">
        <f>SUM(OSRRefP13x_0)</f>
        <v>114662.12</v>
      </c>
      <c r="Q12" s="4"/>
      <c r="R12" s="12"/>
      <c r="S12" s="4"/>
      <c r="T12" s="4">
        <f>SUM(OSRRefT13x_0)</f>
        <v>117563.01000000001</v>
      </c>
      <c r="U12" s="4"/>
      <c r="V12" s="12"/>
      <c r="W12" s="4"/>
      <c r="X12" s="4">
        <f t="shared" ref="X12:X14" si="2">+P12-T12</f>
        <v>-2900.890000000014</v>
      </c>
      <c r="Y12" s="4"/>
      <c r="Z12" s="12">
        <f t="shared" ref="Z12:Z14" si="3">IF(T12=0,0,X12/T12)</f>
        <v>-2.4675193328241713E-2</v>
      </c>
    </row>
    <row r="13" spans="1:26" s="24" customFormat="1" hidden="1" outlineLevel="1" x14ac:dyDescent="0.25">
      <c r="A13" s="50"/>
      <c r="B13" s="11" t="str">
        <f>CONCATENATE("          ", "4055", " - ", "TAXABLE SALES-FOOD")</f>
        <v xml:space="preserve">          4055 - TAXABLE SALES-FOOD</v>
      </c>
      <c r="C13" s="11"/>
      <c r="D13" s="2">
        <f>--29693.44</f>
        <v>29693.439999999999</v>
      </c>
      <c r="E13" s="2"/>
      <c r="F13" s="21"/>
      <c r="G13" s="2"/>
      <c r="H13" s="2">
        <f>--32069.87</f>
        <v>32069.87</v>
      </c>
      <c r="I13" s="2"/>
      <c r="J13" s="21"/>
      <c r="K13" s="2"/>
      <c r="L13" s="2">
        <f t="shared" si="0"/>
        <v>-2376.4300000000003</v>
      </c>
      <c r="M13" s="2"/>
      <c r="N13" s="21">
        <f t="shared" si="1"/>
        <v>-7.4101641197797191E-2</v>
      </c>
      <c r="O13" s="11"/>
      <c r="P13" s="2">
        <f>--43937.07</f>
        <v>43937.07</v>
      </c>
      <c r="Q13" s="2"/>
      <c r="R13" s="21"/>
      <c r="S13" s="2"/>
      <c r="T13" s="2">
        <f>--50165.69</f>
        <v>50165.69</v>
      </c>
      <c r="U13" s="2"/>
      <c r="V13" s="21"/>
      <c r="W13" s="2"/>
      <c r="X13" s="2">
        <f t="shared" si="2"/>
        <v>-6228.6200000000026</v>
      </c>
      <c r="Y13" s="2"/>
      <c r="Z13" s="21">
        <f t="shared" si="3"/>
        <v>-0.12416095542590967</v>
      </c>
    </row>
    <row r="14" spans="1:26" s="24" customFormat="1" hidden="1" outlineLevel="1" x14ac:dyDescent="0.25">
      <c r="A14" s="50"/>
      <c r="B14" s="11" t="str">
        <f>CONCATENATE("          ", "4155", " - ", "NON-TAXABLE SALES-FOOD")</f>
        <v xml:space="preserve">          4155 - NON-TAXABLE SALES-FOOD</v>
      </c>
      <c r="C14" s="11"/>
      <c r="D14" s="2">
        <f>--45088.39</f>
        <v>45088.39</v>
      </c>
      <c r="E14" s="2"/>
      <c r="F14" s="21"/>
      <c r="G14" s="2"/>
      <c r="H14" s="2">
        <f>--45129.81</f>
        <v>45129.81</v>
      </c>
      <c r="I14" s="2"/>
      <c r="J14" s="21"/>
      <c r="K14" s="2"/>
      <c r="L14" s="2">
        <f t="shared" si="0"/>
        <v>-41.419999999998254</v>
      </c>
      <c r="M14" s="2"/>
      <c r="N14" s="21">
        <f t="shared" si="1"/>
        <v>-9.1779690630202639E-4</v>
      </c>
      <c r="O14" s="11"/>
      <c r="P14" s="2">
        <f>--70725.05</f>
        <v>70725.05</v>
      </c>
      <c r="Q14" s="2"/>
      <c r="R14" s="21"/>
      <c r="S14" s="2"/>
      <c r="T14" s="2">
        <f>--67397.32</f>
        <v>67397.320000000007</v>
      </c>
      <c r="U14" s="2"/>
      <c r="V14" s="21"/>
      <c r="W14" s="2"/>
      <c r="X14" s="2">
        <f t="shared" si="2"/>
        <v>3327.7299999999959</v>
      </c>
      <c r="Y14" s="2"/>
      <c r="Z14" s="21">
        <f t="shared" si="3"/>
        <v>4.9374811936142203E-2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22583.630000000005</v>
      </c>
      <c r="E16" s="4"/>
      <c r="F16" s="12">
        <f t="shared" ref="F16:F18" si="4">IF(D$12=0,0,D16/D$12)</f>
        <v>0.30199354575837478</v>
      </c>
      <c r="G16" s="4"/>
      <c r="H16" s="4">
        <f>SUM(OSRRefH16x_0)</f>
        <v>24703.57</v>
      </c>
      <c r="I16" s="4"/>
      <c r="J16" s="12">
        <f t="shared" ref="J16:J18" si="5">IF(H$12=0,0,H16/H$12)</f>
        <v>0.31999575645909417</v>
      </c>
      <c r="K16" s="4"/>
      <c r="L16" s="4">
        <f t="shared" ref="L16:L18" si="6">+D16-H16</f>
        <v>-2119.9399999999951</v>
      </c>
      <c r="M16" s="4"/>
      <c r="N16" s="12">
        <f t="shared" ref="N16:N18" si="7">IF(H16=0,0,L16/H16)</f>
        <v>-8.5815127125350513E-2</v>
      </c>
      <c r="O16" s="10"/>
      <c r="P16" s="4">
        <f>SUM(OSRRefP16x_0)</f>
        <v>38615.769999999997</v>
      </c>
      <c r="Q16" s="4"/>
      <c r="R16" s="12">
        <f t="shared" ref="R16:R18" si="8">IF(P$12=0,0,P16/P$12)</f>
        <v>0.33677878971712716</v>
      </c>
      <c r="S16" s="4"/>
      <c r="T16" s="4">
        <f>SUM(OSRRefT16x_0)</f>
        <v>37619.43</v>
      </c>
      <c r="U16" s="4"/>
      <c r="V16" s="12">
        <f t="shared" ref="V16:V18" si="9">IF(T$12=0,0,T16/T$12)</f>
        <v>0.31999376334443969</v>
      </c>
      <c r="W16" s="4"/>
      <c r="X16" s="4">
        <f t="shared" ref="X16:X18" si="10">+P16-T16</f>
        <v>996.33999999999651</v>
      </c>
      <c r="Y16" s="4"/>
      <c r="Z16" s="12">
        <f t="shared" ref="Z16:Z18" si="11">IF(T16=0,0,X16/T16)</f>
        <v>2.6484718136345939E-2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36734.630000000005</v>
      </c>
      <c r="E17" s="2"/>
      <c r="F17" s="21">
        <f t="shared" si="4"/>
        <v>0.49122400454762882</v>
      </c>
      <c r="G17" s="2"/>
      <c r="H17" s="2">
        <v>28603.57</v>
      </c>
      <c r="I17" s="2"/>
      <c r="J17" s="21">
        <f t="shared" si="5"/>
        <v>0.37051410057658274</v>
      </c>
      <c r="K17" s="2"/>
      <c r="L17" s="2">
        <f t="shared" si="6"/>
        <v>8131.0600000000049</v>
      </c>
      <c r="M17" s="2"/>
      <c r="N17" s="21">
        <f t="shared" si="7"/>
        <v>0.28426731348569445</v>
      </c>
      <c r="O17" s="11"/>
      <c r="P17" s="2">
        <v>51739.77</v>
      </c>
      <c r="Q17" s="2"/>
      <c r="R17" s="21">
        <f t="shared" si="8"/>
        <v>0.45123681648307218</v>
      </c>
      <c r="S17" s="2"/>
      <c r="T17" s="2">
        <v>43539.43</v>
      </c>
      <c r="U17" s="2"/>
      <c r="V17" s="21">
        <f t="shared" si="9"/>
        <v>0.37034973840836499</v>
      </c>
      <c r="W17" s="2"/>
      <c r="X17" s="2">
        <f t="shared" si="10"/>
        <v>8200.3399999999965</v>
      </c>
      <c r="Y17" s="2"/>
      <c r="Z17" s="21">
        <f t="shared" si="11"/>
        <v>0.18834284233854226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-14151</v>
      </c>
      <c r="E18" s="2"/>
      <c r="F18" s="21">
        <f t="shared" si="4"/>
        <v>-0.18923045878925401</v>
      </c>
      <c r="G18" s="2"/>
      <c r="H18" s="2">
        <v>-3900</v>
      </c>
      <c r="I18" s="2"/>
      <c r="J18" s="21">
        <f t="shared" si="5"/>
        <v>-5.0518344117488574E-2</v>
      </c>
      <c r="K18" s="2"/>
      <c r="L18" s="2">
        <f t="shared" si="6"/>
        <v>-10251</v>
      </c>
      <c r="M18" s="2"/>
      <c r="N18" s="21">
        <f t="shared" si="7"/>
        <v>2.6284615384615386</v>
      </c>
      <c r="O18" s="11"/>
      <c r="P18" s="2">
        <v>-13124</v>
      </c>
      <c r="Q18" s="2"/>
      <c r="R18" s="21">
        <f t="shared" si="8"/>
        <v>-0.11445802676594502</v>
      </c>
      <c r="S18" s="2"/>
      <c r="T18" s="2">
        <v>-5920</v>
      </c>
      <c r="U18" s="2"/>
      <c r="V18" s="21">
        <f t="shared" si="9"/>
        <v>-5.0355975063925293E-2</v>
      </c>
      <c r="W18" s="2"/>
      <c r="X18" s="2">
        <f t="shared" si="10"/>
        <v>-7204</v>
      </c>
      <c r="Y18" s="2"/>
      <c r="Z18" s="21">
        <f t="shared" si="11"/>
        <v>1.2168918918918918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52198.2</v>
      </c>
      <c r="E20" s="13"/>
      <c r="F20" s="19">
        <f>IF(D$12=0,0,D20/D$12)</f>
        <v>0.69800645424162522</v>
      </c>
      <c r="G20" s="13"/>
      <c r="H20" s="20">
        <f>H12-H16</f>
        <v>52496.109999999993</v>
      </c>
      <c r="I20" s="13"/>
      <c r="J20" s="19">
        <f>IF(H$12=0,0,H20/H$12)</f>
        <v>0.68000424354090583</v>
      </c>
      <c r="K20" s="15"/>
      <c r="L20" s="20">
        <f>+D20-H20</f>
        <v>-297.90999999999622</v>
      </c>
      <c r="M20" s="15"/>
      <c r="N20" s="19">
        <f>IF(H20=0,0,L20/H20)</f>
        <v>-5.6748966732962933E-3</v>
      </c>
      <c r="O20" s="25"/>
      <c r="P20" s="20">
        <f>P12-P16</f>
        <v>76046.350000000006</v>
      </c>
      <c r="Q20" s="13"/>
      <c r="R20" s="19">
        <f>IF(P$12=0,0,P20/P$12)</f>
        <v>0.66322121028287295</v>
      </c>
      <c r="S20" s="13"/>
      <c r="T20" s="20">
        <f>T12-T16</f>
        <v>79943.580000000016</v>
      </c>
      <c r="U20" s="13"/>
      <c r="V20" s="19">
        <f>IF(T$12=0,0,T20/T$12)</f>
        <v>0.68000623665556037</v>
      </c>
      <c r="W20" s="15"/>
      <c r="X20" s="20">
        <f>+P20-T20</f>
        <v>-3897.2300000000105</v>
      </c>
      <c r="Y20" s="15"/>
      <c r="Z20" s="19">
        <f>IF(T20=0,0,X20/T20)</f>
        <v>-4.8749755765253568E-2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45574.299999999988</v>
      </c>
      <c r="E22" s="22"/>
      <c r="F22" s="33">
        <f t="shared" ref="F22:F31" si="12">IF(D$12=0,0,D22/D$12)</f>
        <v>0.60943012493810311</v>
      </c>
      <c r="G22" s="22"/>
      <c r="H22" s="22">
        <f>SUM(OSRRefH22x_0)</f>
        <v>48448.79</v>
      </c>
      <c r="I22" s="22"/>
      <c r="J22" s="33">
        <f t="shared" ref="J22:J31" si="13">IF(H$12=0,0,H22/H$12)</f>
        <v>0.62757760135793317</v>
      </c>
      <c r="K22" s="4"/>
      <c r="L22" s="22">
        <f t="shared" ref="L22:L31" si="14">+D22-H22</f>
        <v>-2874.4900000000125</v>
      </c>
      <c r="M22" s="4"/>
      <c r="N22" s="33">
        <f t="shared" ref="N22:N31" si="15">IF(H22=0,0,L22/H22)</f>
        <v>-5.9330480699311842E-2</v>
      </c>
      <c r="O22" s="10"/>
      <c r="P22" s="22">
        <f>SUM(OSRRefP22x_0)</f>
        <v>82321.540000000008</v>
      </c>
      <c r="Q22" s="22"/>
      <c r="R22" s="33">
        <f t="shared" ref="R22:R31" si="16">IF(P$12=0,0,P22/P$12)</f>
        <v>0.71794887448444189</v>
      </c>
      <c r="S22" s="22"/>
      <c r="T22" s="22">
        <f>SUM(OSRRefT22x_0)</f>
        <v>88295.51</v>
      </c>
      <c r="U22" s="22"/>
      <c r="V22" s="33">
        <f t="shared" ref="V22:V31" si="17">IF(T$12=0,0,T22/T$12)</f>
        <v>0.75104839523928479</v>
      </c>
      <c r="W22" s="4"/>
      <c r="X22" s="22">
        <f t="shared" ref="X22:X31" si="18">+P22-T22</f>
        <v>-5973.9699999999866</v>
      </c>
      <c r="Y22" s="4"/>
      <c r="Z22" s="33">
        <f t="shared" ref="Z22:Z31" si="19">IF(T22=0,0,X22/T22)</f>
        <v>-6.7658819797291922E-2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5647.7600000000011</v>
      </c>
      <c r="E23" s="1"/>
      <c r="F23" s="5">
        <f t="shared" si="12"/>
        <v>7.5523158499865559E-2</v>
      </c>
      <c r="G23" s="1"/>
      <c r="H23" s="1">
        <f>SUM(OSRRefH22_0x_0)</f>
        <v>8189.23</v>
      </c>
      <c r="I23" s="1"/>
      <c r="J23" s="5">
        <f t="shared" si="13"/>
        <v>0.10607854851211819</v>
      </c>
      <c r="K23" s="1"/>
      <c r="L23" s="1">
        <f t="shared" si="14"/>
        <v>-2541.4699999999984</v>
      </c>
      <c r="M23" s="1"/>
      <c r="N23" s="5">
        <f t="shared" si="15"/>
        <v>-0.31034297485844198</v>
      </c>
      <c r="O23" s="14"/>
      <c r="P23" s="1">
        <f>SUM(OSRRefP22_0x_0)</f>
        <v>10909.109999999999</v>
      </c>
      <c r="Q23" s="1"/>
      <c r="R23" s="5">
        <f t="shared" si="16"/>
        <v>9.5141359674842912E-2</v>
      </c>
      <c r="S23" s="1"/>
      <c r="T23" s="1">
        <f>SUM(OSRRefT22_0x_0)</f>
        <v>14352.899999999998</v>
      </c>
      <c r="U23" s="1"/>
      <c r="V23" s="5">
        <f t="shared" si="17"/>
        <v>0.12208687069172521</v>
      </c>
      <c r="W23" s="1"/>
      <c r="X23" s="1">
        <f t="shared" si="18"/>
        <v>-3443.7899999999991</v>
      </c>
      <c r="Y23" s="1"/>
      <c r="Z23" s="5">
        <f t="shared" si="19"/>
        <v>-0.23993687686808934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1212.46</v>
      </c>
      <c r="E24" s="2"/>
      <c r="F24" s="6">
        <f t="shared" si="12"/>
        <v>1.621329673264214E-2</v>
      </c>
      <c r="G24" s="2"/>
      <c r="H24" s="7">
        <v>1360.24</v>
      </c>
      <c r="I24" s="2"/>
      <c r="J24" s="6">
        <f t="shared" si="13"/>
        <v>1.761976215445453E-2</v>
      </c>
      <c r="K24" s="2"/>
      <c r="L24" s="7">
        <f t="shared" si="14"/>
        <v>-147.77999999999997</v>
      </c>
      <c r="M24" s="2"/>
      <c r="N24" s="6">
        <f t="shared" si="15"/>
        <v>-0.10864259248367933</v>
      </c>
      <c r="O24" s="11"/>
      <c r="P24" s="7">
        <v>2330.29</v>
      </c>
      <c r="Q24" s="2"/>
      <c r="R24" s="6">
        <f t="shared" si="16"/>
        <v>2.0323102346267451E-2</v>
      </c>
      <c r="S24" s="2"/>
      <c r="T24" s="7">
        <v>2579.66</v>
      </c>
      <c r="U24" s="2"/>
      <c r="V24" s="6">
        <f t="shared" si="17"/>
        <v>2.1942786255642822E-2</v>
      </c>
      <c r="W24" s="2"/>
      <c r="X24" s="7">
        <f t="shared" si="18"/>
        <v>-249.36999999999989</v>
      </c>
      <c r="Y24" s="2"/>
      <c r="Z24" s="6">
        <f t="shared" si="19"/>
        <v>-9.6667777924222528E-2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599.66</v>
      </c>
      <c r="E25" s="2"/>
      <c r="F25" s="6">
        <f t="shared" si="12"/>
        <v>8.0187928003366583E-3</v>
      </c>
      <c r="G25" s="2"/>
      <c r="H25" s="7">
        <v>638.22</v>
      </c>
      <c r="I25" s="2"/>
      <c r="J25" s="6">
        <f t="shared" si="13"/>
        <v>8.2671327135034767E-3</v>
      </c>
      <c r="K25" s="2"/>
      <c r="L25" s="7">
        <f t="shared" si="14"/>
        <v>-38.560000000000059</v>
      </c>
      <c r="M25" s="2"/>
      <c r="N25" s="6">
        <f t="shared" si="15"/>
        <v>-6.0418037667262163E-2</v>
      </c>
      <c r="O25" s="11"/>
      <c r="P25" s="7">
        <v>1102.71</v>
      </c>
      <c r="Q25" s="2"/>
      <c r="R25" s="6">
        <f t="shared" si="16"/>
        <v>9.6170383034955235E-3</v>
      </c>
      <c r="S25" s="2"/>
      <c r="T25" s="7">
        <v>1540.94</v>
      </c>
      <c r="U25" s="2"/>
      <c r="V25" s="6">
        <f t="shared" si="17"/>
        <v>1.3107354090372473E-2</v>
      </c>
      <c r="W25" s="2"/>
      <c r="X25" s="7">
        <f t="shared" si="18"/>
        <v>-438.23</v>
      </c>
      <c r="Y25" s="2"/>
      <c r="Z25" s="6">
        <f t="shared" si="19"/>
        <v>-0.28439134554233131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2533.4</v>
      </c>
      <c r="E26" s="2"/>
      <c r="F26" s="6">
        <f t="shared" si="12"/>
        <v>3.3877213221446975E-2</v>
      </c>
      <c r="G26" s="2"/>
      <c r="H26" s="7">
        <v>4110.21</v>
      </c>
      <c r="I26" s="2"/>
      <c r="J26" s="6">
        <f t="shared" si="13"/>
        <v>5.3241282865421208E-2</v>
      </c>
      <c r="K26" s="2"/>
      <c r="L26" s="7">
        <f t="shared" si="14"/>
        <v>-1576.81</v>
      </c>
      <c r="M26" s="2"/>
      <c r="N26" s="6">
        <f t="shared" si="15"/>
        <v>-0.38363246646765004</v>
      </c>
      <c r="O26" s="11"/>
      <c r="P26" s="7">
        <v>5066.8</v>
      </c>
      <c r="Q26" s="2"/>
      <c r="R26" s="6">
        <f t="shared" si="16"/>
        <v>4.4188961446029434E-2</v>
      </c>
      <c r="S26" s="2"/>
      <c r="T26" s="7">
        <v>5636.15</v>
      </c>
      <c r="U26" s="2"/>
      <c r="V26" s="6">
        <f t="shared" si="17"/>
        <v>4.7941525144686234E-2</v>
      </c>
      <c r="W26" s="2"/>
      <c r="X26" s="7">
        <f t="shared" si="18"/>
        <v>-569.34999999999945</v>
      </c>
      <c r="Y26" s="2"/>
      <c r="Z26" s="6">
        <f t="shared" si="19"/>
        <v>-0.10101753856799402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40.18</v>
      </c>
      <c r="E27" s="2"/>
      <c r="F27" s="6">
        <f t="shared" si="12"/>
        <v>5.3729629242825429E-4</v>
      </c>
      <c r="G27" s="2"/>
      <c r="H27" s="7">
        <v>47.41</v>
      </c>
      <c r="I27" s="2"/>
      <c r="J27" s="6">
        <f t="shared" si="13"/>
        <v>6.1412171656670086E-4</v>
      </c>
      <c r="K27" s="2"/>
      <c r="L27" s="7">
        <f t="shared" si="14"/>
        <v>-7.2299999999999969</v>
      </c>
      <c r="M27" s="2"/>
      <c r="N27" s="6">
        <f t="shared" si="15"/>
        <v>-0.15249947268508748</v>
      </c>
      <c r="O27" s="11"/>
      <c r="P27" s="7">
        <v>73.89</v>
      </c>
      <c r="Q27" s="2"/>
      <c r="R27" s="6">
        <f t="shared" si="16"/>
        <v>6.4441508669122816E-4</v>
      </c>
      <c r="S27" s="2"/>
      <c r="T27" s="7">
        <v>114.47</v>
      </c>
      <c r="U27" s="2"/>
      <c r="V27" s="6">
        <f t="shared" si="17"/>
        <v>9.7369061918370402E-4</v>
      </c>
      <c r="W27" s="2"/>
      <c r="X27" s="7">
        <f t="shared" si="18"/>
        <v>-40.58</v>
      </c>
      <c r="Y27" s="2"/>
      <c r="Z27" s="6">
        <f t="shared" si="19"/>
        <v>-0.35450336332663579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268.22000000000003</v>
      </c>
      <c r="E28" s="2"/>
      <c r="F28" s="6">
        <f t="shared" si="12"/>
        <v>3.5867001382555099E-3</v>
      </c>
      <c r="G28" s="2"/>
      <c r="H28" s="7">
        <v>579.83000000000004</v>
      </c>
      <c r="I28" s="2"/>
      <c r="J28" s="6">
        <f t="shared" si="13"/>
        <v>7.5107824281136926E-3</v>
      </c>
      <c r="K28" s="2"/>
      <c r="L28" s="7">
        <f t="shared" si="14"/>
        <v>-311.61</v>
      </c>
      <c r="M28" s="2"/>
      <c r="N28" s="6">
        <f t="shared" si="15"/>
        <v>-0.53741613921321763</v>
      </c>
      <c r="O28" s="11"/>
      <c r="P28" s="7">
        <v>536.44000000000005</v>
      </c>
      <c r="Q28" s="2"/>
      <c r="R28" s="6">
        <f t="shared" si="16"/>
        <v>4.6784413195918593E-3</v>
      </c>
      <c r="S28" s="2"/>
      <c r="T28" s="7">
        <v>1441.13</v>
      </c>
      <c r="U28" s="2"/>
      <c r="V28" s="6">
        <f t="shared" si="17"/>
        <v>1.2258362558086936E-2</v>
      </c>
      <c r="W28" s="2"/>
      <c r="X28" s="7">
        <f t="shared" si="18"/>
        <v>-904.69</v>
      </c>
      <c r="Y28" s="2"/>
      <c r="Z28" s="6">
        <f t="shared" si="19"/>
        <v>-0.62776432382921732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329.14</v>
      </c>
      <c r="E29" s="2"/>
      <c r="F29" s="6">
        <f t="shared" si="12"/>
        <v>4.4013365278704726E-3</v>
      </c>
      <c r="G29" s="2"/>
      <c r="H29" s="7">
        <v>500.32</v>
      </c>
      <c r="I29" s="2"/>
      <c r="J29" s="6">
        <f t="shared" si="13"/>
        <v>6.4808558791953543E-3</v>
      </c>
      <c r="K29" s="2"/>
      <c r="L29" s="7">
        <f t="shared" si="14"/>
        <v>-171.18</v>
      </c>
      <c r="M29" s="2"/>
      <c r="N29" s="6">
        <f t="shared" si="15"/>
        <v>-0.34214102974096577</v>
      </c>
      <c r="O29" s="11"/>
      <c r="P29" s="7">
        <v>696.65</v>
      </c>
      <c r="Q29" s="2"/>
      <c r="R29" s="6">
        <f t="shared" si="16"/>
        <v>6.0756769541676012E-3</v>
      </c>
      <c r="S29" s="2"/>
      <c r="T29" s="7">
        <v>1012.96</v>
      </c>
      <c r="U29" s="2"/>
      <c r="V29" s="6">
        <f t="shared" si="17"/>
        <v>8.6163156251273243E-3</v>
      </c>
      <c r="W29" s="2"/>
      <c r="X29" s="7">
        <f t="shared" si="18"/>
        <v>-316.31000000000006</v>
      </c>
      <c r="Y29" s="2"/>
      <c r="Z29" s="6">
        <f t="shared" si="19"/>
        <v>-0.31226307060495978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306.33999999999997</v>
      </c>
      <c r="E30" s="2"/>
      <c r="F30" s="6">
        <f t="shared" si="12"/>
        <v>4.0964496322168096E-3</v>
      </c>
      <c r="G30" s="2"/>
      <c r="H30" s="7">
        <v>516.36</v>
      </c>
      <c r="I30" s="2"/>
      <c r="J30" s="6">
        <f t="shared" si="13"/>
        <v>6.688628761155487E-3</v>
      </c>
      <c r="K30" s="2"/>
      <c r="L30" s="7">
        <f t="shared" si="14"/>
        <v>-210.02000000000004</v>
      </c>
      <c r="M30" s="2"/>
      <c r="N30" s="6">
        <f t="shared" si="15"/>
        <v>-0.40673173754744757</v>
      </c>
      <c r="O30" s="11"/>
      <c r="P30" s="7">
        <v>632.08000000000004</v>
      </c>
      <c r="Q30" s="2"/>
      <c r="R30" s="6">
        <f t="shared" si="16"/>
        <v>5.5125441601812358E-3</v>
      </c>
      <c r="S30" s="2"/>
      <c r="T30" s="7">
        <v>1292.3800000000001</v>
      </c>
      <c r="U30" s="2"/>
      <c r="V30" s="6">
        <f t="shared" si="17"/>
        <v>1.0993083623837123E-2</v>
      </c>
      <c r="W30" s="2"/>
      <c r="X30" s="7">
        <f t="shared" si="18"/>
        <v>-660.30000000000007</v>
      </c>
      <c r="Y30" s="2"/>
      <c r="Z30" s="6">
        <f t="shared" si="19"/>
        <v>-0.51091784150172548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358.36</v>
      </c>
      <c r="E31" s="2"/>
      <c r="F31" s="6">
        <f t="shared" si="12"/>
        <v>4.7920731546687214E-3</v>
      </c>
      <c r="G31" s="2"/>
      <c r="H31" s="7">
        <v>436.64</v>
      </c>
      <c r="I31" s="2"/>
      <c r="J31" s="6">
        <f t="shared" si="13"/>
        <v>5.6559819937077463E-3</v>
      </c>
      <c r="K31" s="2"/>
      <c r="L31" s="7">
        <f t="shared" si="14"/>
        <v>-78.279999999999973</v>
      </c>
      <c r="M31" s="2"/>
      <c r="N31" s="6">
        <f t="shared" si="15"/>
        <v>-0.17927812385489184</v>
      </c>
      <c r="O31" s="11"/>
      <c r="P31" s="7">
        <v>470.25</v>
      </c>
      <c r="Q31" s="2"/>
      <c r="R31" s="6">
        <f t="shared" si="16"/>
        <v>4.1011800584185958E-3</v>
      </c>
      <c r="S31" s="2"/>
      <c r="T31" s="7">
        <v>735.21</v>
      </c>
      <c r="U31" s="2"/>
      <c r="V31" s="6">
        <f t="shared" si="17"/>
        <v>6.2537527747886E-3</v>
      </c>
      <c r="W31" s="2"/>
      <c r="X31" s="7">
        <f t="shared" si="18"/>
        <v>-264.96000000000004</v>
      </c>
      <c r="Y31" s="2"/>
      <c r="Z31" s="6">
        <f t="shared" si="19"/>
        <v>-0.36038682825315221</v>
      </c>
    </row>
    <row r="32" spans="1:26" s="27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21037.230000000003</v>
      </c>
      <c r="E32" s="1"/>
      <c r="F32" s="5">
        <f t="shared" ref="F32:F38" si="20">IF(D$12=0,0,D32/D$12)</f>
        <v>0.28131472578298772</v>
      </c>
      <c r="G32" s="1"/>
      <c r="H32" s="1">
        <f>SUM(OSRRefH22_1x_0)</f>
        <v>22979.91</v>
      </c>
      <c r="I32" s="1"/>
      <c r="J32" s="5">
        <f t="shared" ref="J32:J38" si="21">IF(H$12=0,0,H32/H$12)</f>
        <v>0.2976684618381838</v>
      </c>
      <c r="K32" s="1"/>
      <c r="L32" s="1">
        <f t="shared" ref="L32:L38" si="22">+D32-H32</f>
        <v>-1942.6799999999967</v>
      </c>
      <c r="M32" s="1"/>
      <c r="N32" s="5">
        <f t="shared" ref="N32:N38" si="23">IF(H32=0,0,L32/H32)</f>
        <v>-8.4538190097350099E-2</v>
      </c>
      <c r="O32" s="14"/>
      <c r="P32" s="1">
        <f>SUM(OSRRefP22_1x_0)</f>
        <v>36779.590000000004</v>
      </c>
      <c r="Q32" s="1"/>
      <c r="R32" s="5">
        <f t="shared" ref="R32:R38" si="24">IF(P$12=0,0,P32/P$12)</f>
        <v>0.32076495707562364</v>
      </c>
      <c r="S32" s="1"/>
      <c r="T32" s="1">
        <f>SUM(OSRRefT22_1x_0)</f>
        <v>41615.979999999996</v>
      </c>
      <c r="U32" s="1"/>
      <c r="V32" s="5">
        <f t="shared" ref="V32:V38" si="25">IF(T$12=0,0,T32/T$12)</f>
        <v>0.35398872485486715</v>
      </c>
      <c r="W32" s="1"/>
      <c r="X32" s="1">
        <f t="shared" ref="X32:X38" si="26">+P32-T32</f>
        <v>-4836.3899999999921</v>
      </c>
      <c r="Y32" s="1"/>
      <c r="Z32" s="5">
        <f t="shared" ref="Z32:Z38" si="27">IF(T32=0,0,X32/T32)</f>
        <v>-0.11621473289827591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3648</v>
      </c>
      <c r="E33" s="2"/>
      <c r="F33" s="6">
        <f t="shared" si="20"/>
        <v>4.8781903304586156E-2</v>
      </c>
      <c r="G33" s="2"/>
      <c r="H33" s="7">
        <v>7747.2</v>
      </c>
      <c r="I33" s="2"/>
      <c r="J33" s="6">
        <f t="shared" si="21"/>
        <v>0.10035274757615577</v>
      </c>
      <c r="K33" s="2"/>
      <c r="L33" s="7">
        <f t="shared" si="22"/>
        <v>-4099.2</v>
      </c>
      <c r="M33" s="2"/>
      <c r="N33" s="6">
        <f t="shared" si="23"/>
        <v>-0.52912019826517964</v>
      </c>
      <c r="O33" s="11"/>
      <c r="P33" s="7">
        <v>7488</v>
      </c>
      <c r="Q33" s="2"/>
      <c r="R33" s="6">
        <f t="shared" si="24"/>
        <v>6.5304914997210944E-2</v>
      </c>
      <c r="S33" s="2"/>
      <c r="T33" s="7">
        <v>17312.009999999998</v>
      </c>
      <c r="U33" s="2"/>
      <c r="V33" s="6">
        <f t="shared" si="25"/>
        <v>0.14725728781527453</v>
      </c>
      <c r="W33" s="2"/>
      <c r="X33" s="7">
        <f t="shared" si="26"/>
        <v>-9824.0099999999984</v>
      </c>
      <c r="Y33" s="2"/>
      <c r="Z33" s="6">
        <f t="shared" si="27"/>
        <v>-0.56746790234062938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1746.62</v>
      </c>
      <c r="E34" s="2"/>
      <c r="F34" s="6">
        <f t="shared" si="20"/>
        <v>2.335620831958779E-2</v>
      </c>
      <c r="G34" s="2"/>
      <c r="H34" s="7">
        <v>1984.75</v>
      </c>
      <c r="I34" s="2"/>
      <c r="J34" s="6">
        <f t="shared" si="21"/>
        <v>2.5709303458252678E-2</v>
      </c>
      <c r="K34" s="2"/>
      <c r="L34" s="7">
        <f t="shared" si="22"/>
        <v>-238.13000000000011</v>
      </c>
      <c r="M34" s="2"/>
      <c r="N34" s="6">
        <f t="shared" si="23"/>
        <v>-0.11997984632825298</v>
      </c>
      <c r="O34" s="11"/>
      <c r="P34" s="7">
        <v>1886.7</v>
      </c>
      <c r="Q34" s="2"/>
      <c r="R34" s="6">
        <f t="shared" si="24"/>
        <v>1.6454431507109759E-2</v>
      </c>
      <c r="S34" s="2"/>
      <c r="T34" s="7">
        <v>2120.75</v>
      </c>
      <c r="U34" s="2"/>
      <c r="V34" s="6">
        <f t="shared" si="25"/>
        <v>1.8039262519733035E-2</v>
      </c>
      <c r="W34" s="2"/>
      <c r="X34" s="7">
        <f t="shared" si="26"/>
        <v>-234.04999999999995</v>
      </c>
      <c r="Y34" s="2"/>
      <c r="Z34" s="6">
        <f t="shared" si="27"/>
        <v>-0.11036190027113048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5504.67</v>
      </c>
      <c r="E35" s="2"/>
      <c r="F35" s="6">
        <f t="shared" si="20"/>
        <v>7.3609725784993488E-2</v>
      </c>
      <c r="G35" s="2"/>
      <c r="H35" s="7">
        <v>3092.08</v>
      </c>
      <c r="I35" s="2"/>
      <c r="J35" s="6">
        <f t="shared" si="21"/>
        <v>4.0053015763795913E-2</v>
      </c>
      <c r="K35" s="2"/>
      <c r="L35" s="7">
        <f t="shared" si="22"/>
        <v>2412.59</v>
      </c>
      <c r="M35" s="2"/>
      <c r="N35" s="6">
        <f t="shared" si="23"/>
        <v>0.78024824713461494</v>
      </c>
      <c r="O35" s="11"/>
      <c r="P35" s="7">
        <v>11700.82</v>
      </c>
      <c r="Q35" s="2"/>
      <c r="R35" s="6">
        <f t="shared" si="24"/>
        <v>0.10204608112949595</v>
      </c>
      <c r="S35" s="2"/>
      <c r="T35" s="7">
        <v>6266.89</v>
      </c>
      <c r="U35" s="2"/>
      <c r="V35" s="6">
        <f t="shared" si="25"/>
        <v>5.3306648068980202E-2</v>
      </c>
      <c r="W35" s="2"/>
      <c r="X35" s="7">
        <f t="shared" si="26"/>
        <v>5433.9299999999994</v>
      </c>
      <c r="Y35" s="2"/>
      <c r="Z35" s="6">
        <f t="shared" si="27"/>
        <v>0.86708558790723933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>
        <v>975</v>
      </c>
      <c r="E36" s="2"/>
      <c r="F36" s="6">
        <f t="shared" si="20"/>
        <v>1.3037926458873765E-2</v>
      </c>
      <c r="G36" s="2"/>
      <c r="H36" s="7"/>
      <c r="I36" s="2"/>
      <c r="J36" s="6">
        <f t="shared" si="21"/>
        <v>0</v>
      </c>
      <c r="K36" s="2"/>
      <c r="L36" s="7">
        <f t="shared" si="22"/>
        <v>975</v>
      </c>
      <c r="M36" s="2"/>
      <c r="N36" s="6">
        <f t="shared" si="23"/>
        <v>0</v>
      </c>
      <c r="O36" s="11"/>
      <c r="P36" s="7">
        <v>1945.13</v>
      </c>
      <c r="Q36" s="2"/>
      <c r="R36" s="6">
        <f t="shared" si="24"/>
        <v>1.6964015666202582E-2</v>
      </c>
      <c r="S36" s="2"/>
      <c r="T36" s="7"/>
      <c r="U36" s="2"/>
      <c r="V36" s="6">
        <f t="shared" si="25"/>
        <v>0</v>
      </c>
      <c r="W36" s="2"/>
      <c r="X36" s="7">
        <f t="shared" si="26"/>
        <v>1945.13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9162.94</v>
      </c>
      <c r="E37" s="2"/>
      <c r="F37" s="6">
        <f t="shared" si="20"/>
        <v>0.12252896191494646</v>
      </c>
      <c r="G37" s="2"/>
      <c r="H37" s="7">
        <v>9682.94</v>
      </c>
      <c r="I37" s="2"/>
      <c r="J37" s="6">
        <f t="shared" si="21"/>
        <v>0.125427203843332</v>
      </c>
      <c r="K37" s="2"/>
      <c r="L37" s="7">
        <f t="shared" si="22"/>
        <v>-520</v>
      </c>
      <c r="M37" s="2"/>
      <c r="N37" s="6">
        <f t="shared" si="23"/>
        <v>-5.3702697734365798E-2</v>
      </c>
      <c r="O37" s="11"/>
      <c r="P37" s="7">
        <v>13758.94</v>
      </c>
      <c r="Q37" s="2"/>
      <c r="R37" s="6">
        <f t="shared" si="24"/>
        <v>0.11999551377560437</v>
      </c>
      <c r="S37" s="2"/>
      <c r="T37" s="7">
        <v>14439.7</v>
      </c>
      <c r="U37" s="2"/>
      <c r="V37" s="6">
        <f t="shared" si="25"/>
        <v>0.1228251981639463</v>
      </c>
      <c r="W37" s="2"/>
      <c r="X37" s="7">
        <f t="shared" si="26"/>
        <v>-680.76000000000022</v>
      </c>
      <c r="Y37" s="2"/>
      <c r="Z37" s="6">
        <f t="shared" si="27"/>
        <v>-4.7145023788582881E-2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472.94</v>
      </c>
      <c r="I38" s="2"/>
      <c r="J38" s="6">
        <f t="shared" si="21"/>
        <v>6.1261911966474479E-3</v>
      </c>
      <c r="K38" s="2"/>
      <c r="L38" s="7">
        <f t="shared" si="22"/>
        <v>-472.94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1476.63</v>
      </c>
      <c r="U38" s="2"/>
      <c r="V38" s="6">
        <f t="shared" si="25"/>
        <v>1.256032828693311E-2</v>
      </c>
      <c r="W38" s="2"/>
      <c r="X38" s="7">
        <f t="shared" si="26"/>
        <v>-1476.63</v>
      </c>
      <c r="Y38" s="2"/>
      <c r="Z38" s="6">
        <f t="shared" si="27"/>
        <v>-1</v>
      </c>
    </row>
    <row r="39" spans="1:26" s="27" customFormat="1" outlineLevel="1" collapsed="1" x14ac:dyDescent="0.25">
      <c r="A39" s="28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1126.9100000000001</v>
      </c>
      <c r="E39" s="1"/>
      <c r="F39" s="5">
        <f t="shared" ref="F39:F47" si="28">IF(D$12=0,0,D39/D$12)</f>
        <v>1.5069302262327628E-2</v>
      </c>
      <c r="G39" s="1"/>
      <c r="H39" s="1">
        <f>SUM(OSRRefH22_2x_0)</f>
        <v>1121.6300000000001</v>
      </c>
      <c r="I39" s="1"/>
      <c r="J39" s="5">
        <f t="shared" ref="J39:J47" si="29">IF(H$12=0,0,H39/H$12)</f>
        <v>1.452894623397403E-2</v>
      </c>
      <c r="K39" s="1"/>
      <c r="L39" s="1">
        <f t="shared" ref="L39:L47" si="30">+D39-H39</f>
        <v>5.2799999999999727</v>
      </c>
      <c r="M39" s="1"/>
      <c r="N39" s="5">
        <f t="shared" ref="N39:N47" si="31">IF(H39=0,0,L39/H39)</f>
        <v>4.707434715547883E-3</v>
      </c>
      <c r="O39" s="14"/>
      <c r="P39" s="1">
        <f>SUM(OSRRefP22_2x_0)</f>
        <v>1436.9</v>
      </c>
      <c r="Q39" s="1"/>
      <c r="R39" s="5">
        <f t="shared" ref="R39:R47" si="32">IF(P$12=0,0,P39/P$12)</f>
        <v>1.2531601543735631E-2</v>
      </c>
      <c r="S39" s="1"/>
      <c r="T39" s="1">
        <f>SUM(OSRRefT22_2x_0)</f>
        <v>1377.22</v>
      </c>
      <c r="U39" s="1"/>
      <c r="V39" s="5">
        <f t="shared" ref="V39:V47" si="33">IF(T$12=0,0,T39/T$12)</f>
        <v>1.1714739185395133E-2</v>
      </c>
      <c r="W39" s="1"/>
      <c r="X39" s="1">
        <f t="shared" ref="X39:X47" si="34">+P39-T39</f>
        <v>59.680000000000064</v>
      </c>
      <c r="Y39" s="1"/>
      <c r="Z39" s="5">
        <f t="shared" ref="Z39:Z47" si="35">IF(T39=0,0,X39/T39)</f>
        <v>4.3333672180189124E-2</v>
      </c>
    </row>
    <row r="40" spans="1:26" s="24" customFormat="1" hidden="1" outlineLevel="2" x14ac:dyDescent="0.25">
      <c r="A40" s="29"/>
      <c r="B40" s="11" t="str">
        <f>CONCATENATE("          ", "6362", " - ", "ADVERTISING EXPENSE")</f>
        <v xml:space="preserve">          6362 - ADVERTISING EXPENSE</v>
      </c>
      <c r="C40" s="11"/>
      <c r="D40" s="7">
        <v>1126.9100000000001</v>
      </c>
      <c r="E40" s="2"/>
      <c r="F40" s="6">
        <f t="shared" si="28"/>
        <v>1.5069302262327628E-2</v>
      </c>
      <c r="G40" s="2"/>
      <c r="H40" s="7">
        <v>1121.6300000000001</v>
      </c>
      <c r="I40" s="2"/>
      <c r="J40" s="6">
        <f t="shared" si="29"/>
        <v>1.452894623397403E-2</v>
      </c>
      <c r="K40" s="2"/>
      <c r="L40" s="7">
        <f t="shared" si="30"/>
        <v>5.2799999999999727</v>
      </c>
      <c r="M40" s="2"/>
      <c r="N40" s="6">
        <f t="shared" si="31"/>
        <v>4.707434715547883E-3</v>
      </c>
      <c r="O40" s="11"/>
      <c r="P40" s="7">
        <v>1436.9</v>
      </c>
      <c r="Q40" s="2"/>
      <c r="R40" s="6">
        <f t="shared" si="32"/>
        <v>1.2531601543735631E-2</v>
      </c>
      <c r="S40" s="2"/>
      <c r="T40" s="7">
        <v>1377.22</v>
      </c>
      <c r="U40" s="2"/>
      <c r="V40" s="6">
        <f t="shared" si="33"/>
        <v>1.1714739185395133E-2</v>
      </c>
      <c r="W40" s="2"/>
      <c r="X40" s="7">
        <f t="shared" si="34"/>
        <v>59.680000000000064</v>
      </c>
      <c r="Y40" s="2"/>
      <c r="Z40" s="6">
        <f t="shared" si="35"/>
        <v>4.3333672180189124E-2</v>
      </c>
    </row>
    <row r="41" spans="1:26" s="27" customFormat="1" outlineLevel="1" collapsed="1" x14ac:dyDescent="0.25">
      <c r="A41" s="28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4</v>
      </c>
      <c r="E41" s="1"/>
      <c r="F41" s="5">
        <f t="shared" si="28"/>
        <v>5.3488929062046222E-5</v>
      </c>
      <c r="G41" s="1"/>
      <c r="H41" s="1">
        <f>SUM(OSRRefH22_3x_0)</f>
        <v>-9.18</v>
      </c>
      <c r="I41" s="1"/>
      <c r="J41" s="5">
        <f t="shared" si="29"/>
        <v>-1.1891240999962694E-4</v>
      </c>
      <c r="K41" s="1"/>
      <c r="L41" s="1">
        <f t="shared" si="30"/>
        <v>13.18</v>
      </c>
      <c r="M41" s="1"/>
      <c r="N41" s="5">
        <f t="shared" si="31"/>
        <v>-1.4357298474945535</v>
      </c>
      <c r="O41" s="14"/>
      <c r="P41" s="1">
        <f>SUM(OSRRefP22_3x_0)</f>
        <v>14.53</v>
      </c>
      <c r="Q41" s="1"/>
      <c r="R41" s="5">
        <f t="shared" si="32"/>
        <v>1.2672014088000466E-4</v>
      </c>
      <c r="S41" s="1"/>
      <c r="T41" s="1">
        <f>SUM(OSRRefT22_3x_0)</f>
        <v>-2.3199999999999998</v>
      </c>
      <c r="U41" s="1"/>
      <c r="V41" s="5">
        <f t="shared" si="33"/>
        <v>-1.9734098335862613E-5</v>
      </c>
      <c r="W41" s="1"/>
      <c r="X41" s="1">
        <f t="shared" si="34"/>
        <v>16.849999999999998</v>
      </c>
      <c r="Y41" s="1"/>
      <c r="Z41" s="5">
        <f t="shared" si="35"/>
        <v>-7.262931034482758</v>
      </c>
    </row>
    <row r="42" spans="1:26" s="24" customFormat="1" hidden="1" outlineLevel="2" x14ac:dyDescent="0.25">
      <c r="A42" s="29"/>
      <c r="B42" s="11" t="str">
        <f>CONCATENATE("          ", "6272", " - ", "CASH (OVER/SHORT)")</f>
        <v xml:space="preserve">          6272 - CASH (OVER/SHORT)</v>
      </c>
      <c r="C42" s="11"/>
      <c r="D42" s="7">
        <v>4</v>
      </c>
      <c r="E42" s="2"/>
      <c r="F42" s="6">
        <f t="shared" si="28"/>
        <v>5.3488929062046222E-5</v>
      </c>
      <c r="G42" s="2"/>
      <c r="H42" s="7">
        <v>-9.18</v>
      </c>
      <c r="I42" s="2"/>
      <c r="J42" s="6">
        <f t="shared" si="29"/>
        <v>-1.1891240999962694E-4</v>
      </c>
      <c r="K42" s="2"/>
      <c r="L42" s="7">
        <f t="shared" si="30"/>
        <v>13.18</v>
      </c>
      <c r="M42" s="2"/>
      <c r="N42" s="6">
        <f t="shared" si="31"/>
        <v>-1.4357298474945535</v>
      </c>
      <c r="O42" s="11"/>
      <c r="P42" s="7">
        <v>14.53</v>
      </c>
      <c r="Q42" s="2"/>
      <c r="R42" s="6">
        <f t="shared" si="32"/>
        <v>1.2672014088000466E-4</v>
      </c>
      <c r="S42" s="2"/>
      <c r="T42" s="7">
        <v>-2.3199999999999998</v>
      </c>
      <c r="U42" s="2"/>
      <c r="V42" s="6">
        <f t="shared" si="33"/>
        <v>-1.9734098335862613E-5</v>
      </c>
      <c r="W42" s="2"/>
      <c r="X42" s="7">
        <f t="shared" si="34"/>
        <v>16.849999999999998</v>
      </c>
      <c r="Y42" s="2"/>
      <c r="Z42" s="6">
        <f t="shared" si="35"/>
        <v>-7.262931034482758</v>
      </c>
    </row>
    <row r="43" spans="1:26" s="27" customFormat="1" outlineLevel="1" collapsed="1" x14ac:dyDescent="0.25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2534.0700000000002</v>
      </c>
      <c r="E43" s="1"/>
      <c r="F43" s="5">
        <f t="shared" si="28"/>
        <v>3.3886172617064871E-2</v>
      </c>
      <c r="G43" s="1"/>
      <c r="H43" s="1">
        <f>SUM(OSRRefH22_4x_0)</f>
        <v>2213.79</v>
      </c>
      <c r="I43" s="1"/>
      <c r="J43" s="5">
        <f t="shared" si="29"/>
        <v>2.8676155134321802E-2</v>
      </c>
      <c r="K43" s="1"/>
      <c r="L43" s="1">
        <f t="shared" si="30"/>
        <v>320.2800000000002</v>
      </c>
      <c r="M43" s="1"/>
      <c r="N43" s="5">
        <f t="shared" si="31"/>
        <v>0.14467496917051761</v>
      </c>
      <c r="O43" s="14"/>
      <c r="P43" s="1">
        <f>SUM(OSRRefP22_4x_0)</f>
        <v>3827.41</v>
      </c>
      <c r="Q43" s="1"/>
      <c r="R43" s="5">
        <f t="shared" si="32"/>
        <v>3.3379899133209816E-2</v>
      </c>
      <c r="S43" s="1"/>
      <c r="T43" s="1">
        <f>SUM(OSRRefT22_4x_0)</f>
        <v>3728.92</v>
      </c>
      <c r="U43" s="1"/>
      <c r="V43" s="5">
        <f t="shared" si="33"/>
        <v>3.1718480158002077E-2</v>
      </c>
      <c r="W43" s="1"/>
      <c r="X43" s="1">
        <f t="shared" si="34"/>
        <v>98.489999999999782</v>
      </c>
      <c r="Y43" s="1"/>
      <c r="Z43" s="5">
        <f t="shared" si="35"/>
        <v>2.641247331667072E-2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7">
        <v>2534.0700000000002</v>
      </c>
      <c r="E44" s="2"/>
      <c r="F44" s="6">
        <f t="shared" si="28"/>
        <v>3.3886172617064871E-2</v>
      </c>
      <c r="G44" s="2"/>
      <c r="H44" s="7">
        <v>2213.79</v>
      </c>
      <c r="I44" s="2"/>
      <c r="J44" s="6">
        <f t="shared" si="29"/>
        <v>2.8676155134321802E-2</v>
      </c>
      <c r="K44" s="2"/>
      <c r="L44" s="7">
        <f t="shared" si="30"/>
        <v>320.2800000000002</v>
      </c>
      <c r="M44" s="2"/>
      <c r="N44" s="6">
        <f t="shared" si="31"/>
        <v>0.14467496917051761</v>
      </c>
      <c r="O44" s="11"/>
      <c r="P44" s="7">
        <v>3827.41</v>
      </c>
      <c r="Q44" s="2"/>
      <c r="R44" s="6">
        <f t="shared" si="32"/>
        <v>3.3379899133209816E-2</v>
      </c>
      <c r="S44" s="2"/>
      <c r="T44" s="7">
        <v>3728.92</v>
      </c>
      <c r="U44" s="2"/>
      <c r="V44" s="6">
        <f t="shared" si="33"/>
        <v>3.1718480158002077E-2</v>
      </c>
      <c r="W44" s="2"/>
      <c r="X44" s="7">
        <f t="shared" si="34"/>
        <v>98.489999999999782</v>
      </c>
      <c r="Y44" s="2"/>
      <c r="Z44" s="6">
        <f t="shared" si="35"/>
        <v>2.641247331667072E-2</v>
      </c>
    </row>
    <row r="45" spans="1:26" s="27" customFormat="1" outlineLevel="1" collapsed="1" x14ac:dyDescent="0.25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8263.4700000000012</v>
      </c>
      <c r="E45" s="1"/>
      <c r="F45" s="5">
        <f t="shared" si="28"/>
        <v>0.11050104015908678</v>
      </c>
      <c r="G45" s="1"/>
      <c r="H45" s="1">
        <f>SUM(OSRRefH22_5x_0)</f>
        <v>8410.08</v>
      </c>
      <c r="I45" s="1"/>
      <c r="J45" s="5">
        <f t="shared" si="29"/>
        <v>0.10893931166554059</v>
      </c>
      <c r="K45" s="1"/>
      <c r="L45" s="1">
        <f t="shared" si="30"/>
        <v>-146.60999999999876</v>
      </c>
      <c r="M45" s="1"/>
      <c r="N45" s="5">
        <f t="shared" si="31"/>
        <v>-1.7432652245876229E-2</v>
      </c>
      <c r="O45" s="14"/>
      <c r="P45" s="1">
        <f>SUM(OSRRefP22_5x_0)</f>
        <v>16526.940000000002</v>
      </c>
      <c r="Q45" s="1"/>
      <c r="R45" s="5">
        <f t="shared" si="32"/>
        <v>0.14413600585790673</v>
      </c>
      <c r="S45" s="1"/>
      <c r="T45" s="1">
        <f>SUM(OSRRefT22_5x_0)</f>
        <v>16820.16</v>
      </c>
      <c r="U45" s="1"/>
      <c r="V45" s="5">
        <f t="shared" si="33"/>
        <v>0.14307357390730296</v>
      </c>
      <c r="W45" s="1"/>
      <c r="X45" s="1">
        <f t="shared" si="34"/>
        <v>-293.21999999999753</v>
      </c>
      <c r="Y45" s="1"/>
      <c r="Z45" s="5">
        <f t="shared" si="35"/>
        <v>-1.7432652245876229E-2</v>
      </c>
    </row>
    <row r="46" spans="1:26" s="24" customFormat="1" hidden="1" outlineLevel="2" x14ac:dyDescent="0.25">
      <c r="A46" s="29"/>
      <c r="B46" s="11" t="str">
        <f>CONCATENATE("          ", "6321", " - ", "BUILDING DEPRECIATION")</f>
        <v xml:space="preserve">          6321 - BUILDING DEPRECIATION</v>
      </c>
      <c r="C46" s="11"/>
      <c r="D46" s="7">
        <v>6537.05</v>
      </c>
      <c r="E46" s="2"/>
      <c r="F46" s="6">
        <f t="shared" si="28"/>
        <v>8.7414950931262309E-2</v>
      </c>
      <c r="G46" s="2"/>
      <c r="H46" s="7">
        <v>6537.05</v>
      </c>
      <c r="I46" s="2"/>
      <c r="J46" s="6">
        <f t="shared" si="29"/>
        <v>8.4677164464930441E-2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13074.1</v>
      </c>
      <c r="Q46" s="2"/>
      <c r="R46" s="6">
        <f t="shared" si="32"/>
        <v>0.11402283509148445</v>
      </c>
      <c r="S46" s="2"/>
      <c r="T46" s="7">
        <v>13074.1</v>
      </c>
      <c r="U46" s="2"/>
      <c r="V46" s="6">
        <f t="shared" si="33"/>
        <v>0.11120929959176784</v>
      </c>
      <c r="W46" s="2"/>
      <c r="X46" s="7">
        <f t="shared" si="34"/>
        <v>0</v>
      </c>
      <c r="Y46" s="2"/>
      <c r="Z46" s="6">
        <f t="shared" si="35"/>
        <v>0</v>
      </c>
    </row>
    <row r="47" spans="1:26" s="24" customFormat="1" hidden="1" outlineLevel="2" x14ac:dyDescent="0.25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1726.42</v>
      </c>
      <c r="E47" s="2"/>
      <c r="F47" s="6">
        <f t="shared" si="28"/>
        <v>2.3086089227824461E-2</v>
      </c>
      <c r="G47" s="2"/>
      <c r="H47" s="7">
        <v>1873.03</v>
      </c>
      <c r="I47" s="2"/>
      <c r="J47" s="6">
        <f t="shared" si="29"/>
        <v>2.4262147200610158E-2</v>
      </c>
      <c r="K47" s="2"/>
      <c r="L47" s="7">
        <f t="shared" si="30"/>
        <v>-146.6099999999999</v>
      </c>
      <c r="M47" s="2"/>
      <c r="N47" s="6">
        <f t="shared" si="31"/>
        <v>-7.827424013496842E-2</v>
      </c>
      <c r="O47" s="11"/>
      <c r="P47" s="7">
        <v>3452.84</v>
      </c>
      <c r="Q47" s="2"/>
      <c r="R47" s="6">
        <f t="shared" si="32"/>
        <v>3.0113170766422254E-2</v>
      </c>
      <c r="S47" s="2"/>
      <c r="T47" s="7">
        <v>3746.06</v>
      </c>
      <c r="U47" s="2"/>
      <c r="V47" s="6">
        <f t="shared" si="33"/>
        <v>3.1864274315535131E-2</v>
      </c>
      <c r="W47" s="2"/>
      <c r="X47" s="7">
        <f t="shared" si="34"/>
        <v>-293.2199999999998</v>
      </c>
      <c r="Y47" s="2"/>
      <c r="Z47" s="6">
        <f t="shared" si="35"/>
        <v>-7.827424013496842E-2</v>
      </c>
    </row>
    <row r="48" spans="1:26" s="27" customFormat="1" outlineLevel="1" collapsed="1" x14ac:dyDescent="0.25">
      <c r="A48" s="28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SUM(OSRRefD22_6x_0)</f>
        <v>8.25</v>
      </c>
      <c r="E48" s="1"/>
      <c r="F48" s="5">
        <f t="shared" ref="F48:F54" si="36">IF(D$12=0,0,D48/D$12)</f>
        <v>1.1032091619047033E-4</v>
      </c>
      <c r="G48" s="1"/>
      <c r="H48" s="1">
        <f>SUM(OSRRefH22_6x_0)</f>
        <v>0</v>
      </c>
      <c r="I48" s="1"/>
      <c r="J48" s="5">
        <f t="shared" ref="J48:J54" si="37">IF(H$12=0,0,H48/H$12)</f>
        <v>0</v>
      </c>
      <c r="K48" s="1"/>
      <c r="L48" s="1">
        <f t="shared" ref="L48:L54" si="38">+D48-H48</f>
        <v>8.25</v>
      </c>
      <c r="M48" s="1"/>
      <c r="N48" s="5">
        <f t="shared" ref="N48:N54" si="39">IF(H48=0,0,L48/H48)</f>
        <v>0</v>
      </c>
      <c r="O48" s="14"/>
      <c r="P48" s="1">
        <f>SUM(OSRRefP22_6x_0)</f>
        <v>8.25</v>
      </c>
      <c r="Q48" s="1"/>
      <c r="R48" s="5">
        <f t="shared" ref="R48:R54" si="40">IF(P$12=0,0,P48/P$12)</f>
        <v>7.1950527340677121E-5</v>
      </c>
      <c r="S48" s="1"/>
      <c r="T48" s="1">
        <f>SUM(OSRRefT22_6x_0)</f>
        <v>0</v>
      </c>
      <c r="U48" s="1"/>
      <c r="V48" s="5">
        <f t="shared" ref="V48:V54" si="41">IF(T$12=0,0,T48/T$12)</f>
        <v>0</v>
      </c>
      <c r="W48" s="1"/>
      <c r="X48" s="1">
        <f t="shared" ref="X48:X54" si="42">+P48-T48</f>
        <v>8.25</v>
      </c>
      <c r="Y48" s="1"/>
      <c r="Z48" s="5">
        <f t="shared" ref="Z48:Z54" si="43">IF(T48=0,0,X48/T48)</f>
        <v>0</v>
      </c>
    </row>
    <row r="49" spans="1:26" s="24" customFormat="1" hidden="1" outlineLevel="2" x14ac:dyDescent="0.25">
      <c r="A49" s="29"/>
      <c r="B49" s="11" t="str">
        <f>CONCATENATE("          ", "6277", " - ", "EMPLOYEE APPRECIATION")</f>
        <v xml:space="preserve">          6277 - EMPLOYEE APPRECIATION</v>
      </c>
      <c r="C49" s="11"/>
      <c r="D49" s="7">
        <v>8.25</v>
      </c>
      <c r="E49" s="2"/>
      <c r="F49" s="6">
        <f t="shared" si="36"/>
        <v>1.1032091619047033E-4</v>
      </c>
      <c r="G49" s="2"/>
      <c r="H49" s="7"/>
      <c r="I49" s="2"/>
      <c r="J49" s="6">
        <f t="shared" si="37"/>
        <v>0</v>
      </c>
      <c r="K49" s="2"/>
      <c r="L49" s="7">
        <f t="shared" si="38"/>
        <v>8.25</v>
      </c>
      <c r="M49" s="2"/>
      <c r="N49" s="6">
        <f t="shared" si="39"/>
        <v>0</v>
      </c>
      <c r="O49" s="11"/>
      <c r="P49" s="7">
        <v>8.25</v>
      </c>
      <c r="Q49" s="2"/>
      <c r="R49" s="6">
        <f t="shared" si="40"/>
        <v>7.1950527340677121E-5</v>
      </c>
      <c r="S49" s="2"/>
      <c r="T49" s="7"/>
      <c r="U49" s="2"/>
      <c r="V49" s="6">
        <f t="shared" si="41"/>
        <v>0</v>
      </c>
      <c r="W49" s="2"/>
      <c r="X49" s="7">
        <f t="shared" si="42"/>
        <v>8.25</v>
      </c>
      <c r="Y49" s="2"/>
      <c r="Z49" s="6">
        <f t="shared" si="43"/>
        <v>0</v>
      </c>
    </row>
    <row r="50" spans="1:26" s="27" customFormat="1" outlineLevel="1" collapsed="1" x14ac:dyDescent="0.25">
      <c r="A50" s="28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453.29</v>
      </c>
      <c r="E50" s="1"/>
      <c r="F50" s="5">
        <f t="shared" si="36"/>
        <v>6.061499163633733E-3</v>
      </c>
      <c r="G50" s="1"/>
      <c r="H50" s="1">
        <f>SUM(OSRRefH22_7x_0)</f>
        <v>0</v>
      </c>
      <c r="I50" s="1"/>
      <c r="J50" s="5">
        <f t="shared" si="37"/>
        <v>0</v>
      </c>
      <c r="K50" s="1"/>
      <c r="L50" s="1">
        <f t="shared" si="38"/>
        <v>453.29</v>
      </c>
      <c r="M50" s="1"/>
      <c r="N50" s="5">
        <f t="shared" si="39"/>
        <v>0</v>
      </c>
      <c r="O50" s="14"/>
      <c r="P50" s="1">
        <f>SUM(OSRRefP22_7x_0)</f>
        <v>453.29</v>
      </c>
      <c r="Q50" s="1"/>
      <c r="R50" s="5">
        <f t="shared" si="40"/>
        <v>3.9532672167582458E-3</v>
      </c>
      <c r="S50" s="1"/>
      <c r="T50" s="1">
        <f>SUM(OSRRefT22_7x_0)</f>
        <v>0</v>
      </c>
      <c r="U50" s="1"/>
      <c r="V50" s="5">
        <f t="shared" si="41"/>
        <v>0</v>
      </c>
      <c r="W50" s="1"/>
      <c r="X50" s="1">
        <f t="shared" si="42"/>
        <v>453.29</v>
      </c>
      <c r="Y50" s="1"/>
      <c r="Z50" s="5">
        <f t="shared" si="43"/>
        <v>0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7">
        <v>453.29</v>
      </c>
      <c r="E51" s="2"/>
      <c r="F51" s="6">
        <f t="shared" si="36"/>
        <v>6.061499163633733E-3</v>
      </c>
      <c r="G51" s="2"/>
      <c r="H51" s="7"/>
      <c r="I51" s="2"/>
      <c r="J51" s="6">
        <f t="shared" si="37"/>
        <v>0</v>
      </c>
      <c r="K51" s="2"/>
      <c r="L51" s="7">
        <f t="shared" si="38"/>
        <v>453.29</v>
      </c>
      <c r="M51" s="2"/>
      <c r="N51" s="6">
        <f t="shared" si="39"/>
        <v>0</v>
      </c>
      <c r="O51" s="11"/>
      <c r="P51" s="7">
        <v>453.29</v>
      </c>
      <c r="Q51" s="2"/>
      <c r="R51" s="6">
        <f t="shared" si="40"/>
        <v>3.9532672167582458E-3</v>
      </c>
      <c r="S51" s="2"/>
      <c r="T51" s="7"/>
      <c r="U51" s="2"/>
      <c r="V51" s="6">
        <f t="shared" si="41"/>
        <v>0</v>
      </c>
      <c r="W51" s="2"/>
      <c r="X51" s="7">
        <f t="shared" si="42"/>
        <v>453.29</v>
      </c>
      <c r="Y51" s="2"/>
      <c r="Z51" s="6">
        <f t="shared" si="43"/>
        <v>0</v>
      </c>
    </row>
    <row r="52" spans="1:26" s="27" customFormat="1" outlineLevel="1" collapsed="1" x14ac:dyDescent="0.25">
      <c r="A52" s="28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SUM(OSRRefD22_8x_0)</f>
        <v>2600</v>
      </c>
      <c r="E52" s="1"/>
      <c r="F52" s="5">
        <f t="shared" si="36"/>
        <v>3.4767803890330046E-2</v>
      </c>
      <c r="G52" s="1"/>
      <c r="H52" s="1">
        <f>SUM(OSRRefH22_8x_0)</f>
        <v>1567</v>
      </c>
      <c r="I52" s="1"/>
      <c r="J52" s="5">
        <f t="shared" si="37"/>
        <v>2.0298011597975538E-2</v>
      </c>
      <c r="K52" s="1"/>
      <c r="L52" s="1">
        <f t="shared" si="38"/>
        <v>1033</v>
      </c>
      <c r="M52" s="1"/>
      <c r="N52" s="5">
        <f t="shared" si="39"/>
        <v>0.65922144224633061</v>
      </c>
      <c r="O52" s="14"/>
      <c r="P52" s="1">
        <f>SUM(OSRRefP22_8x_0)</f>
        <v>3839.55</v>
      </c>
      <c r="Q52" s="1"/>
      <c r="R52" s="5">
        <f t="shared" si="40"/>
        <v>3.3485775424351133E-2</v>
      </c>
      <c r="S52" s="1"/>
      <c r="T52" s="1">
        <f>SUM(OSRRefT22_8x_0)</f>
        <v>2761.2</v>
      </c>
      <c r="U52" s="1"/>
      <c r="V52" s="5">
        <f t="shared" si="41"/>
        <v>2.3486979450424071E-2</v>
      </c>
      <c r="W52" s="1"/>
      <c r="X52" s="1">
        <f t="shared" si="42"/>
        <v>1078.3500000000004</v>
      </c>
      <c r="Y52" s="1"/>
      <c r="Z52" s="5">
        <f t="shared" si="43"/>
        <v>0.39053672316384197</v>
      </c>
    </row>
    <row r="53" spans="1:26" s="24" customFormat="1" hidden="1" outlineLevel="2" x14ac:dyDescent="0.25">
      <c r="A53" s="29"/>
      <c r="B53" s="11" t="str">
        <f>CONCATENATE("          ", "6269", " - ", "ENTERTAINMENT")</f>
        <v xml:space="preserve">          6269 - ENTERTAINMENT</v>
      </c>
      <c r="C53" s="11"/>
      <c r="D53" s="7">
        <v>2600</v>
      </c>
      <c r="E53" s="2"/>
      <c r="F53" s="6">
        <f t="shared" si="36"/>
        <v>3.4767803890330046E-2</v>
      </c>
      <c r="G53" s="2"/>
      <c r="H53" s="7">
        <v>1550</v>
      </c>
      <c r="I53" s="2"/>
      <c r="J53" s="6">
        <f t="shared" si="37"/>
        <v>2.0077803431309563E-2</v>
      </c>
      <c r="K53" s="2"/>
      <c r="L53" s="7">
        <f t="shared" si="38"/>
        <v>1050</v>
      </c>
      <c r="M53" s="2"/>
      <c r="N53" s="6">
        <f t="shared" si="39"/>
        <v>0.67741935483870963</v>
      </c>
      <c r="O53" s="11"/>
      <c r="P53" s="7">
        <v>2600</v>
      </c>
      <c r="Q53" s="2"/>
      <c r="R53" s="6">
        <f t="shared" si="40"/>
        <v>2.267531770736491E-2</v>
      </c>
      <c r="S53" s="2"/>
      <c r="T53" s="7">
        <v>1550</v>
      </c>
      <c r="U53" s="2"/>
      <c r="V53" s="6">
        <f t="shared" si="41"/>
        <v>1.3184419146804764E-2</v>
      </c>
      <c r="W53" s="2"/>
      <c r="X53" s="7">
        <f t="shared" si="42"/>
        <v>1050</v>
      </c>
      <c r="Y53" s="2"/>
      <c r="Z53" s="6">
        <f t="shared" si="43"/>
        <v>0.67741935483870963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6"/>
        <v>0</v>
      </c>
      <c r="G54" s="2"/>
      <c r="H54" s="7">
        <v>17</v>
      </c>
      <c r="I54" s="2"/>
      <c r="J54" s="6">
        <f t="shared" si="37"/>
        <v>2.2020816666597584E-4</v>
      </c>
      <c r="K54" s="2"/>
      <c r="L54" s="7">
        <f t="shared" si="38"/>
        <v>-17</v>
      </c>
      <c r="M54" s="2"/>
      <c r="N54" s="6">
        <f t="shared" si="39"/>
        <v>-1</v>
      </c>
      <c r="O54" s="11"/>
      <c r="P54" s="7">
        <v>1239.55</v>
      </c>
      <c r="Q54" s="2"/>
      <c r="R54" s="6">
        <f t="shared" si="40"/>
        <v>1.0810457716986219E-2</v>
      </c>
      <c r="S54" s="2"/>
      <c r="T54" s="7">
        <v>1211.2</v>
      </c>
      <c r="U54" s="2"/>
      <c r="V54" s="6">
        <f t="shared" si="41"/>
        <v>1.0302560303619309E-2</v>
      </c>
      <c r="W54" s="2"/>
      <c r="X54" s="7">
        <f t="shared" si="42"/>
        <v>28.349999999999909</v>
      </c>
      <c r="Y54" s="2"/>
      <c r="Z54" s="6">
        <f t="shared" si="43"/>
        <v>2.3406538969616832E-2</v>
      </c>
    </row>
    <row r="55" spans="1:26" s="27" customFormat="1" outlineLevel="1" collapsed="1" x14ac:dyDescent="0.25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380</v>
      </c>
      <c r="E55" s="1"/>
      <c r="F55" s="5">
        <f t="shared" ref="F55:F60" si="44">IF(D$12=0,0,D55/D$12)</f>
        <v>5.0814482608943909E-3</v>
      </c>
      <c r="G55" s="1"/>
      <c r="H55" s="1">
        <f>SUM(OSRRefH22_9x_0)</f>
        <v>1886.86</v>
      </c>
      <c r="I55" s="1"/>
      <c r="J55" s="5">
        <f t="shared" ref="J55:J60" si="45">IF(H$12=0,0,H55/H$12)</f>
        <v>2.4441293020903716E-2</v>
      </c>
      <c r="K55" s="1"/>
      <c r="L55" s="1">
        <f t="shared" ref="L55:L60" si="46">+D55-H55</f>
        <v>-1506.86</v>
      </c>
      <c r="M55" s="1"/>
      <c r="N55" s="5">
        <f t="shared" ref="N55:N60" si="47">IF(H55=0,0,L55/H55)</f>
        <v>-0.79860720986188694</v>
      </c>
      <c r="O55" s="14"/>
      <c r="P55" s="1">
        <f>SUM(OSRRefP22_9x_0)</f>
        <v>3745.21</v>
      </c>
      <c r="Q55" s="1"/>
      <c r="R55" s="5">
        <f t="shared" ref="R55:R60" si="48">IF(P$12=0,0,P55/P$12)</f>
        <v>3.2663010242615434E-2</v>
      </c>
      <c r="S55" s="1"/>
      <c r="T55" s="1">
        <f>SUM(OSRRefT22_9x_0)</f>
        <v>2120.59</v>
      </c>
      <c r="U55" s="1"/>
      <c r="V55" s="5">
        <f t="shared" ref="V55:V60" si="49">IF(T$12=0,0,T55/T$12)</f>
        <v>1.803790154743401E-2</v>
      </c>
      <c r="W55" s="1"/>
      <c r="X55" s="1">
        <f t="shared" ref="X55:X60" si="50">+P55-T55</f>
        <v>1624.62</v>
      </c>
      <c r="Y55" s="1"/>
      <c r="Z55" s="5">
        <f t="shared" ref="Z55:Z60" si="51">IF(T55=0,0,X55/T55)</f>
        <v>0.76611697687907598</v>
      </c>
    </row>
    <row r="56" spans="1:26" s="24" customFormat="1" hidden="1" outlineLevel="2" x14ac:dyDescent="0.25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7">
        <v>380</v>
      </c>
      <c r="E56" s="2"/>
      <c r="F56" s="6">
        <f t="shared" si="44"/>
        <v>5.0814482608943909E-3</v>
      </c>
      <c r="G56" s="2"/>
      <c r="H56" s="7">
        <v>1886.86</v>
      </c>
      <c r="I56" s="2"/>
      <c r="J56" s="6">
        <f t="shared" si="45"/>
        <v>2.4441293020903716E-2</v>
      </c>
      <c r="K56" s="2"/>
      <c r="L56" s="7">
        <f t="shared" si="46"/>
        <v>-1506.86</v>
      </c>
      <c r="M56" s="2"/>
      <c r="N56" s="6">
        <f t="shared" si="47"/>
        <v>-0.79860720986188694</v>
      </c>
      <c r="O56" s="11"/>
      <c r="P56" s="7">
        <v>3745.21</v>
      </c>
      <c r="Q56" s="2"/>
      <c r="R56" s="6">
        <f t="shared" si="48"/>
        <v>3.2663010242615434E-2</v>
      </c>
      <c r="S56" s="2"/>
      <c r="T56" s="7">
        <v>2120.59</v>
      </c>
      <c r="U56" s="2"/>
      <c r="V56" s="6">
        <f t="shared" si="49"/>
        <v>1.803790154743401E-2</v>
      </c>
      <c r="W56" s="2"/>
      <c r="X56" s="7">
        <f t="shared" si="50"/>
        <v>1624.62</v>
      </c>
      <c r="Y56" s="2"/>
      <c r="Z56" s="6">
        <f t="shared" si="51"/>
        <v>0.76611697687907598</v>
      </c>
    </row>
    <row r="57" spans="1:26" s="27" customFormat="1" outlineLevel="1" collapsed="1" x14ac:dyDescent="0.25">
      <c r="A57" s="28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SUM(OSRRefD22_10x_0)</f>
        <v>573.35</v>
      </c>
      <c r="E57" s="1"/>
      <c r="F57" s="5">
        <f t="shared" si="44"/>
        <v>7.66696936943105E-3</v>
      </c>
      <c r="G57" s="1"/>
      <c r="H57" s="1">
        <f>SUM(OSRRefH22_10x_0)</f>
        <v>181.13</v>
      </c>
      <c r="I57" s="1"/>
      <c r="J57" s="5">
        <f t="shared" si="45"/>
        <v>2.3462532487181294E-3</v>
      </c>
      <c r="K57" s="1"/>
      <c r="L57" s="1">
        <f t="shared" si="46"/>
        <v>392.22</v>
      </c>
      <c r="M57" s="1"/>
      <c r="N57" s="5">
        <f t="shared" si="47"/>
        <v>2.1654060619444602</v>
      </c>
      <c r="O57" s="14"/>
      <c r="P57" s="1">
        <f>SUM(OSRRefP22_10x_0)</f>
        <v>823</v>
      </c>
      <c r="Q57" s="1"/>
      <c r="R57" s="5">
        <f t="shared" si="48"/>
        <v>7.1776101819851232E-3</v>
      </c>
      <c r="S57" s="1"/>
      <c r="T57" s="1">
        <f>SUM(OSRRefT22_10x_0)</f>
        <v>299.49</v>
      </c>
      <c r="U57" s="1"/>
      <c r="V57" s="5">
        <f t="shared" si="49"/>
        <v>2.5474849614687475E-3</v>
      </c>
      <c r="W57" s="1"/>
      <c r="X57" s="1">
        <f t="shared" si="50"/>
        <v>523.51</v>
      </c>
      <c r="Y57" s="1"/>
      <c r="Z57" s="5">
        <f t="shared" si="51"/>
        <v>1.7480049417342816</v>
      </c>
    </row>
    <row r="58" spans="1:26" s="24" customFormat="1" hidden="1" outlineLevel="2" x14ac:dyDescent="0.25">
      <c r="A58" s="29"/>
      <c r="B58" s="11" t="str">
        <f>CONCATENATE("          ", "6283", " - ", "PLANT SERVICE")</f>
        <v xml:space="preserve">          6283 - PLANT SERVICE</v>
      </c>
      <c r="C58" s="11"/>
      <c r="D58" s="7">
        <v>39.75</v>
      </c>
      <c r="E58" s="2"/>
      <c r="F58" s="6">
        <f t="shared" si="44"/>
        <v>5.3154623255408432E-4</v>
      </c>
      <c r="G58" s="2"/>
      <c r="H58" s="7">
        <v>30</v>
      </c>
      <c r="I58" s="2"/>
      <c r="J58" s="6">
        <f t="shared" si="45"/>
        <v>3.8860264705760443E-4</v>
      </c>
      <c r="K58" s="2"/>
      <c r="L58" s="7">
        <f t="shared" si="46"/>
        <v>9.75</v>
      </c>
      <c r="M58" s="2"/>
      <c r="N58" s="6">
        <f t="shared" si="47"/>
        <v>0.32500000000000001</v>
      </c>
      <c r="O58" s="11"/>
      <c r="P58" s="7">
        <v>79.5</v>
      </c>
      <c r="Q58" s="2"/>
      <c r="R58" s="6">
        <f t="shared" si="48"/>
        <v>6.9334144528288857E-4</v>
      </c>
      <c r="S58" s="2"/>
      <c r="T58" s="7">
        <v>60</v>
      </c>
      <c r="U58" s="2"/>
      <c r="V58" s="6">
        <f t="shared" si="49"/>
        <v>5.1036461213437793E-4</v>
      </c>
      <c r="W58" s="2"/>
      <c r="X58" s="7">
        <f t="shared" si="50"/>
        <v>19.5</v>
      </c>
      <c r="Y58" s="2"/>
      <c r="Z58" s="6">
        <f t="shared" si="51"/>
        <v>0.32500000000000001</v>
      </c>
    </row>
    <row r="59" spans="1:26" s="24" customFormat="1" hidden="1" outlineLevel="2" x14ac:dyDescent="0.25">
      <c r="A59" s="29"/>
      <c r="B59" s="11" t="str">
        <f>CONCATENATE("          ", "6285", " - ", "JANITORIAL SERVICES")</f>
        <v xml:space="preserve">          6285 - JANITORIAL SERVICES</v>
      </c>
      <c r="C59" s="11"/>
      <c r="D59" s="7">
        <v>350</v>
      </c>
      <c r="E59" s="2"/>
      <c r="F59" s="6">
        <f t="shared" si="44"/>
        <v>4.6802812929290444E-3</v>
      </c>
      <c r="G59" s="2"/>
      <c r="H59" s="7"/>
      <c r="I59" s="2"/>
      <c r="J59" s="6">
        <f t="shared" si="45"/>
        <v>0</v>
      </c>
      <c r="K59" s="2"/>
      <c r="L59" s="7">
        <f t="shared" si="46"/>
        <v>350</v>
      </c>
      <c r="M59" s="2"/>
      <c r="N59" s="6">
        <f t="shared" si="47"/>
        <v>0</v>
      </c>
      <c r="O59" s="11"/>
      <c r="P59" s="7">
        <v>350</v>
      </c>
      <c r="Q59" s="2"/>
      <c r="R59" s="6">
        <f t="shared" si="48"/>
        <v>3.0524466144529684E-3</v>
      </c>
      <c r="S59" s="2"/>
      <c r="T59" s="7"/>
      <c r="U59" s="2"/>
      <c r="V59" s="6">
        <f t="shared" si="49"/>
        <v>0</v>
      </c>
      <c r="W59" s="2"/>
      <c r="X59" s="7">
        <f t="shared" si="50"/>
        <v>350</v>
      </c>
      <c r="Y59" s="2"/>
      <c r="Z59" s="6">
        <f t="shared" si="51"/>
        <v>0</v>
      </c>
    </row>
    <row r="60" spans="1:26" s="24" customFormat="1" hidden="1" outlineLevel="2" x14ac:dyDescent="0.25">
      <c r="A60" s="29"/>
      <c r="B60" s="11" t="str">
        <f>CONCATENATE("          ", "6286", " - ", "LAUNDRY EXPENSE")</f>
        <v xml:space="preserve">          6286 - LAUNDRY EXPENSE</v>
      </c>
      <c r="C60" s="11"/>
      <c r="D60" s="7">
        <v>183.6</v>
      </c>
      <c r="E60" s="2"/>
      <c r="F60" s="6">
        <f t="shared" si="44"/>
        <v>2.4551418439479216E-3</v>
      </c>
      <c r="G60" s="2"/>
      <c r="H60" s="7">
        <v>151.13</v>
      </c>
      <c r="I60" s="2"/>
      <c r="J60" s="6">
        <f t="shared" si="45"/>
        <v>1.9576506016605252E-3</v>
      </c>
      <c r="K60" s="2"/>
      <c r="L60" s="7">
        <f t="shared" si="46"/>
        <v>32.47</v>
      </c>
      <c r="M60" s="2"/>
      <c r="N60" s="6">
        <f t="shared" si="47"/>
        <v>0.21484814398200225</v>
      </c>
      <c r="O60" s="11"/>
      <c r="P60" s="7">
        <v>393.5</v>
      </c>
      <c r="Q60" s="2"/>
      <c r="R60" s="6">
        <f t="shared" si="48"/>
        <v>3.431822122249266E-3</v>
      </c>
      <c r="S60" s="2"/>
      <c r="T60" s="7">
        <v>239.49</v>
      </c>
      <c r="U60" s="2"/>
      <c r="V60" s="6">
        <f t="shared" si="49"/>
        <v>2.0371203493343695E-3</v>
      </c>
      <c r="W60" s="2"/>
      <c r="X60" s="7">
        <f t="shared" si="50"/>
        <v>154.01</v>
      </c>
      <c r="Y60" s="2"/>
      <c r="Z60" s="6">
        <f t="shared" si="51"/>
        <v>0.64307486742661479</v>
      </c>
    </row>
    <row r="61" spans="1:26" s="27" customFormat="1" outlineLevel="1" collapsed="1" x14ac:dyDescent="0.25">
      <c r="A61" s="28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SUM(OSRRefD22_11x_0)</f>
        <v>196.71</v>
      </c>
      <c r="E61" s="1"/>
      <c r="F61" s="5">
        <f t="shared" ref="F61:F68" si="52">IF(D$12=0,0,D61/D$12)</f>
        <v>2.630451808948778E-3</v>
      </c>
      <c r="G61" s="1"/>
      <c r="H61" s="1">
        <f>SUM(OSRRefH22_11x_0)</f>
        <v>-32.04</v>
      </c>
      <c r="I61" s="1"/>
      <c r="J61" s="5">
        <f t="shared" ref="J61:J68" si="53">IF(H$12=0,0,H61/H$12)</f>
        <v>-4.1502762705752152E-4</v>
      </c>
      <c r="K61" s="1"/>
      <c r="L61" s="1">
        <f t="shared" ref="L61:L68" si="54">+D61-H61</f>
        <v>228.75</v>
      </c>
      <c r="M61" s="1"/>
      <c r="N61" s="5">
        <f t="shared" ref="N61:N68" si="55">IF(H61=0,0,L61/H61)</f>
        <v>-7.1395131086142323</v>
      </c>
      <c r="O61" s="14"/>
      <c r="P61" s="1">
        <f>SUM(OSRRefP22_11x_0)</f>
        <v>393.42</v>
      </c>
      <c r="Q61" s="1"/>
      <c r="R61" s="5">
        <f t="shared" ref="R61:R68" si="56">IF(P$12=0,0,P61/P$12)</f>
        <v>3.4311244201659626E-3</v>
      </c>
      <c r="S61" s="1"/>
      <c r="T61" s="1">
        <f>SUM(OSRRefT22_11x_0)</f>
        <v>-32.04</v>
      </c>
      <c r="U61" s="1"/>
      <c r="V61" s="5">
        <f t="shared" ref="V61:V68" si="57">IF(T$12=0,0,T61/T$12)</f>
        <v>-2.7253470287975782E-4</v>
      </c>
      <c r="W61" s="1"/>
      <c r="X61" s="1">
        <f t="shared" ref="X61:X68" si="58">+P61-T61</f>
        <v>425.46000000000004</v>
      </c>
      <c r="Y61" s="1"/>
      <c r="Z61" s="5">
        <f t="shared" ref="Z61:Z68" si="59">IF(T61=0,0,X61/T61)</f>
        <v>-13.279026217228466</v>
      </c>
    </row>
    <row r="62" spans="1:26" s="24" customFormat="1" hidden="1" outlineLevel="2" x14ac:dyDescent="0.25">
      <c r="A62" s="29"/>
      <c r="B62" s="11" t="str">
        <f>CONCATENATE("          ", "6275", " - ", "SUBSCRIPTIONS")</f>
        <v xml:space="preserve">          6275 - SUBSCRIPTIONS</v>
      </c>
      <c r="C62" s="11"/>
      <c r="D62" s="7">
        <v>196.71</v>
      </c>
      <c r="E62" s="2"/>
      <c r="F62" s="6">
        <f t="shared" si="52"/>
        <v>2.630451808948778E-3</v>
      </c>
      <c r="G62" s="2"/>
      <c r="H62" s="7">
        <v>-32.04</v>
      </c>
      <c r="I62" s="2"/>
      <c r="J62" s="6">
        <f t="shared" si="53"/>
        <v>-4.1502762705752152E-4</v>
      </c>
      <c r="K62" s="2"/>
      <c r="L62" s="7">
        <f t="shared" si="54"/>
        <v>228.75</v>
      </c>
      <c r="M62" s="2"/>
      <c r="N62" s="6">
        <f t="shared" si="55"/>
        <v>-7.1395131086142323</v>
      </c>
      <c r="O62" s="11"/>
      <c r="P62" s="7">
        <v>393.42</v>
      </c>
      <c r="Q62" s="2"/>
      <c r="R62" s="6">
        <f t="shared" si="56"/>
        <v>3.4311244201659626E-3</v>
      </c>
      <c r="S62" s="2"/>
      <c r="T62" s="7">
        <v>-32.04</v>
      </c>
      <c r="U62" s="2"/>
      <c r="V62" s="6">
        <f t="shared" si="57"/>
        <v>-2.7253470287975782E-4</v>
      </c>
      <c r="W62" s="2"/>
      <c r="X62" s="7">
        <f t="shared" si="58"/>
        <v>425.46000000000004</v>
      </c>
      <c r="Y62" s="2"/>
      <c r="Z62" s="6">
        <f t="shared" si="59"/>
        <v>-13.279026217228466</v>
      </c>
    </row>
    <row r="63" spans="1:26" s="27" customFormat="1" outlineLevel="1" collapsed="1" x14ac:dyDescent="0.25">
      <c r="A63" s="28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SUM(OSRRefD22_12x_0)</f>
        <v>2640.5600000000004</v>
      </c>
      <c r="E63" s="1"/>
      <c r="F63" s="5">
        <f t="shared" si="52"/>
        <v>3.5310181631019198E-2</v>
      </c>
      <c r="G63" s="1"/>
      <c r="H63" s="1">
        <f>SUM(OSRRefH22_12x_0)</f>
        <v>1781.23</v>
      </c>
      <c r="I63" s="1"/>
      <c r="J63" s="5">
        <f t="shared" si="53"/>
        <v>2.307302310061389E-2</v>
      </c>
      <c r="K63" s="1"/>
      <c r="L63" s="1">
        <f t="shared" si="54"/>
        <v>859.33000000000038</v>
      </c>
      <c r="M63" s="1"/>
      <c r="N63" s="5">
        <f t="shared" si="55"/>
        <v>0.48243629402154714</v>
      </c>
      <c r="O63" s="14"/>
      <c r="P63" s="1">
        <f>SUM(OSRRefP22_12x_0)</f>
        <v>3257.4399999999996</v>
      </c>
      <c r="Q63" s="1"/>
      <c r="R63" s="5">
        <f t="shared" si="56"/>
        <v>2.840903342795336E-2</v>
      </c>
      <c r="S63" s="1"/>
      <c r="T63" s="1">
        <f>SUM(OSRRefT22_12x_0)</f>
        <v>4934.96</v>
      </c>
      <c r="U63" s="1"/>
      <c r="V63" s="5">
        <f t="shared" si="57"/>
        <v>4.197714910497783E-2</v>
      </c>
      <c r="W63" s="1"/>
      <c r="X63" s="1">
        <f t="shared" si="58"/>
        <v>-1677.5200000000004</v>
      </c>
      <c r="Y63" s="1"/>
      <c r="Z63" s="5">
        <f t="shared" si="59"/>
        <v>-0.33992575421077381</v>
      </c>
    </row>
    <row r="64" spans="1:26" s="24" customFormat="1" hidden="1" outlineLevel="2" x14ac:dyDescent="0.25">
      <c r="A64" s="29"/>
      <c r="B64" s="11" t="str">
        <f>CONCATENATE("          ", "6237", " - ", "JANITORIAL SUPPLIES")</f>
        <v xml:space="preserve">          6237 - JANITORIAL SUPPLIES</v>
      </c>
      <c r="C64" s="11"/>
      <c r="D64" s="7"/>
      <c r="E64" s="2"/>
      <c r="F64" s="6">
        <f t="shared" si="52"/>
        <v>0</v>
      </c>
      <c r="G64" s="2"/>
      <c r="H64" s="7"/>
      <c r="I64" s="2"/>
      <c r="J64" s="6">
        <f t="shared" si="53"/>
        <v>0</v>
      </c>
      <c r="K64" s="2"/>
      <c r="L64" s="7">
        <f t="shared" si="54"/>
        <v>0</v>
      </c>
      <c r="M64" s="2"/>
      <c r="N64" s="6">
        <f t="shared" si="55"/>
        <v>0</v>
      </c>
      <c r="O64" s="11"/>
      <c r="P64" s="7"/>
      <c r="Q64" s="2"/>
      <c r="R64" s="6">
        <f t="shared" si="56"/>
        <v>0</v>
      </c>
      <c r="S64" s="2"/>
      <c r="T64" s="7">
        <v>1830.04</v>
      </c>
      <c r="U64" s="2"/>
      <c r="V64" s="6">
        <f t="shared" si="57"/>
        <v>1.5566460913173282E-2</v>
      </c>
      <c r="W64" s="2"/>
      <c r="X64" s="7">
        <f t="shared" si="58"/>
        <v>-1830.04</v>
      </c>
      <c r="Y64" s="2"/>
      <c r="Z64" s="6">
        <f t="shared" si="59"/>
        <v>-1</v>
      </c>
    </row>
    <row r="65" spans="1:26" s="24" customFormat="1" hidden="1" outlineLevel="2" x14ac:dyDescent="0.25">
      <c r="A65" s="29"/>
      <c r="B65" s="11" t="str">
        <f>CONCATENATE("          ", "6241", " - ", "OFFICE EXPENSE")</f>
        <v xml:space="preserve">          6241 - OFFICE EXPENSE</v>
      </c>
      <c r="C65" s="11"/>
      <c r="D65" s="7">
        <v>1065.17</v>
      </c>
      <c r="E65" s="2"/>
      <c r="F65" s="6">
        <f t="shared" si="52"/>
        <v>1.4243700642254943E-2</v>
      </c>
      <c r="G65" s="2"/>
      <c r="H65" s="7">
        <v>183.28</v>
      </c>
      <c r="I65" s="2"/>
      <c r="J65" s="6">
        <f t="shared" si="53"/>
        <v>2.3741031050905914E-3</v>
      </c>
      <c r="K65" s="2"/>
      <c r="L65" s="7">
        <f t="shared" si="54"/>
        <v>881.8900000000001</v>
      </c>
      <c r="M65" s="2"/>
      <c r="N65" s="6">
        <f t="shared" si="55"/>
        <v>4.8117088607594942</v>
      </c>
      <c r="O65" s="11"/>
      <c r="P65" s="7">
        <v>1403.59</v>
      </c>
      <c r="Q65" s="2"/>
      <c r="R65" s="6">
        <f t="shared" si="56"/>
        <v>1.224109583880012E-2</v>
      </c>
      <c r="S65" s="2"/>
      <c r="T65" s="7">
        <v>351.81</v>
      </c>
      <c r="U65" s="2"/>
      <c r="V65" s="6">
        <f t="shared" si="57"/>
        <v>2.992522903249925E-3</v>
      </c>
      <c r="W65" s="2"/>
      <c r="X65" s="7">
        <f t="shared" si="58"/>
        <v>1051.78</v>
      </c>
      <c r="Y65" s="2"/>
      <c r="Z65" s="6">
        <f t="shared" si="59"/>
        <v>2.9896250817202468</v>
      </c>
    </row>
    <row r="66" spans="1:26" s="24" customFormat="1" hidden="1" outlineLevel="2" x14ac:dyDescent="0.25">
      <c r="A66" s="29"/>
      <c r="B66" s="11" t="str">
        <f>CONCATENATE("          ", "6243", " - ", "PAPER SUPPLIES")</f>
        <v xml:space="preserve">          6243 - PAPER SUPPLIES</v>
      </c>
      <c r="C66" s="11"/>
      <c r="D66" s="7">
        <v>281.95</v>
      </c>
      <c r="E66" s="2"/>
      <c r="F66" s="6">
        <f t="shared" si="52"/>
        <v>3.7703008872609829E-3</v>
      </c>
      <c r="G66" s="2"/>
      <c r="H66" s="7">
        <v>640.35</v>
      </c>
      <c r="I66" s="2"/>
      <c r="J66" s="6">
        <f t="shared" si="53"/>
        <v>8.2947235014445668E-3</v>
      </c>
      <c r="K66" s="2"/>
      <c r="L66" s="7">
        <f t="shared" si="54"/>
        <v>-358.40000000000003</v>
      </c>
      <c r="M66" s="2"/>
      <c r="N66" s="6">
        <f t="shared" si="55"/>
        <v>-0.55969391738892793</v>
      </c>
      <c r="O66" s="11"/>
      <c r="P66" s="7">
        <v>560.41</v>
      </c>
      <c r="Q66" s="2"/>
      <c r="R66" s="6">
        <f t="shared" si="56"/>
        <v>4.8874903063016797E-3</v>
      </c>
      <c r="S66" s="2"/>
      <c r="T66" s="7">
        <v>1050.18</v>
      </c>
      <c r="U66" s="2"/>
      <c r="V66" s="6">
        <f t="shared" si="57"/>
        <v>8.9329118061880174E-3</v>
      </c>
      <c r="W66" s="2"/>
      <c r="X66" s="7">
        <f t="shared" si="58"/>
        <v>-489.7700000000001</v>
      </c>
      <c r="Y66" s="2"/>
      <c r="Z66" s="6">
        <f t="shared" si="59"/>
        <v>-0.46636767030413839</v>
      </c>
    </row>
    <row r="67" spans="1:26" s="24" customFormat="1" hidden="1" outlineLevel="2" x14ac:dyDescent="0.25">
      <c r="A67" s="29"/>
      <c r="B67" s="11" t="str">
        <f>CONCATENATE("          ", "6247", " - ", "STORE SUPPLIES")</f>
        <v xml:space="preserve">          6247 - STORE SUPPLIES</v>
      </c>
      <c r="C67" s="11"/>
      <c r="D67" s="7">
        <v>513.20000000000005</v>
      </c>
      <c r="E67" s="2"/>
      <c r="F67" s="6">
        <f t="shared" si="52"/>
        <v>6.8626295986605303E-3</v>
      </c>
      <c r="G67" s="2"/>
      <c r="H67" s="7">
        <v>957.6</v>
      </c>
      <c r="I67" s="2"/>
      <c r="J67" s="6">
        <f t="shared" si="53"/>
        <v>1.2404196494078734E-2</v>
      </c>
      <c r="K67" s="2"/>
      <c r="L67" s="7">
        <f t="shared" si="54"/>
        <v>-444.4</v>
      </c>
      <c r="M67" s="2"/>
      <c r="N67" s="6">
        <f t="shared" si="55"/>
        <v>-0.46407685881370087</v>
      </c>
      <c r="O67" s="11"/>
      <c r="P67" s="7">
        <v>513.20000000000005</v>
      </c>
      <c r="Q67" s="2"/>
      <c r="R67" s="6">
        <f t="shared" si="56"/>
        <v>4.4757588643921818E-3</v>
      </c>
      <c r="S67" s="2"/>
      <c r="T67" s="7">
        <v>957.6</v>
      </c>
      <c r="U67" s="2"/>
      <c r="V67" s="6">
        <f t="shared" si="57"/>
        <v>8.145419209664672E-3</v>
      </c>
      <c r="W67" s="2"/>
      <c r="X67" s="7">
        <f t="shared" si="58"/>
        <v>-444.4</v>
      </c>
      <c r="Y67" s="2"/>
      <c r="Z67" s="6">
        <f t="shared" si="59"/>
        <v>-0.46407685881370087</v>
      </c>
    </row>
    <row r="68" spans="1:26" s="24" customFormat="1" hidden="1" outlineLevel="2" x14ac:dyDescent="0.25">
      <c r="A68" s="29"/>
      <c r="B68" s="11" t="str">
        <f>CONCATENATE("          ", "6248", " - ", "UNIFORMS")</f>
        <v xml:space="preserve">          6248 - UNIFORMS</v>
      </c>
      <c r="C68" s="11"/>
      <c r="D68" s="7">
        <v>780.24</v>
      </c>
      <c r="E68" s="2"/>
      <c r="F68" s="6">
        <f t="shared" si="52"/>
        <v>1.0433550502842736E-2</v>
      </c>
      <c r="G68" s="2"/>
      <c r="H68" s="7"/>
      <c r="I68" s="2"/>
      <c r="J68" s="6">
        <f t="shared" si="53"/>
        <v>0</v>
      </c>
      <c r="K68" s="2"/>
      <c r="L68" s="7">
        <f t="shared" si="54"/>
        <v>780.24</v>
      </c>
      <c r="M68" s="2"/>
      <c r="N68" s="6">
        <f t="shared" si="55"/>
        <v>0</v>
      </c>
      <c r="O68" s="11"/>
      <c r="P68" s="7">
        <v>780.24</v>
      </c>
      <c r="Q68" s="2"/>
      <c r="R68" s="6">
        <f t="shared" si="56"/>
        <v>6.8046884184593832E-3</v>
      </c>
      <c r="S68" s="2"/>
      <c r="T68" s="7">
        <v>745.33</v>
      </c>
      <c r="U68" s="2"/>
      <c r="V68" s="6">
        <f t="shared" si="57"/>
        <v>6.3398342727019321E-3</v>
      </c>
      <c r="W68" s="2"/>
      <c r="X68" s="7">
        <f t="shared" si="58"/>
        <v>34.909999999999968</v>
      </c>
      <c r="Y68" s="2"/>
      <c r="Z68" s="6">
        <f t="shared" si="59"/>
        <v>4.683831323038113E-2</v>
      </c>
    </row>
    <row r="69" spans="1:26" s="27" customFormat="1" outlineLevel="1" collapsed="1" x14ac:dyDescent="0.25">
      <c r="A69" s="28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SUM(OSRRefD22_13x_0)</f>
        <v>108.7</v>
      </c>
      <c r="E69" s="1"/>
      <c r="F69" s="5">
        <f t="shared" ref="F69:F72" si="60">IF(D$12=0,0,D69/D$12)</f>
        <v>1.4535616472611062E-3</v>
      </c>
      <c r="G69" s="1"/>
      <c r="H69" s="1">
        <f>SUM(OSRRefH22_13x_0)</f>
        <v>159.15</v>
      </c>
      <c r="I69" s="1"/>
      <c r="J69" s="5">
        <f t="shared" ref="J69:J72" si="61">IF(H$12=0,0,H69/H$12)</f>
        <v>2.0615370426405916E-3</v>
      </c>
      <c r="K69" s="1"/>
      <c r="L69" s="1">
        <f t="shared" ref="L69:L72" si="62">+D69-H69</f>
        <v>-50.45</v>
      </c>
      <c r="M69" s="1"/>
      <c r="N69" s="5">
        <f t="shared" ref="N69:N72" si="63">IF(H69=0,0,L69/H69)</f>
        <v>-0.31699654414074774</v>
      </c>
      <c r="O69" s="14"/>
      <c r="P69" s="1">
        <f>SUM(OSRRefP22_13x_0)</f>
        <v>221.9</v>
      </c>
      <c r="Q69" s="1"/>
      <c r="R69" s="5">
        <f t="shared" ref="R69:R72" si="64">IF(P$12=0,0,P69/P$12)</f>
        <v>1.9352511535631822E-3</v>
      </c>
      <c r="S69" s="1"/>
      <c r="T69" s="1">
        <f>SUM(OSRRefT22_13x_0)</f>
        <v>318.45</v>
      </c>
      <c r="U69" s="1"/>
      <c r="V69" s="5">
        <f t="shared" ref="V69:V72" si="65">IF(T$12=0,0,T69/T$12)</f>
        <v>2.708760178903211E-3</v>
      </c>
      <c r="W69" s="1"/>
      <c r="X69" s="1">
        <f t="shared" ref="X69:X72" si="66">+P69-T69</f>
        <v>-96.549999999999983</v>
      </c>
      <c r="Y69" s="1"/>
      <c r="Z69" s="5">
        <f t="shared" ref="Z69:Z72" si="67">IF(T69=0,0,X69/T69)</f>
        <v>-0.30318731355000783</v>
      </c>
    </row>
    <row r="70" spans="1:26" s="24" customFormat="1" hidden="1" outlineLevel="2" x14ac:dyDescent="0.25">
      <c r="A70" s="29"/>
      <c r="B70" s="11" t="str">
        <f>CONCATENATE("          ", "6309", " - ", "TELEPHONE")</f>
        <v xml:space="preserve">          6309 - TELEPHONE</v>
      </c>
      <c r="C70" s="11"/>
      <c r="D70" s="7">
        <v>108.7</v>
      </c>
      <c r="E70" s="2"/>
      <c r="F70" s="6">
        <f t="shared" si="60"/>
        <v>1.4535616472611062E-3</v>
      </c>
      <c r="G70" s="2"/>
      <c r="H70" s="7">
        <v>159.15</v>
      </c>
      <c r="I70" s="2"/>
      <c r="J70" s="6">
        <f t="shared" si="61"/>
        <v>2.0615370426405916E-3</v>
      </c>
      <c r="K70" s="2"/>
      <c r="L70" s="7">
        <f t="shared" si="62"/>
        <v>-50.45</v>
      </c>
      <c r="M70" s="2"/>
      <c r="N70" s="6">
        <f t="shared" si="63"/>
        <v>-0.31699654414074774</v>
      </c>
      <c r="O70" s="11"/>
      <c r="P70" s="7">
        <v>221.9</v>
      </c>
      <c r="Q70" s="2"/>
      <c r="R70" s="6">
        <f t="shared" si="64"/>
        <v>1.9352511535631822E-3</v>
      </c>
      <c r="S70" s="2"/>
      <c r="T70" s="7">
        <v>318.45</v>
      </c>
      <c r="U70" s="2"/>
      <c r="V70" s="6">
        <f t="shared" si="65"/>
        <v>2.708760178903211E-3</v>
      </c>
      <c r="W70" s="2"/>
      <c r="X70" s="7">
        <f t="shared" si="66"/>
        <v>-96.549999999999983</v>
      </c>
      <c r="Y70" s="2"/>
      <c r="Z70" s="6">
        <f t="shared" si="67"/>
        <v>-0.30318731355000783</v>
      </c>
    </row>
    <row r="71" spans="1:26" s="27" customFormat="1" outlineLevel="1" collapsed="1" x14ac:dyDescent="0.25">
      <c r="A71" s="28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SUM(OSRRefD22_14x_0)</f>
        <v>0</v>
      </c>
      <c r="E71" s="1"/>
      <c r="F71" s="5">
        <f t="shared" si="60"/>
        <v>0</v>
      </c>
      <c r="G71" s="1"/>
      <c r="H71" s="1">
        <f>SUM(OSRRefH22_14x_0)</f>
        <v>0</v>
      </c>
      <c r="I71" s="1"/>
      <c r="J71" s="5">
        <f t="shared" si="61"/>
        <v>0</v>
      </c>
      <c r="K71" s="1"/>
      <c r="L71" s="1">
        <f t="shared" si="62"/>
        <v>0</v>
      </c>
      <c r="M71" s="1"/>
      <c r="N71" s="5">
        <f t="shared" si="63"/>
        <v>0</v>
      </c>
      <c r="O71" s="14"/>
      <c r="P71" s="1">
        <f>SUM(OSRRefP22_14x_0)</f>
        <v>85</v>
      </c>
      <c r="Q71" s="1"/>
      <c r="R71" s="5">
        <f t="shared" si="64"/>
        <v>7.4130846351000662E-4</v>
      </c>
      <c r="S71" s="1"/>
      <c r="T71" s="1">
        <f>SUM(OSRRefT22_14x_0)</f>
        <v>0</v>
      </c>
      <c r="U71" s="1"/>
      <c r="V71" s="5">
        <f t="shared" si="65"/>
        <v>0</v>
      </c>
      <c r="W71" s="1"/>
      <c r="X71" s="1">
        <f t="shared" si="66"/>
        <v>85</v>
      </c>
      <c r="Y71" s="1"/>
      <c r="Z71" s="5">
        <f t="shared" si="67"/>
        <v>0</v>
      </c>
    </row>
    <row r="72" spans="1:26" s="24" customFormat="1" hidden="1" outlineLevel="2" x14ac:dyDescent="0.25">
      <c r="A72" s="29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60"/>
        <v>0</v>
      </c>
      <c r="G72" s="2"/>
      <c r="H72" s="7"/>
      <c r="I72" s="2"/>
      <c r="J72" s="6">
        <f t="shared" si="61"/>
        <v>0</v>
      </c>
      <c r="K72" s="2"/>
      <c r="L72" s="7">
        <f t="shared" si="62"/>
        <v>0</v>
      </c>
      <c r="M72" s="2"/>
      <c r="N72" s="6">
        <f t="shared" si="63"/>
        <v>0</v>
      </c>
      <c r="O72" s="11"/>
      <c r="P72" s="7">
        <v>85</v>
      </c>
      <c r="Q72" s="2"/>
      <c r="R72" s="6">
        <f t="shared" si="64"/>
        <v>7.4130846351000662E-4</v>
      </c>
      <c r="S72" s="2"/>
      <c r="T72" s="7"/>
      <c r="U72" s="2"/>
      <c r="V72" s="6">
        <f t="shared" si="65"/>
        <v>0</v>
      </c>
      <c r="W72" s="2"/>
      <c r="X72" s="7">
        <f t="shared" si="66"/>
        <v>85</v>
      </c>
      <c r="Y72" s="2"/>
      <c r="Z72" s="6">
        <f t="shared" si="67"/>
        <v>0</v>
      </c>
    </row>
    <row r="73" spans="1:26" s="62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5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6" t="s">
        <v>3</v>
      </c>
      <c r="C76" s="26"/>
      <c r="D76" s="20">
        <f>+D20-D22+D74</f>
        <v>6623.9000000000087</v>
      </c>
      <c r="E76" s="13"/>
      <c r="F76" s="19">
        <f>IF(D$12=0,0,D76/D$12)</f>
        <v>8.8576329303522106E-2</v>
      </c>
      <c r="G76" s="13"/>
      <c r="H76" s="20">
        <f>+H20-H22+H74</f>
        <v>4047.3199999999924</v>
      </c>
      <c r="I76" s="13"/>
      <c r="J76" s="19">
        <f>IF(H$12=0,0,H76/H$12)</f>
        <v>5.2426642182972688E-2</v>
      </c>
      <c r="K76" s="15"/>
      <c r="L76" s="20">
        <f>+D76-H76</f>
        <v>2576.5800000000163</v>
      </c>
      <c r="M76" s="15"/>
      <c r="N76" s="19">
        <f>IF(H76=0,0,L76/H76)</f>
        <v>0.63661385805916537</v>
      </c>
      <c r="O76" s="25"/>
      <c r="P76" s="20">
        <f>+P20-P22+P74</f>
        <v>-6275.1900000000023</v>
      </c>
      <c r="Q76" s="13"/>
      <c r="R76" s="19">
        <f>IF(P$12=0,0,P76/P$12)</f>
        <v>-5.4727664201568944E-2</v>
      </c>
      <c r="S76" s="13"/>
      <c r="T76" s="20">
        <f>+T20-T22+T74</f>
        <v>-8351.9299999999785</v>
      </c>
      <c r="U76" s="13"/>
      <c r="V76" s="19">
        <f>IF(T$12=0,0,T76/T$12)</f>
        <v>-7.1042158583724396E-2</v>
      </c>
      <c r="W76" s="15"/>
      <c r="X76" s="20">
        <f>+P76-T76</f>
        <v>2076.7399999999761</v>
      </c>
      <c r="Y76" s="15"/>
      <c r="Z76" s="19">
        <f>IF(T76=0,0,X76/T76)</f>
        <v>-0.24865390394794754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13</v>
      </c>
      <c r="C78" s="10"/>
      <c r="D78" s="4">
        <v>6003.98</v>
      </c>
      <c r="E78" s="4"/>
      <c r="F78" s="12">
        <f>IF(D$12=0,0,D78/D$12)</f>
        <v>8.0286615077486065E-2</v>
      </c>
      <c r="G78" s="4"/>
      <c r="H78" s="4">
        <v>3716.01</v>
      </c>
      <c r="I78" s="4"/>
      <c r="J78" s="12">
        <f>IF(H$12=0,0,H78/H$12)</f>
        <v>4.8135044083084291E-2</v>
      </c>
      <c r="K78" s="4"/>
      <c r="L78" s="4">
        <f>+D78-H78</f>
        <v>2287.9699999999993</v>
      </c>
      <c r="M78" s="4"/>
      <c r="N78" s="12">
        <f>IF(H78=0,0,L78/H78)</f>
        <v>0.61570609336358062</v>
      </c>
      <c r="O78" s="10"/>
      <c r="P78" s="4">
        <v>14296.27</v>
      </c>
      <c r="Q78" s="4"/>
      <c r="R78" s="12">
        <f>IF(P$12=0,0,P78/P$12)</f>
        <v>0.12468171703087298</v>
      </c>
      <c r="S78" s="4"/>
      <c r="T78" s="4">
        <v>12002.63</v>
      </c>
      <c r="U78" s="4"/>
      <c r="V78" s="12">
        <f>IF(T$12=0,0,T78/T$12)</f>
        <v>0.1020952934090408</v>
      </c>
      <c r="W78" s="4"/>
      <c r="X78" s="4">
        <f>+P78-T78</f>
        <v>2293.6400000000012</v>
      </c>
      <c r="Y78" s="4"/>
      <c r="Z78" s="12">
        <f>IF(T78=0,0,X78/T78)</f>
        <v>0.19109478505960789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4</v>
      </c>
      <c r="C80" s="26"/>
      <c r="D80" s="31">
        <f>+D76-D78</f>
        <v>619.92000000000917</v>
      </c>
      <c r="E80" s="13"/>
      <c r="F80" s="36">
        <f>IF(D$12=0,0,D80/D$12)</f>
        <v>8.2897142260360459E-3</v>
      </c>
      <c r="G80" s="13"/>
      <c r="H80" s="31">
        <f>+H76-H78</f>
        <v>331.30999999999221</v>
      </c>
      <c r="I80" s="13"/>
      <c r="J80" s="36">
        <f>IF(H$12=0,0,H80/H$12)</f>
        <v>4.2915980998883968E-3</v>
      </c>
      <c r="K80" s="15"/>
      <c r="L80" s="31">
        <f>D80-H80</f>
        <v>288.61000000001695</v>
      </c>
      <c r="M80" s="15"/>
      <c r="N80" s="36">
        <f>IF(H80=0,0,L80/H80)</f>
        <v>0.87111768434403958</v>
      </c>
      <c r="O80" s="25"/>
      <c r="P80" s="31">
        <f>+P76-P78</f>
        <v>-20571.460000000003</v>
      </c>
      <c r="Q80" s="13"/>
      <c r="R80" s="36">
        <f>IF(P$12=0,0,P80/P$12)</f>
        <v>-0.17940938123244193</v>
      </c>
      <c r="S80" s="13"/>
      <c r="T80" s="31">
        <f>+T76-T78</f>
        <v>-20354.559999999976</v>
      </c>
      <c r="U80" s="13"/>
      <c r="V80" s="36">
        <f>IF(T$12=0,0,T80/T$12)</f>
        <v>-0.1731374519927652</v>
      </c>
      <c r="W80" s="15"/>
      <c r="X80" s="31">
        <f>P80-T80</f>
        <v>-216.90000000002692</v>
      </c>
      <c r="Y80" s="15"/>
      <c r="Z80" s="36">
        <f>IF(T80=0,0,X80/T80)</f>
        <v>1.0656088856748914E-2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5</v>
      </c>
      <c r="C83" s="26"/>
      <c r="D83" s="32">
        <f>SUM(D80:D82)</f>
        <v>619.92000000000917</v>
      </c>
      <c r="E83" s="13"/>
      <c r="F83" s="30">
        <f>IF(D$12=0,0,D83/D$12)</f>
        <v>8.2897142260360459E-3</v>
      </c>
      <c r="G83" s="13"/>
      <c r="H83" s="32">
        <f>SUM(H80:H82)</f>
        <v>331.30999999999221</v>
      </c>
      <c r="I83" s="13"/>
      <c r="J83" s="30">
        <f>IF(H$12=0,0,H83/H$12)</f>
        <v>4.2915980998883968E-3</v>
      </c>
      <c r="K83" s="15"/>
      <c r="L83" s="32">
        <f>+D83-H83</f>
        <v>288.61000000001695</v>
      </c>
      <c r="M83" s="15"/>
      <c r="N83" s="30">
        <f>IF(H83=0,0,L83/H83)</f>
        <v>0.87111768434403958</v>
      </c>
      <c r="O83" s="25"/>
      <c r="P83" s="32">
        <f>SUM(P80:P82)</f>
        <v>-20571.460000000003</v>
      </c>
      <c r="Q83" s="13"/>
      <c r="R83" s="30">
        <f>IF(P$12=0,0,P83/P$12)</f>
        <v>-0.17940938123244193</v>
      </c>
      <c r="S83" s="13"/>
      <c r="T83" s="32">
        <f>SUM(T80:T82)</f>
        <v>-20354.559999999976</v>
      </c>
      <c r="U83" s="13"/>
      <c r="V83" s="30">
        <f>IF(T$12=0,0,T83/T$12)</f>
        <v>-0.1731374519927652</v>
      </c>
      <c r="W83" s="15"/>
      <c r="X83" s="32">
        <f>+P83-T83</f>
        <v>-216.90000000002692</v>
      </c>
      <c r="Y83" s="15"/>
      <c r="Z83" s="30">
        <f>IF(T83=0,0,X83/T83)</f>
        <v>1.0656088856748914E-2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7">
        <v>43732.710111493056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0" t="s">
        <v>313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6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","420", " - ", "Catering")</f>
        <v>Department 420 - Catering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SUM(0)</f>
        <v>0</v>
      </c>
      <c r="E18" s="22"/>
      <c r="F18" s="33">
        <f>IF(D$12=0,0,D18/D$12)</f>
        <v>0</v>
      </c>
      <c r="G18" s="22"/>
      <c r="H18" s="22">
        <f>SUM(0)</f>
        <v>0</v>
      </c>
      <c r="I18" s="22"/>
      <c r="J18" s="33">
        <f>IF(H$12=0,0,H18/H$12)</f>
        <v>0</v>
      </c>
      <c r="K18" s="4"/>
      <c r="L18" s="22">
        <f>+D18-H18</f>
        <v>0</v>
      </c>
      <c r="M18" s="4"/>
      <c r="N18" s="33">
        <f>IF(H18=0,0,L18/H18)</f>
        <v>0</v>
      </c>
      <c r="O18" s="10"/>
      <c r="P18" s="22">
        <f>SUM(0)</f>
        <v>0</v>
      </c>
      <c r="Q18" s="22"/>
      <c r="R18" s="33">
        <f>IF(P$12=0,0,P18/P$12)</f>
        <v>0</v>
      </c>
      <c r="S18" s="22"/>
      <c r="T18" s="22">
        <f>SUM(0)</f>
        <v>0</v>
      </c>
      <c r="U18" s="22"/>
      <c r="V18" s="33">
        <f>IF(T$12=0,0,T18/T$12)</f>
        <v>0</v>
      </c>
      <c r="W18" s="4"/>
      <c r="X18" s="22">
        <f>+P18-T18</f>
        <v>0</v>
      </c>
      <c r="Y18" s="4"/>
      <c r="Z18" s="33">
        <f>IF(T18=0,0,X18/T18)</f>
        <v>0</v>
      </c>
    </row>
    <row r="19" spans="1:26" s="6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0">
        <f>+D16-D18+D20</f>
        <v>0</v>
      </c>
      <c r="E22" s="13"/>
      <c r="F22" s="19">
        <f>IF(D$12=0,0,D22/D$12)</f>
        <v>0</v>
      </c>
      <c r="G22" s="13"/>
      <c r="H22" s="20">
        <f>+H16-H18+H20</f>
        <v>0</v>
      </c>
      <c r="I22" s="13"/>
      <c r="J22" s="19">
        <f>IF(H$12=0,0,H22/H$12)</f>
        <v>0</v>
      </c>
      <c r="K22" s="15"/>
      <c r="L22" s="20">
        <f>+D22-H22</f>
        <v>0</v>
      </c>
      <c r="M22" s="15"/>
      <c r="N22" s="19">
        <f>IF(H22=0,0,L22/H22)</f>
        <v>0</v>
      </c>
      <c r="O22" s="25"/>
      <c r="P22" s="20">
        <f>+P16-P18+P20</f>
        <v>0</v>
      </c>
      <c r="Q22" s="13"/>
      <c r="R22" s="19">
        <f>IF(P$12=0,0,P22/P$12)</f>
        <v>0</v>
      </c>
      <c r="S22" s="13"/>
      <c r="T22" s="20">
        <f>+T16-T18+T20</f>
        <v>0</v>
      </c>
      <c r="U22" s="13"/>
      <c r="V22" s="19">
        <f>IF(T$12=0,0,T22/T$12)</f>
        <v>0</v>
      </c>
      <c r="W22" s="15"/>
      <c r="X22" s="20">
        <f>+P22-T22</f>
        <v>0</v>
      </c>
      <c r="Y22" s="15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1">
        <f>+D22-D24</f>
        <v>0</v>
      </c>
      <c r="E26" s="13"/>
      <c r="F26" s="36">
        <f>IF(D$12=0,0,D26/D$12)</f>
        <v>0</v>
      </c>
      <c r="G26" s="13"/>
      <c r="H26" s="31">
        <f>+H22-H24</f>
        <v>0</v>
      </c>
      <c r="I26" s="13"/>
      <c r="J26" s="36">
        <f>IF(H$12=0,0,H26/H$12)</f>
        <v>0</v>
      </c>
      <c r="K26" s="15"/>
      <c r="L26" s="31">
        <f>D26-H26</f>
        <v>0</v>
      </c>
      <c r="M26" s="15"/>
      <c r="N26" s="36">
        <f>IF(H26=0,0,L26/H26)</f>
        <v>0</v>
      </c>
      <c r="O26" s="25"/>
      <c r="P26" s="31">
        <f>+P22-P24</f>
        <v>0</v>
      </c>
      <c r="Q26" s="13"/>
      <c r="R26" s="36">
        <f>IF(P$12=0,0,P26/P$12)</f>
        <v>0</v>
      </c>
      <c r="S26" s="13"/>
      <c r="T26" s="31">
        <f>+T22-T24</f>
        <v>0</v>
      </c>
      <c r="U26" s="13"/>
      <c r="V26" s="36">
        <f>IF(T$12=0,0,T26/T$12)</f>
        <v>0</v>
      </c>
      <c r="W26" s="15"/>
      <c r="X26" s="31">
        <f>P26-T26</f>
        <v>0</v>
      </c>
      <c r="Y26" s="15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6" t="s">
        <v>5</v>
      </c>
      <c r="C29" s="26"/>
      <c r="D29" s="32">
        <f>SUM(D26:D28)</f>
        <v>0</v>
      </c>
      <c r="E29" s="13"/>
      <c r="F29" s="30">
        <f>IF(D$12=0,0,D29/D$12)</f>
        <v>0</v>
      </c>
      <c r="G29" s="13"/>
      <c r="H29" s="32">
        <f>SUM(H26:H28)</f>
        <v>0</v>
      </c>
      <c r="I29" s="13"/>
      <c r="J29" s="30">
        <f>IF(H$12=0,0,H29/H$12)</f>
        <v>0</v>
      </c>
      <c r="K29" s="15"/>
      <c r="L29" s="32">
        <f>+D29-H29</f>
        <v>0</v>
      </c>
      <c r="M29" s="15"/>
      <c r="N29" s="30">
        <f>IF(H29=0,0,L29/H29)</f>
        <v>0</v>
      </c>
      <c r="O29" s="25"/>
      <c r="P29" s="32">
        <f>SUM(P26:P28)</f>
        <v>0</v>
      </c>
      <c r="Q29" s="13"/>
      <c r="R29" s="30">
        <f>IF(P$12=0,0,P29/P$12)</f>
        <v>0</v>
      </c>
      <c r="S29" s="13"/>
      <c r="T29" s="32">
        <f>SUM(T26:T28)</f>
        <v>0</v>
      </c>
      <c r="U29" s="13"/>
      <c r="V29" s="30">
        <f>IF(T$12=0,0,T29/T$12)</f>
        <v>0</v>
      </c>
      <c r="W29" s="15"/>
      <c r="X29" s="32">
        <f>+P29-T29</f>
        <v>0</v>
      </c>
      <c r="Y29" s="15"/>
      <c r="Z29" s="30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7">
        <v>43732.710124849538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60" t="s">
        <v>313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6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","423", " - ", "Contract Revenue")</f>
        <v>Department 423 - Contract Revenue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5" t="s">
        <v>8</v>
      </c>
      <c r="C14" s="10"/>
      <c r="D14" s="4">
        <f>SUM(OSRRefD16x_0)</f>
        <v>-805.48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-805.48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50"/>
      <c r="B15" s="11" t="str">
        <f>CONCATENATE("          ", "5053", " - ", "PURCHASES @ COST-FOOD")</f>
        <v xml:space="preserve">          5053 - PURCHASES @ COST-FOOD</v>
      </c>
      <c r="C15" s="11"/>
      <c r="D15" s="2">
        <v>-805.48</v>
      </c>
      <c r="E15" s="2"/>
      <c r="F15" s="21">
        <f t="shared" si="0"/>
        <v>0</v>
      </c>
      <c r="G15" s="2"/>
      <c r="H15" s="2"/>
      <c r="I15" s="2"/>
      <c r="J15" s="21">
        <f t="shared" si="1"/>
        <v>0</v>
      </c>
      <c r="K15" s="2"/>
      <c r="L15" s="2">
        <f t="shared" si="2"/>
        <v>-805.48</v>
      </c>
      <c r="M15" s="2"/>
      <c r="N15" s="21">
        <f t="shared" si="3"/>
        <v>0</v>
      </c>
      <c r="O15" s="11"/>
      <c r="P15" s="2">
        <v>-805.48</v>
      </c>
      <c r="Q15" s="2"/>
      <c r="R15" s="21">
        <f t="shared" si="4"/>
        <v>0</v>
      </c>
      <c r="S15" s="2"/>
      <c r="T15" s="2"/>
      <c r="U15" s="2"/>
      <c r="V15" s="21">
        <f t="shared" si="5"/>
        <v>0</v>
      </c>
      <c r="W15" s="2"/>
      <c r="X15" s="2">
        <f t="shared" si="6"/>
        <v>-805.48</v>
      </c>
      <c r="Y15" s="2"/>
      <c r="Z15" s="21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D12-D14</f>
        <v>805.48</v>
      </c>
      <c r="E17" s="13"/>
      <c r="F17" s="19">
        <f>IF(D$12=0,0,D17/D$12)</f>
        <v>0</v>
      </c>
      <c r="G17" s="13"/>
      <c r="H17" s="20">
        <f>H12-H14</f>
        <v>0</v>
      </c>
      <c r="I17" s="13"/>
      <c r="J17" s="19">
        <f>IF(H$12=0,0,H17/H$12)</f>
        <v>0</v>
      </c>
      <c r="K17" s="15"/>
      <c r="L17" s="20">
        <f>+D17-H17</f>
        <v>805.48</v>
      </c>
      <c r="M17" s="15"/>
      <c r="N17" s="19">
        <f>IF(H17=0,0,L17/H17)</f>
        <v>0</v>
      </c>
      <c r="O17" s="25"/>
      <c r="P17" s="20">
        <f>P12-P14</f>
        <v>805.48</v>
      </c>
      <c r="Q17" s="13"/>
      <c r="R17" s="19">
        <f>IF(P$12=0,0,P17/P$12)</f>
        <v>0</v>
      </c>
      <c r="S17" s="13"/>
      <c r="T17" s="20">
        <f>T12-T14</f>
        <v>0</v>
      </c>
      <c r="U17" s="13"/>
      <c r="V17" s="19">
        <f>IF(T$12=0,0,T17/T$12)</f>
        <v>0</v>
      </c>
      <c r="W17" s="15"/>
      <c r="X17" s="20">
        <f>+P17-T17</f>
        <v>805.48</v>
      </c>
      <c r="Y17" s="15"/>
      <c r="Z17" s="19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2">
        <f>SUM(OSRRefD22x_0)</f>
        <v>4202.49</v>
      </c>
      <c r="E19" s="22"/>
      <c r="F19" s="33">
        <f t="shared" ref="F19:F28" si="8">IF(D$12=0,0,D19/D$12)</f>
        <v>0</v>
      </c>
      <c r="G19" s="22"/>
      <c r="H19" s="22">
        <f>SUM(OSRRefH22x_0)</f>
        <v>5864.7199999999993</v>
      </c>
      <c r="I19" s="22"/>
      <c r="J19" s="33">
        <f t="shared" ref="J19:J28" si="9">IF(H$12=0,0,H19/H$12)</f>
        <v>0</v>
      </c>
      <c r="K19" s="4"/>
      <c r="L19" s="22">
        <f t="shared" ref="L19:L28" si="10">+D19-H19</f>
        <v>-1662.2299999999996</v>
      </c>
      <c r="M19" s="4"/>
      <c r="N19" s="33">
        <f t="shared" ref="N19:N28" si="11">IF(H19=0,0,L19/H19)</f>
        <v>-0.28342870588877211</v>
      </c>
      <c r="O19" s="10"/>
      <c r="P19" s="22">
        <f>SUM(OSRRefP22x_0)</f>
        <v>26589.519999999997</v>
      </c>
      <c r="Q19" s="22"/>
      <c r="R19" s="33">
        <f t="shared" ref="R19:R28" si="12">IF(P$12=0,0,P19/P$12)</f>
        <v>0</v>
      </c>
      <c r="S19" s="22"/>
      <c r="T19" s="22">
        <f>SUM(OSRRefT22x_0)</f>
        <v>21952.84</v>
      </c>
      <c r="U19" s="22"/>
      <c r="V19" s="33">
        <f t="shared" ref="V19:V28" si="13">IF(T$12=0,0,T19/T$12)</f>
        <v>0</v>
      </c>
      <c r="W19" s="4"/>
      <c r="X19" s="22">
        <f t="shared" ref="X19:X28" si="14">+P19-T19</f>
        <v>4636.6799999999967</v>
      </c>
      <c r="Y19" s="4"/>
      <c r="Z19" s="33">
        <f t="shared" ref="Z19:Z28" si="15">IF(T19=0,0,X19/T19)</f>
        <v>0.21121094127229081</v>
      </c>
    </row>
    <row r="20" spans="1:26" s="27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2796.26</v>
      </c>
      <c r="E20" s="1"/>
      <c r="F20" s="5">
        <f t="shared" si="8"/>
        <v>0</v>
      </c>
      <c r="G20" s="1"/>
      <c r="H20" s="1">
        <f>SUM(OSRRefH22_0x_0)</f>
        <v>2713.2799999999997</v>
      </c>
      <c r="I20" s="1"/>
      <c r="J20" s="5">
        <f t="shared" si="9"/>
        <v>0</v>
      </c>
      <c r="K20" s="1"/>
      <c r="L20" s="1">
        <f t="shared" si="10"/>
        <v>82.980000000000473</v>
      </c>
      <c r="M20" s="1"/>
      <c r="N20" s="5">
        <f t="shared" si="11"/>
        <v>3.0582910720604022E-2</v>
      </c>
      <c r="O20" s="14"/>
      <c r="P20" s="1">
        <f>SUM(OSRRefP22_0x_0)</f>
        <v>7414.0499999999993</v>
      </c>
      <c r="Q20" s="1"/>
      <c r="R20" s="5">
        <f t="shared" si="12"/>
        <v>0</v>
      </c>
      <c r="S20" s="1"/>
      <c r="T20" s="1">
        <f>SUM(OSRRefT22_0x_0)</f>
        <v>6814.1900000000005</v>
      </c>
      <c r="U20" s="1"/>
      <c r="V20" s="5">
        <f t="shared" si="13"/>
        <v>0</v>
      </c>
      <c r="W20" s="1"/>
      <c r="X20" s="1">
        <f t="shared" si="14"/>
        <v>599.85999999999876</v>
      </c>
      <c r="Y20" s="1"/>
      <c r="Z20" s="5">
        <f t="shared" si="15"/>
        <v>8.8031005886246017E-2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349.92</v>
      </c>
      <c r="E21" s="2"/>
      <c r="F21" s="6">
        <f t="shared" si="8"/>
        <v>0</v>
      </c>
      <c r="G21" s="2"/>
      <c r="H21" s="7">
        <v>339.74</v>
      </c>
      <c r="I21" s="2"/>
      <c r="J21" s="6">
        <f t="shared" si="9"/>
        <v>0</v>
      </c>
      <c r="K21" s="2"/>
      <c r="L21" s="7">
        <f t="shared" si="10"/>
        <v>10.180000000000007</v>
      </c>
      <c r="M21" s="2"/>
      <c r="N21" s="6">
        <f t="shared" si="11"/>
        <v>2.996409018661331E-2</v>
      </c>
      <c r="O21" s="11"/>
      <c r="P21" s="7">
        <v>699.84</v>
      </c>
      <c r="Q21" s="2"/>
      <c r="R21" s="6">
        <f t="shared" si="12"/>
        <v>0</v>
      </c>
      <c r="S21" s="2"/>
      <c r="T21" s="7">
        <v>679.48</v>
      </c>
      <c r="U21" s="2"/>
      <c r="V21" s="6">
        <f t="shared" si="13"/>
        <v>0</v>
      </c>
      <c r="W21" s="2"/>
      <c r="X21" s="7">
        <f t="shared" si="14"/>
        <v>20.360000000000014</v>
      </c>
      <c r="Y21" s="2"/>
      <c r="Z21" s="6">
        <f t="shared" si="15"/>
        <v>2.996409018661331E-2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177.47</v>
      </c>
      <c r="E22" s="2"/>
      <c r="F22" s="6">
        <f t="shared" si="8"/>
        <v>0</v>
      </c>
      <c r="G22" s="2"/>
      <c r="H22" s="7">
        <v>155.43</v>
      </c>
      <c r="I22" s="2"/>
      <c r="J22" s="6">
        <f t="shared" si="9"/>
        <v>0</v>
      </c>
      <c r="K22" s="2"/>
      <c r="L22" s="7">
        <f t="shared" si="10"/>
        <v>22.039999999999992</v>
      </c>
      <c r="M22" s="2"/>
      <c r="N22" s="6">
        <f t="shared" si="11"/>
        <v>0.14180016727787423</v>
      </c>
      <c r="O22" s="11"/>
      <c r="P22" s="7">
        <v>354.94</v>
      </c>
      <c r="Q22" s="2"/>
      <c r="R22" s="6">
        <f t="shared" si="12"/>
        <v>0</v>
      </c>
      <c r="S22" s="2"/>
      <c r="T22" s="7">
        <v>386.31</v>
      </c>
      <c r="U22" s="2"/>
      <c r="V22" s="6">
        <f t="shared" si="13"/>
        <v>0</v>
      </c>
      <c r="W22" s="2"/>
      <c r="X22" s="7">
        <f t="shared" si="14"/>
        <v>-31.370000000000005</v>
      </c>
      <c r="Y22" s="2"/>
      <c r="Z22" s="6">
        <f t="shared" si="15"/>
        <v>-8.1204214232093411E-2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1011.43</v>
      </c>
      <c r="E23" s="2"/>
      <c r="F23" s="6">
        <f t="shared" si="8"/>
        <v>0</v>
      </c>
      <c r="G23" s="2"/>
      <c r="H23" s="7">
        <v>1024.08</v>
      </c>
      <c r="I23" s="2"/>
      <c r="J23" s="6">
        <f t="shared" si="9"/>
        <v>0</v>
      </c>
      <c r="K23" s="2"/>
      <c r="L23" s="7">
        <f t="shared" si="10"/>
        <v>-12.649999999999977</v>
      </c>
      <c r="M23" s="2"/>
      <c r="N23" s="6">
        <f t="shared" si="11"/>
        <v>-1.235255058198576E-2</v>
      </c>
      <c r="O23" s="11"/>
      <c r="P23" s="7">
        <v>2022.86</v>
      </c>
      <c r="Q23" s="2"/>
      <c r="R23" s="6">
        <f t="shared" si="12"/>
        <v>0</v>
      </c>
      <c r="S23" s="2"/>
      <c r="T23" s="7">
        <v>1440.99</v>
      </c>
      <c r="U23" s="2"/>
      <c r="V23" s="6">
        <f t="shared" si="13"/>
        <v>0</v>
      </c>
      <c r="W23" s="2"/>
      <c r="X23" s="7">
        <f t="shared" si="14"/>
        <v>581.86999999999989</v>
      </c>
      <c r="Y23" s="2"/>
      <c r="Z23" s="6">
        <f t="shared" si="15"/>
        <v>0.40379877722954349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11.89</v>
      </c>
      <c r="E24" s="2"/>
      <c r="F24" s="6">
        <f t="shared" si="8"/>
        <v>0</v>
      </c>
      <c r="G24" s="2"/>
      <c r="H24" s="7">
        <v>11.55</v>
      </c>
      <c r="I24" s="2"/>
      <c r="J24" s="6">
        <f t="shared" si="9"/>
        <v>0</v>
      </c>
      <c r="K24" s="2"/>
      <c r="L24" s="7">
        <f t="shared" si="10"/>
        <v>0.33999999999999986</v>
      </c>
      <c r="M24" s="2"/>
      <c r="N24" s="6">
        <f t="shared" si="11"/>
        <v>2.9437229437229422E-2</v>
      </c>
      <c r="O24" s="11"/>
      <c r="P24" s="7">
        <v>23.78</v>
      </c>
      <c r="Q24" s="2"/>
      <c r="R24" s="6">
        <f t="shared" si="12"/>
        <v>0</v>
      </c>
      <c r="S24" s="2"/>
      <c r="T24" s="7">
        <v>28.7</v>
      </c>
      <c r="U24" s="2"/>
      <c r="V24" s="6">
        <f t="shared" si="13"/>
        <v>0</v>
      </c>
      <c r="W24" s="2"/>
      <c r="X24" s="7">
        <f t="shared" si="14"/>
        <v>-4.9199999999999982</v>
      </c>
      <c r="Y24" s="2"/>
      <c r="Z24" s="6">
        <f t="shared" si="15"/>
        <v>-0.17142857142857137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467.52</v>
      </c>
      <c r="E25" s="2"/>
      <c r="F25" s="6">
        <f t="shared" si="8"/>
        <v>0</v>
      </c>
      <c r="G25" s="2"/>
      <c r="H25" s="7">
        <v>417.84</v>
      </c>
      <c r="I25" s="2"/>
      <c r="J25" s="6">
        <f t="shared" si="9"/>
        <v>0</v>
      </c>
      <c r="K25" s="2"/>
      <c r="L25" s="7">
        <f t="shared" si="10"/>
        <v>49.680000000000007</v>
      </c>
      <c r="M25" s="2"/>
      <c r="N25" s="6">
        <f t="shared" si="11"/>
        <v>0.11889718552556004</v>
      </c>
      <c r="O25" s="11"/>
      <c r="P25" s="7">
        <v>935.04</v>
      </c>
      <c r="Q25" s="2"/>
      <c r="R25" s="6">
        <f t="shared" si="12"/>
        <v>0</v>
      </c>
      <c r="S25" s="2"/>
      <c r="T25" s="7">
        <v>1038.52</v>
      </c>
      <c r="U25" s="2"/>
      <c r="V25" s="6">
        <f t="shared" si="13"/>
        <v>0</v>
      </c>
      <c r="W25" s="2"/>
      <c r="X25" s="7">
        <f t="shared" si="14"/>
        <v>-103.48000000000002</v>
      </c>
      <c r="Y25" s="2"/>
      <c r="Z25" s="6">
        <f t="shared" si="15"/>
        <v>-9.9641797943226917E-2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422.53</v>
      </c>
      <c r="E26" s="2"/>
      <c r="F26" s="6">
        <f t="shared" si="8"/>
        <v>0</v>
      </c>
      <c r="G26" s="2"/>
      <c r="H26" s="7">
        <v>410.22</v>
      </c>
      <c r="I26" s="2"/>
      <c r="J26" s="6">
        <f t="shared" si="9"/>
        <v>0</v>
      </c>
      <c r="K26" s="2"/>
      <c r="L26" s="7">
        <f t="shared" si="10"/>
        <v>12.309999999999945</v>
      </c>
      <c r="M26" s="2"/>
      <c r="N26" s="6">
        <f t="shared" si="11"/>
        <v>3.0008288235580771E-2</v>
      </c>
      <c r="O26" s="11"/>
      <c r="P26" s="7">
        <v>1178.25</v>
      </c>
      <c r="Q26" s="2"/>
      <c r="R26" s="6">
        <f t="shared" si="12"/>
        <v>0</v>
      </c>
      <c r="S26" s="2"/>
      <c r="T26" s="7">
        <v>1176.1500000000001</v>
      </c>
      <c r="U26" s="2"/>
      <c r="V26" s="6">
        <f t="shared" si="13"/>
        <v>0</v>
      </c>
      <c r="W26" s="2"/>
      <c r="X26" s="7">
        <f t="shared" si="14"/>
        <v>2.0999999999999091</v>
      </c>
      <c r="Y26" s="2"/>
      <c r="Z26" s="6">
        <f t="shared" si="15"/>
        <v>1.7854865450834577E-3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210.98</v>
      </c>
      <c r="E27" s="2"/>
      <c r="F27" s="6">
        <f t="shared" si="8"/>
        <v>0</v>
      </c>
      <c r="G27" s="2"/>
      <c r="H27" s="7">
        <v>204.83</v>
      </c>
      <c r="I27" s="2"/>
      <c r="J27" s="6">
        <f t="shared" si="9"/>
        <v>0</v>
      </c>
      <c r="K27" s="2"/>
      <c r="L27" s="7">
        <f t="shared" si="10"/>
        <v>6.1499999999999773</v>
      </c>
      <c r="M27" s="2"/>
      <c r="N27" s="6">
        <f t="shared" si="11"/>
        <v>3.0024898696479896E-2</v>
      </c>
      <c r="O27" s="11"/>
      <c r="P27" s="7">
        <v>1913.32</v>
      </c>
      <c r="Q27" s="2"/>
      <c r="R27" s="6">
        <f t="shared" si="12"/>
        <v>0</v>
      </c>
      <c r="S27" s="2"/>
      <c r="T27" s="7">
        <v>1780.02</v>
      </c>
      <c r="U27" s="2"/>
      <c r="V27" s="6">
        <f t="shared" si="13"/>
        <v>0</v>
      </c>
      <c r="W27" s="2"/>
      <c r="X27" s="7">
        <f t="shared" si="14"/>
        <v>133.29999999999995</v>
      </c>
      <c r="Y27" s="2"/>
      <c r="Z27" s="6">
        <f t="shared" si="15"/>
        <v>7.4886799024730041E-2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144.52000000000001</v>
      </c>
      <c r="E28" s="2"/>
      <c r="F28" s="6">
        <f t="shared" si="8"/>
        <v>0</v>
      </c>
      <c r="G28" s="2"/>
      <c r="H28" s="7">
        <v>149.59</v>
      </c>
      <c r="I28" s="2"/>
      <c r="J28" s="6">
        <f t="shared" si="9"/>
        <v>0</v>
      </c>
      <c r="K28" s="2"/>
      <c r="L28" s="7">
        <f t="shared" si="10"/>
        <v>-5.0699999999999932</v>
      </c>
      <c r="M28" s="2"/>
      <c r="N28" s="6">
        <f t="shared" si="11"/>
        <v>-3.3892639882345033E-2</v>
      </c>
      <c r="O28" s="11"/>
      <c r="P28" s="7">
        <v>286.02</v>
      </c>
      <c r="Q28" s="2"/>
      <c r="R28" s="6">
        <f t="shared" si="12"/>
        <v>0</v>
      </c>
      <c r="S28" s="2"/>
      <c r="T28" s="7">
        <v>284.02</v>
      </c>
      <c r="U28" s="2"/>
      <c r="V28" s="6">
        <f t="shared" si="13"/>
        <v>0</v>
      </c>
      <c r="W28" s="2"/>
      <c r="X28" s="7">
        <f t="shared" si="14"/>
        <v>2</v>
      </c>
      <c r="Y28" s="2"/>
      <c r="Z28" s="6">
        <f t="shared" si="15"/>
        <v>7.0417576227026274E-3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3430.58</v>
      </c>
      <c r="E29" s="1"/>
      <c r="F29" s="5">
        <f t="shared" ref="F29:F38" si="16">IF(D$12=0,0,D29/D$12)</f>
        <v>0</v>
      </c>
      <c r="G29" s="1"/>
      <c r="H29" s="1">
        <f>SUM(OSRRefH22_1x_0)</f>
        <v>3552.69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-122.11000000000013</v>
      </c>
      <c r="M29" s="1"/>
      <c r="N29" s="5">
        <f t="shared" ref="N29:N38" si="19">IF(H29=0,0,L29/H29)</f>
        <v>-3.4371138489426356E-2</v>
      </c>
      <c r="O29" s="14"/>
      <c r="P29" s="1">
        <f>SUM(OSRRefP22_1x_0)</f>
        <v>9147.68</v>
      </c>
      <c r="Q29" s="1"/>
      <c r="R29" s="5">
        <f t="shared" ref="R29:R38" si="20">IF(P$12=0,0,P29/P$12)</f>
        <v>0</v>
      </c>
      <c r="S29" s="1"/>
      <c r="T29" s="1">
        <f>SUM(OSRRefT22_1x_0)</f>
        <v>7993.34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1154.3400000000001</v>
      </c>
      <c r="Y29" s="1"/>
      <c r="Z29" s="5">
        <f t="shared" ref="Z29:Z38" si="23">IF(T29=0,0,X29/T29)</f>
        <v>0.14441272359239068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3430.58</v>
      </c>
      <c r="E30" s="2"/>
      <c r="F30" s="6">
        <f t="shared" si="16"/>
        <v>0</v>
      </c>
      <c r="G30" s="2"/>
      <c r="H30" s="7">
        <v>3552.69</v>
      </c>
      <c r="I30" s="2"/>
      <c r="J30" s="6">
        <f t="shared" si="17"/>
        <v>0</v>
      </c>
      <c r="K30" s="2"/>
      <c r="L30" s="7">
        <f t="shared" si="18"/>
        <v>-122.11000000000013</v>
      </c>
      <c r="M30" s="2"/>
      <c r="N30" s="6">
        <f t="shared" si="19"/>
        <v>-3.4371138489426356E-2</v>
      </c>
      <c r="O30" s="11"/>
      <c r="P30" s="7">
        <v>9147.68</v>
      </c>
      <c r="Q30" s="2"/>
      <c r="R30" s="6">
        <f t="shared" si="20"/>
        <v>0</v>
      </c>
      <c r="S30" s="2"/>
      <c r="T30" s="7">
        <v>7993.34</v>
      </c>
      <c r="U30" s="2"/>
      <c r="V30" s="6">
        <f t="shared" si="21"/>
        <v>0</v>
      </c>
      <c r="W30" s="2"/>
      <c r="X30" s="7">
        <f t="shared" si="22"/>
        <v>1154.3400000000001</v>
      </c>
      <c r="Y30" s="2"/>
      <c r="Z30" s="6">
        <f t="shared" si="23"/>
        <v>0.14441272359239068</v>
      </c>
    </row>
    <row r="31" spans="1:26" s="27" customFormat="1" outlineLevel="1" collapsed="1" x14ac:dyDescent="0.25">
      <c r="A31" s="28"/>
      <c r="B31" s="14" t="str">
        <f>CONCATENATE("     ","General                                           ")</f>
        <v xml:space="preserve">     General                                           </v>
      </c>
      <c r="C31" s="14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4"/>
      <c r="P31" s="1">
        <f>SUM(OSRRefP22_2x_0)</f>
        <v>2443.65</v>
      </c>
      <c r="Q31" s="1"/>
      <c r="R31" s="5">
        <f t="shared" si="20"/>
        <v>0</v>
      </c>
      <c r="S31" s="1"/>
      <c r="T31" s="1">
        <f>SUM(OSRRefT22_2x_0)</f>
        <v>2357.6</v>
      </c>
      <c r="U31" s="1"/>
      <c r="V31" s="5">
        <f t="shared" si="21"/>
        <v>0</v>
      </c>
      <c r="W31" s="1"/>
      <c r="X31" s="1">
        <f t="shared" si="22"/>
        <v>86.050000000000182</v>
      </c>
      <c r="Y31" s="1"/>
      <c r="Z31" s="5">
        <f t="shared" si="23"/>
        <v>3.6498982015609173E-2</v>
      </c>
    </row>
    <row r="32" spans="1:26" s="24" customFormat="1" hidden="1" outlineLevel="2" x14ac:dyDescent="0.25">
      <c r="A32" s="29"/>
      <c r="B32" s="11" t="str">
        <f>CONCATENATE("          ", "6279", " - ", "GENERAL EXPENSE")</f>
        <v xml:space="preserve">          6279 - GENERAL EXPENSE</v>
      </c>
      <c r="C32" s="11"/>
      <c r="D32" s="7"/>
      <c r="E32" s="2"/>
      <c r="F32" s="6">
        <f t="shared" si="16"/>
        <v>0</v>
      </c>
      <c r="G32" s="2"/>
      <c r="H32" s="7"/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>
        <v>2443.65</v>
      </c>
      <c r="Q32" s="2"/>
      <c r="R32" s="6">
        <f t="shared" si="20"/>
        <v>0</v>
      </c>
      <c r="S32" s="2"/>
      <c r="T32" s="7">
        <v>2357.6</v>
      </c>
      <c r="U32" s="2"/>
      <c r="V32" s="6">
        <f t="shared" si="21"/>
        <v>0</v>
      </c>
      <c r="W32" s="2"/>
      <c r="X32" s="7">
        <f t="shared" si="22"/>
        <v>86.050000000000182</v>
      </c>
      <c r="Y32" s="2"/>
      <c r="Z32" s="6">
        <f t="shared" si="23"/>
        <v>3.6498982015609173E-2</v>
      </c>
    </row>
    <row r="33" spans="1:26" s="27" customFormat="1" outlineLevel="1" collapsed="1" x14ac:dyDescent="0.25">
      <c r="A33" s="28"/>
      <c r="B33" s="14" t="str">
        <f>CONCATENATE("     ","Royalty &amp; Commissions                             ")</f>
        <v xml:space="preserve">     Royalty &amp; Commissions                             </v>
      </c>
      <c r="C33" s="14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-490</v>
      </c>
      <c r="I33" s="1"/>
      <c r="J33" s="5">
        <f t="shared" si="17"/>
        <v>0</v>
      </c>
      <c r="K33" s="1"/>
      <c r="L33" s="1">
        <f t="shared" si="18"/>
        <v>490</v>
      </c>
      <c r="M33" s="1"/>
      <c r="N33" s="5">
        <f t="shared" si="19"/>
        <v>-1</v>
      </c>
      <c r="O33" s="14"/>
      <c r="P33" s="1">
        <f>SUM(OSRRefP22_3x_0)</f>
        <v>7344.9</v>
      </c>
      <c r="Q33" s="1"/>
      <c r="R33" s="5">
        <f t="shared" si="20"/>
        <v>0</v>
      </c>
      <c r="S33" s="1"/>
      <c r="T33" s="1">
        <f>SUM(OSRRefT22_3x_0)</f>
        <v>4642.46</v>
      </c>
      <c r="U33" s="1"/>
      <c r="V33" s="5">
        <f t="shared" si="21"/>
        <v>0</v>
      </c>
      <c r="W33" s="1"/>
      <c r="X33" s="1">
        <f t="shared" si="22"/>
        <v>2702.4399999999996</v>
      </c>
      <c r="Y33" s="1"/>
      <c r="Z33" s="5">
        <f t="shared" si="23"/>
        <v>0.58211379311830358</v>
      </c>
    </row>
    <row r="34" spans="1:26" s="24" customFormat="1" hidden="1" outlineLevel="2" x14ac:dyDescent="0.25">
      <c r="A34" s="29"/>
      <c r="B34" s="11" t="str">
        <f>CONCATENATE("          ", "6254", " - ", "ROYALTY &amp; COMMISSIONS")</f>
        <v xml:space="preserve">          6254 - ROYALTY &amp; COMMISSIONS</v>
      </c>
      <c r="C34" s="11"/>
      <c r="D34" s="7"/>
      <c r="E34" s="2"/>
      <c r="F34" s="6">
        <f t="shared" si="16"/>
        <v>0</v>
      </c>
      <c r="G34" s="2"/>
      <c r="H34" s="7">
        <v>-490</v>
      </c>
      <c r="I34" s="2"/>
      <c r="J34" s="6">
        <f t="shared" si="17"/>
        <v>0</v>
      </c>
      <c r="K34" s="2"/>
      <c r="L34" s="7">
        <f t="shared" si="18"/>
        <v>490</v>
      </c>
      <c r="M34" s="2"/>
      <c r="N34" s="6">
        <f t="shared" si="19"/>
        <v>-1</v>
      </c>
      <c r="O34" s="11"/>
      <c r="P34" s="7">
        <v>7344.9</v>
      </c>
      <c r="Q34" s="2"/>
      <c r="R34" s="6">
        <f t="shared" si="20"/>
        <v>0</v>
      </c>
      <c r="S34" s="2"/>
      <c r="T34" s="7">
        <v>4642.46</v>
      </c>
      <c r="U34" s="2"/>
      <c r="V34" s="6">
        <f t="shared" si="21"/>
        <v>0</v>
      </c>
      <c r="W34" s="2"/>
      <c r="X34" s="7">
        <f t="shared" si="22"/>
        <v>2702.4399999999996</v>
      </c>
      <c r="Y34" s="2"/>
      <c r="Z34" s="6">
        <f t="shared" si="23"/>
        <v>0.58211379311830358</v>
      </c>
    </row>
    <row r="35" spans="1:26" s="27" customFormat="1" outlineLevel="1" collapsed="1" x14ac:dyDescent="0.25">
      <c r="A35" s="28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SUM(OSRRefD22_4x_0)</f>
        <v>-2111.3000000000002</v>
      </c>
      <c r="E35" s="1"/>
      <c r="F35" s="5">
        <f t="shared" si="16"/>
        <v>0</v>
      </c>
      <c r="G35" s="1"/>
      <c r="H35" s="1">
        <f>SUM(OSRRefH22_4x_0)</f>
        <v>0</v>
      </c>
      <c r="I35" s="1"/>
      <c r="J35" s="5">
        <f t="shared" si="17"/>
        <v>0</v>
      </c>
      <c r="K35" s="1"/>
      <c r="L35" s="1">
        <f t="shared" si="18"/>
        <v>-2111.3000000000002</v>
      </c>
      <c r="M35" s="1"/>
      <c r="N35" s="5">
        <f t="shared" si="19"/>
        <v>0</v>
      </c>
      <c r="O35" s="14"/>
      <c r="P35" s="1">
        <f>SUM(OSRRefP22_4x_0)</f>
        <v>22.94</v>
      </c>
      <c r="Q35" s="1"/>
      <c r="R35" s="5">
        <f t="shared" si="20"/>
        <v>0</v>
      </c>
      <c r="S35" s="1"/>
      <c r="T35" s="1">
        <f>SUM(OSRRefT22_4x_0)</f>
        <v>0</v>
      </c>
      <c r="U35" s="1"/>
      <c r="V35" s="5">
        <f t="shared" si="21"/>
        <v>0</v>
      </c>
      <c r="W35" s="1"/>
      <c r="X35" s="1">
        <f t="shared" si="22"/>
        <v>22.94</v>
      </c>
      <c r="Y35" s="1"/>
      <c r="Z35" s="5">
        <f t="shared" si="23"/>
        <v>0</v>
      </c>
    </row>
    <row r="36" spans="1:26" s="24" customFormat="1" hidden="1" outlineLevel="2" x14ac:dyDescent="0.25">
      <c r="A36" s="29"/>
      <c r="B36" s="11" t="str">
        <f>CONCATENATE("          ", "6241", " - ", "OFFICE EXPENSE")</f>
        <v xml:space="preserve">          6241 - OFFICE EXPENSE</v>
      </c>
      <c r="C36" s="11"/>
      <c r="D36" s="7">
        <v>-2111.3000000000002</v>
      </c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-2111.3000000000002</v>
      </c>
      <c r="M36" s="2"/>
      <c r="N36" s="6">
        <f t="shared" si="19"/>
        <v>0</v>
      </c>
      <c r="O36" s="11"/>
      <c r="P36" s="7">
        <v>22.94</v>
      </c>
      <c r="Q36" s="2"/>
      <c r="R36" s="6">
        <f t="shared" si="20"/>
        <v>0</v>
      </c>
      <c r="S36" s="2"/>
      <c r="T36" s="7"/>
      <c r="U36" s="2"/>
      <c r="V36" s="6">
        <f t="shared" si="21"/>
        <v>0</v>
      </c>
      <c r="W36" s="2"/>
      <c r="X36" s="7">
        <f t="shared" si="22"/>
        <v>22.94</v>
      </c>
      <c r="Y36" s="2"/>
      <c r="Z36" s="6">
        <f t="shared" si="23"/>
        <v>0</v>
      </c>
    </row>
    <row r="37" spans="1:26" s="27" customFormat="1" outlineLevel="1" collapsed="1" x14ac:dyDescent="0.25">
      <c r="A37" s="28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86.95</v>
      </c>
      <c r="E37" s="1"/>
      <c r="F37" s="5">
        <f t="shared" si="16"/>
        <v>0</v>
      </c>
      <c r="G37" s="1"/>
      <c r="H37" s="1">
        <f>SUM(OSRRefH22_5x_0)</f>
        <v>88.75</v>
      </c>
      <c r="I37" s="1"/>
      <c r="J37" s="5">
        <f t="shared" si="17"/>
        <v>0</v>
      </c>
      <c r="K37" s="1"/>
      <c r="L37" s="1">
        <f t="shared" si="18"/>
        <v>-1.7999999999999972</v>
      </c>
      <c r="M37" s="1"/>
      <c r="N37" s="5">
        <f t="shared" si="19"/>
        <v>-2.0281690140845039E-2</v>
      </c>
      <c r="O37" s="14"/>
      <c r="P37" s="1">
        <f>SUM(OSRRefP22_5x_0)</f>
        <v>216.3</v>
      </c>
      <c r="Q37" s="1"/>
      <c r="R37" s="5">
        <f t="shared" si="20"/>
        <v>0</v>
      </c>
      <c r="S37" s="1"/>
      <c r="T37" s="1">
        <f>SUM(OSRRefT22_5x_0)</f>
        <v>145.25</v>
      </c>
      <c r="U37" s="1"/>
      <c r="V37" s="5">
        <f t="shared" si="21"/>
        <v>0</v>
      </c>
      <c r="W37" s="1"/>
      <c r="X37" s="1">
        <f t="shared" si="22"/>
        <v>71.050000000000011</v>
      </c>
      <c r="Y37" s="1"/>
      <c r="Z37" s="5">
        <f t="shared" si="23"/>
        <v>0.48915662650602415</v>
      </c>
    </row>
    <row r="38" spans="1:26" s="24" customFormat="1" hidden="1" outlineLevel="2" x14ac:dyDescent="0.25">
      <c r="A38" s="29"/>
      <c r="B38" s="11" t="str">
        <f>CONCATENATE("          ", "6309", " - ", "TELEPHONE")</f>
        <v xml:space="preserve">          6309 - TELEPHONE</v>
      </c>
      <c r="C38" s="11"/>
      <c r="D38" s="7">
        <v>86.95</v>
      </c>
      <c r="E38" s="2"/>
      <c r="F38" s="6">
        <f t="shared" si="16"/>
        <v>0</v>
      </c>
      <c r="G38" s="2"/>
      <c r="H38" s="7">
        <v>88.75</v>
      </c>
      <c r="I38" s="2"/>
      <c r="J38" s="6">
        <f t="shared" si="17"/>
        <v>0</v>
      </c>
      <c r="K38" s="2"/>
      <c r="L38" s="7">
        <f t="shared" si="18"/>
        <v>-1.7999999999999972</v>
      </c>
      <c r="M38" s="2"/>
      <c r="N38" s="6">
        <f t="shared" si="19"/>
        <v>-2.0281690140845039E-2</v>
      </c>
      <c r="O38" s="11"/>
      <c r="P38" s="7">
        <v>216.3</v>
      </c>
      <c r="Q38" s="2"/>
      <c r="R38" s="6">
        <f t="shared" si="20"/>
        <v>0</v>
      </c>
      <c r="S38" s="2"/>
      <c r="T38" s="7">
        <v>145.25</v>
      </c>
      <c r="U38" s="2"/>
      <c r="V38" s="6">
        <f t="shared" si="21"/>
        <v>0</v>
      </c>
      <c r="W38" s="2"/>
      <c r="X38" s="7">
        <f t="shared" si="22"/>
        <v>71.050000000000011</v>
      </c>
      <c r="Y38" s="2"/>
      <c r="Z38" s="6">
        <f t="shared" si="23"/>
        <v>0.48915662650602415</v>
      </c>
    </row>
    <row r="39" spans="1:26" s="62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5" t="s">
        <v>0</v>
      </c>
      <c r="C40" s="10"/>
      <c r="D40" s="4">
        <f>SUM(OSRRefD25x_0)</f>
        <v>6093.41</v>
      </c>
      <c r="E40" s="4"/>
      <c r="F40" s="12">
        <f t="shared" ref="F40:F41" si="24">IF(D$12=0,0,D40/D$12)</f>
        <v>0</v>
      </c>
      <c r="G40" s="4"/>
      <c r="H40" s="4">
        <f>SUM(OSRRefH25x_0)</f>
        <v>7618.89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-1525.4800000000005</v>
      </c>
      <c r="M40" s="4"/>
      <c r="N40" s="12">
        <f t="shared" ref="N40:N41" si="27">IF(H40=0,0,L40/H40)</f>
        <v>-0.20022339212142456</v>
      </c>
      <c r="O40" s="10"/>
      <c r="P40" s="4">
        <f>SUM(OSRRefP25x_0)</f>
        <v>16124.06</v>
      </c>
      <c r="Q40" s="4"/>
      <c r="R40" s="12">
        <f t="shared" ref="R40:R41" si="28">IF(P$12=0,0,P40/P$12)</f>
        <v>0</v>
      </c>
      <c r="S40" s="4"/>
      <c r="T40" s="4">
        <f>SUM(OSRRefT25x_0)</f>
        <v>12544.37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3579.6899999999987</v>
      </c>
      <c r="Y40" s="4"/>
      <c r="Z40" s="12">
        <f t="shared" ref="Z40:Z41" si="31">IF(T40=0,0,X40/T40)</f>
        <v>0.2853622780578059</v>
      </c>
    </row>
    <row r="41" spans="1:26" s="24" customFormat="1" hidden="1" outlineLevel="1" x14ac:dyDescent="0.25">
      <c r="A41" s="50"/>
      <c r="B41" s="11" t="str">
        <f>CONCATENATE("          ", "9150", " - ", "MISC. INCOME")</f>
        <v xml:space="preserve">          9150 - MISC. INCOME</v>
      </c>
      <c r="C41" s="11"/>
      <c r="D41" s="2">
        <f>--6093.41</f>
        <v>6093.41</v>
      </c>
      <c r="E41" s="2"/>
      <c r="F41" s="21">
        <f t="shared" si="24"/>
        <v>0</v>
      </c>
      <c r="G41" s="2"/>
      <c r="H41" s="2">
        <f>--7618.89</f>
        <v>7618.89</v>
      </c>
      <c r="I41" s="2"/>
      <c r="J41" s="21">
        <f t="shared" si="25"/>
        <v>0</v>
      </c>
      <c r="K41" s="2"/>
      <c r="L41" s="2">
        <f t="shared" si="26"/>
        <v>-1525.4800000000005</v>
      </c>
      <c r="M41" s="2"/>
      <c r="N41" s="21">
        <f t="shared" si="27"/>
        <v>-0.20022339212142456</v>
      </c>
      <c r="O41" s="11"/>
      <c r="P41" s="2">
        <f>--16124.06</f>
        <v>16124.06</v>
      </c>
      <c r="Q41" s="2"/>
      <c r="R41" s="21">
        <f t="shared" si="28"/>
        <v>0</v>
      </c>
      <c r="S41" s="2"/>
      <c r="T41" s="2">
        <f>--12544.37</f>
        <v>12544.37</v>
      </c>
      <c r="U41" s="2"/>
      <c r="V41" s="21">
        <f t="shared" si="29"/>
        <v>0</v>
      </c>
      <c r="W41" s="2"/>
      <c r="X41" s="2">
        <f t="shared" si="30"/>
        <v>3579.6899999999987</v>
      </c>
      <c r="Y41" s="2"/>
      <c r="Z41" s="21">
        <f t="shared" si="31"/>
        <v>0.2853622780578059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6" t="s">
        <v>3</v>
      </c>
      <c r="C43" s="26"/>
      <c r="D43" s="20">
        <f>+D17-D19+D40</f>
        <v>2696.4</v>
      </c>
      <c r="E43" s="13"/>
      <c r="F43" s="19">
        <f>IF(D$12=0,0,D43/D$12)</f>
        <v>0</v>
      </c>
      <c r="G43" s="13"/>
      <c r="H43" s="20">
        <f>+H17-H19+H40</f>
        <v>1754.170000000001</v>
      </c>
      <c r="I43" s="13"/>
      <c r="J43" s="19">
        <f>IF(H$12=0,0,H43/H$12)</f>
        <v>0</v>
      </c>
      <c r="K43" s="15"/>
      <c r="L43" s="20">
        <f>+D43-H43</f>
        <v>942.22999999999911</v>
      </c>
      <c r="M43" s="15"/>
      <c r="N43" s="19">
        <f>IF(H43=0,0,L43/H43)</f>
        <v>0.53713722159197719</v>
      </c>
      <c r="O43" s="25"/>
      <c r="P43" s="20">
        <f>+P17-P19+P40</f>
        <v>-9659.9799999999977</v>
      </c>
      <c r="Q43" s="13"/>
      <c r="R43" s="19">
        <f>IF(P$12=0,0,P43/P$12)</f>
        <v>0</v>
      </c>
      <c r="S43" s="13"/>
      <c r="T43" s="20">
        <f>+T17-T19+T40</f>
        <v>-9408.4699999999993</v>
      </c>
      <c r="U43" s="13"/>
      <c r="V43" s="19">
        <f>IF(T$12=0,0,T43/T$12)</f>
        <v>0</v>
      </c>
      <c r="W43" s="15"/>
      <c r="X43" s="20">
        <f>+P43-T43</f>
        <v>-251.5099999999984</v>
      </c>
      <c r="Y43" s="15"/>
      <c r="Z43" s="19">
        <f>IF(T43=0,0,X43/T43)</f>
        <v>2.6732295474184264E-2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6" t="s">
        <v>4</v>
      </c>
      <c r="C47" s="26"/>
      <c r="D47" s="31">
        <f>+D43-D45</f>
        <v>2696.4</v>
      </c>
      <c r="E47" s="13"/>
      <c r="F47" s="36">
        <f>IF(D$12=0,0,D47/D$12)</f>
        <v>0</v>
      </c>
      <c r="G47" s="13"/>
      <c r="H47" s="31">
        <f>+H43-H45</f>
        <v>1754.170000000001</v>
      </c>
      <c r="I47" s="13"/>
      <c r="J47" s="36">
        <f>IF(H$12=0,0,H47/H$12)</f>
        <v>0</v>
      </c>
      <c r="K47" s="15"/>
      <c r="L47" s="31">
        <f>D47-H47</f>
        <v>942.22999999999911</v>
      </c>
      <c r="M47" s="15"/>
      <c r="N47" s="36">
        <f>IF(H47=0,0,L47/H47)</f>
        <v>0.53713722159197719</v>
      </c>
      <c r="O47" s="25"/>
      <c r="P47" s="31">
        <f>+P43-P45</f>
        <v>-9659.9799999999977</v>
      </c>
      <c r="Q47" s="13"/>
      <c r="R47" s="36">
        <f>IF(P$12=0,0,P47/P$12)</f>
        <v>0</v>
      </c>
      <c r="S47" s="13"/>
      <c r="T47" s="31">
        <f>+T43-T45</f>
        <v>-9408.4699999999993</v>
      </c>
      <c r="U47" s="13"/>
      <c r="V47" s="36">
        <f>IF(T$12=0,0,T47/T$12)</f>
        <v>0</v>
      </c>
      <c r="W47" s="15"/>
      <c r="X47" s="31">
        <f>P47-T47</f>
        <v>-251.5099999999984</v>
      </c>
      <c r="Y47" s="15"/>
      <c r="Z47" s="36">
        <f>IF(T47=0,0,X47/T47)</f>
        <v>2.6732295474184264E-2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6" t="s">
        <v>5</v>
      </c>
      <c r="C50" s="26"/>
      <c r="D50" s="32">
        <f>SUM(D47:D49)</f>
        <v>2696.4</v>
      </c>
      <c r="E50" s="13"/>
      <c r="F50" s="30">
        <f>IF(D$12=0,0,D50/D$12)</f>
        <v>0</v>
      </c>
      <c r="G50" s="13"/>
      <c r="H50" s="32">
        <f>SUM(H47:H49)</f>
        <v>1754.170000000001</v>
      </c>
      <c r="I50" s="13"/>
      <c r="J50" s="30">
        <f>IF(H$12=0,0,H50/H$12)</f>
        <v>0</v>
      </c>
      <c r="K50" s="15"/>
      <c r="L50" s="32">
        <f>+D50-H50</f>
        <v>942.22999999999911</v>
      </c>
      <c r="M50" s="15"/>
      <c r="N50" s="30">
        <f>IF(H50=0,0,L50/H50)</f>
        <v>0.53713722159197719</v>
      </c>
      <c r="O50" s="25"/>
      <c r="P50" s="32">
        <f>SUM(P47:P49)</f>
        <v>-9659.9799999999977</v>
      </c>
      <c r="Q50" s="13"/>
      <c r="R50" s="30">
        <f>IF(P$12=0,0,P50/P$12)</f>
        <v>0</v>
      </c>
      <c r="S50" s="13"/>
      <c r="T50" s="32">
        <f>SUM(T47:T49)</f>
        <v>-9408.4699999999993</v>
      </c>
      <c r="U50" s="13"/>
      <c r="V50" s="30">
        <f>IF(T$12=0,0,T50/T$12)</f>
        <v>0</v>
      </c>
      <c r="W50" s="15"/>
      <c r="X50" s="32">
        <f>+P50-T50</f>
        <v>-251.5099999999984</v>
      </c>
      <c r="Y50" s="15"/>
      <c r="Z50" s="30">
        <f>IF(T50=0,0,X50/T50)</f>
        <v>2.6732295474184264E-2</v>
      </c>
    </row>
    <row r="51" spans="1:26" ht="15.75" thickTop="1" x14ac:dyDescent="0.25">
      <c r="A51" s="9"/>
      <c r="C51" s="9"/>
      <c r="D51" s="17"/>
      <c r="E51" s="17"/>
      <c r="G51" s="17"/>
      <c r="H51" s="17"/>
      <c r="I51" s="17"/>
      <c r="J51" s="43"/>
      <c r="K51" s="17"/>
      <c r="L51" s="17"/>
      <c r="M51" s="17"/>
      <c r="P51" s="17"/>
      <c r="Q51" s="17"/>
      <c r="R51" s="43"/>
      <c r="S51" s="17"/>
      <c r="T51" s="17"/>
      <c r="U51" s="17"/>
      <c r="V51" s="43"/>
      <c r="W51" s="17"/>
      <c r="X51" s="17"/>
    </row>
    <row r="52" spans="1:26" x14ac:dyDescent="0.25">
      <c r="A52" s="9"/>
      <c r="B52" s="57">
        <v>43732.710140856485</v>
      </c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25">
      <c r="A53" s="9"/>
      <c r="B53" s="60" t="s">
        <v>313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25">
      <c r="A54" s="9"/>
      <c r="B54" s="56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","424", " - ", "Blair Field")</f>
        <v>Department 424 - Blair Field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19242.8</v>
      </c>
      <c r="E12" s="4"/>
      <c r="F12" s="12"/>
      <c r="G12" s="4"/>
      <c r="H12" s="4">
        <f>SUM(OSRRefH13x_0)</f>
        <v>29308.32</v>
      </c>
      <c r="I12" s="4"/>
      <c r="J12" s="12"/>
      <c r="K12" s="4"/>
      <c r="L12" s="4">
        <f t="shared" ref="L12:L14" si="0">+D12-H12</f>
        <v>-10065.52</v>
      </c>
      <c r="M12" s="4"/>
      <c r="N12" s="12">
        <f t="shared" ref="N12:N14" si="1">IF(H12=0,0,L12/H12)</f>
        <v>-0.34343558416176706</v>
      </c>
      <c r="O12" s="10"/>
      <c r="P12" s="4">
        <f>SUM(OSRRefP13x_0)</f>
        <v>19851.87</v>
      </c>
      <c r="Q12" s="4"/>
      <c r="R12" s="12"/>
      <c r="S12" s="4"/>
      <c r="T12" s="4">
        <f>SUM(OSRRefT13x_0)</f>
        <v>29308.32</v>
      </c>
      <c r="U12" s="4"/>
      <c r="V12" s="12"/>
      <c r="W12" s="4"/>
      <c r="X12" s="4">
        <f t="shared" ref="X12:X14" si="2">+P12-T12</f>
        <v>-9456.4500000000007</v>
      </c>
      <c r="Y12" s="4"/>
      <c r="Z12" s="12">
        <f t="shared" ref="Z12:Z14" si="3">IF(T12=0,0,X12/T12)</f>
        <v>-0.32265411323474019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2">
        <f>--19242.8</f>
        <v>19242.8</v>
      </c>
      <c r="E13" s="2"/>
      <c r="F13" s="21"/>
      <c r="G13" s="2"/>
      <c r="H13" s="2">
        <f>--17802.24</f>
        <v>17802.240000000002</v>
      </c>
      <c r="I13" s="2"/>
      <c r="J13" s="21"/>
      <c r="K13" s="2"/>
      <c r="L13" s="2">
        <f t="shared" si="0"/>
        <v>1440.5599999999977</v>
      </c>
      <c r="M13" s="2"/>
      <c r="N13" s="21">
        <f t="shared" si="1"/>
        <v>8.0920153868277112E-2</v>
      </c>
      <c r="O13" s="11"/>
      <c r="P13" s="2">
        <f>--19851.87</f>
        <v>19851.87</v>
      </c>
      <c r="Q13" s="2"/>
      <c r="R13" s="21"/>
      <c r="S13" s="2"/>
      <c r="T13" s="2">
        <f>--17802.24</f>
        <v>17802.240000000002</v>
      </c>
      <c r="U13" s="2"/>
      <c r="V13" s="21"/>
      <c r="W13" s="2"/>
      <c r="X13" s="2">
        <f t="shared" si="2"/>
        <v>2049.6299999999974</v>
      </c>
      <c r="Y13" s="2"/>
      <c r="Z13" s="21">
        <f t="shared" si="3"/>
        <v>0.11513326412855894</v>
      </c>
    </row>
    <row r="14" spans="1:26" s="24" customFormat="1" hidden="1" outlineLevel="1" x14ac:dyDescent="0.25">
      <c r="A14" s="50"/>
      <c r="B14" s="11" t="str">
        <f>CONCATENATE("          ", "4057", " - ", "TAXABLE SALES-FOOD")</f>
        <v xml:space="preserve">          4057 - TAXABLE SALES-FOOD</v>
      </c>
      <c r="C14" s="11"/>
      <c r="D14" s="2">
        <f>0</f>
        <v>0</v>
      </c>
      <c r="E14" s="2"/>
      <c r="F14" s="21"/>
      <c r="G14" s="2"/>
      <c r="H14" s="2">
        <f>--11506.08</f>
        <v>11506.08</v>
      </c>
      <c r="I14" s="2"/>
      <c r="J14" s="21"/>
      <c r="K14" s="2"/>
      <c r="L14" s="2">
        <f t="shared" si="0"/>
        <v>-11506.08</v>
      </c>
      <c r="M14" s="2"/>
      <c r="N14" s="21">
        <f t="shared" si="1"/>
        <v>-1</v>
      </c>
      <c r="O14" s="11"/>
      <c r="P14" s="2">
        <f>0</f>
        <v>0</v>
      </c>
      <c r="Q14" s="2"/>
      <c r="R14" s="21"/>
      <c r="S14" s="2"/>
      <c r="T14" s="2">
        <f>--11506.08</f>
        <v>11506.08</v>
      </c>
      <c r="U14" s="2"/>
      <c r="V14" s="21"/>
      <c r="W14" s="2"/>
      <c r="X14" s="2">
        <f t="shared" si="2"/>
        <v>-11506.08</v>
      </c>
      <c r="Y14" s="2"/>
      <c r="Z14" s="21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4810.8900000000003</v>
      </c>
      <c r="E16" s="4"/>
      <c r="F16" s="12">
        <f t="shared" ref="F16:F18" si="4">IF(D$12=0,0,D16/D$12)</f>
        <v>0.25000987382293638</v>
      </c>
      <c r="G16" s="4"/>
      <c r="H16" s="4">
        <f>SUM(OSRRefH16x_0)</f>
        <v>7326.68</v>
      </c>
      <c r="I16" s="4"/>
      <c r="J16" s="12">
        <f t="shared" ref="J16:J18" si="5">IF(H$12=0,0,H16/H$12)</f>
        <v>0.24998635199834041</v>
      </c>
      <c r="K16" s="4"/>
      <c r="L16" s="4">
        <f t="shared" ref="L16:L18" si="6">+D16-H16</f>
        <v>-2515.79</v>
      </c>
      <c r="M16" s="4"/>
      <c r="N16" s="12">
        <f t="shared" ref="N16:N18" si="7">IF(H16=0,0,L16/H16)</f>
        <v>-0.34337380641709475</v>
      </c>
      <c r="O16" s="10"/>
      <c r="P16" s="4">
        <f>SUM(OSRRefP16x_0)</f>
        <v>4810.79</v>
      </c>
      <c r="Q16" s="4"/>
      <c r="R16" s="12">
        <f t="shared" ref="R16:R18" si="8">IF(P$12=0,0,P16/P$12)</f>
        <v>0.24233434935852391</v>
      </c>
      <c r="S16" s="4"/>
      <c r="T16" s="4">
        <f>SUM(OSRRefT16x_0)</f>
        <v>7326.2800000000007</v>
      </c>
      <c r="U16" s="4"/>
      <c r="V16" s="12">
        <f t="shared" ref="V16:V18" si="9">IF(T$12=0,0,T16/T$12)</f>
        <v>0.24997270399668084</v>
      </c>
      <c r="W16" s="4"/>
      <c r="X16" s="4">
        <f t="shared" ref="X16:X18" si="10">+P16-T16</f>
        <v>-2515.4900000000007</v>
      </c>
      <c r="Y16" s="4"/>
      <c r="Z16" s="12">
        <f t="shared" ref="Z16:Z18" si="11">IF(T16=0,0,X16/T16)</f>
        <v>-0.34335160545324511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513.89</v>
      </c>
      <c r="E17" s="2"/>
      <c r="F17" s="21">
        <f t="shared" si="4"/>
        <v>2.6705572993535244E-2</v>
      </c>
      <c r="G17" s="2"/>
      <c r="H17" s="2">
        <v>-65.319999999999993</v>
      </c>
      <c r="I17" s="2"/>
      <c r="J17" s="21">
        <f t="shared" si="5"/>
        <v>-2.22871867101219E-3</v>
      </c>
      <c r="K17" s="2"/>
      <c r="L17" s="2">
        <f t="shared" si="6"/>
        <v>579.21</v>
      </c>
      <c r="M17" s="2"/>
      <c r="N17" s="21">
        <f t="shared" si="7"/>
        <v>-8.867268830373547</v>
      </c>
      <c r="O17" s="11"/>
      <c r="P17" s="2">
        <v>6367.79</v>
      </c>
      <c r="Q17" s="2"/>
      <c r="R17" s="21">
        <f t="shared" si="8"/>
        <v>0.32076524780788912</v>
      </c>
      <c r="S17" s="2"/>
      <c r="T17" s="2">
        <v>3195.28</v>
      </c>
      <c r="U17" s="2"/>
      <c r="V17" s="21">
        <f t="shared" si="9"/>
        <v>0.10902296685719277</v>
      </c>
      <c r="W17" s="2"/>
      <c r="X17" s="2">
        <f t="shared" si="10"/>
        <v>3172.5099999999998</v>
      </c>
      <c r="Y17" s="2"/>
      <c r="Z17" s="21">
        <f t="shared" si="11"/>
        <v>0.99287386394932509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4297</v>
      </c>
      <c r="E18" s="2"/>
      <c r="F18" s="21">
        <f t="shared" si="4"/>
        <v>0.22330430082940114</v>
      </c>
      <c r="G18" s="2"/>
      <c r="H18" s="2">
        <v>7392</v>
      </c>
      <c r="I18" s="2"/>
      <c r="J18" s="21">
        <f t="shared" si="5"/>
        <v>0.25221507066935261</v>
      </c>
      <c r="K18" s="2"/>
      <c r="L18" s="2">
        <f t="shared" si="6"/>
        <v>-3095</v>
      </c>
      <c r="M18" s="2"/>
      <c r="N18" s="21">
        <f t="shared" si="7"/>
        <v>-0.41869588744588743</v>
      </c>
      <c r="O18" s="11"/>
      <c r="P18" s="2">
        <v>-1557</v>
      </c>
      <c r="Q18" s="2"/>
      <c r="R18" s="21">
        <f t="shared" si="8"/>
        <v>-7.8430898449365224E-2</v>
      </c>
      <c r="S18" s="2"/>
      <c r="T18" s="2">
        <v>4131</v>
      </c>
      <c r="U18" s="2"/>
      <c r="V18" s="21">
        <f t="shared" si="9"/>
        <v>0.14094973713948802</v>
      </c>
      <c r="W18" s="2"/>
      <c r="X18" s="2">
        <f t="shared" si="10"/>
        <v>-5688</v>
      </c>
      <c r="Y18" s="2"/>
      <c r="Z18" s="21">
        <f t="shared" si="11"/>
        <v>-1.3769063180827887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14431.91</v>
      </c>
      <c r="E20" s="13"/>
      <c r="F20" s="19">
        <f>IF(D$12=0,0,D20/D$12)</f>
        <v>0.74999012617706362</v>
      </c>
      <c r="G20" s="13"/>
      <c r="H20" s="20">
        <f>H12-H16</f>
        <v>21981.64</v>
      </c>
      <c r="I20" s="13"/>
      <c r="J20" s="19">
        <f>IF(H$12=0,0,H20/H$12)</f>
        <v>0.75001364800165959</v>
      </c>
      <c r="K20" s="15"/>
      <c r="L20" s="20">
        <f>+D20-H20</f>
        <v>-7549.73</v>
      </c>
      <c r="M20" s="15"/>
      <c r="N20" s="19">
        <f>IF(H20=0,0,L20/H20)</f>
        <v>-0.34345617524443123</v>
      </c>
      <c r="O20" s="25"/>
      <c r="P20" s="20">
        <f>P12-P16</f>
        <v>15041.079999999998</v>
      </c>
      <c r="Q20" s="13"/>
      <c r="R20" s="19">
        <f>IF(P$12=0,0,P20/P$12)</f>
        <v>0.75766565064147606</v>
      </c>
      <c r="S20" s="13"/>
      <c r="T20" s="20">
        <f>T12-T16</f>
        <v>21982.04</v>
      </c>
      <c r="U20" s="13"/>
      <c r="V20" s="19">
        <f>IF(T$12=0,0,T20/T$12)</f>
        <v>0.75002729600331919</v>
      </c>
      <c r="W20" s="15"/>
      <c r="X20" s="20">
        <f>+P20-T20</f>
        <v>-6940.9600000000028</v>
      </c>
      <c r="Y20" s="15"/>
      <c r="Z20" s="19">
        <f>IF(T20=0,0,X20/T20)</f>
        <v>-0.31575595349658186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9191.7200000000012</v>
      </c>
      <c r="E22" s="22"/>
      <c r="F22" s="33">
        <f t="shared" ref="F22:F26" si="12">IF(D$12=0,0,D22/D$12)</f>
        <v>0.47767060926684274</v>
      </c>
      <c r="G22" s="22"/>
      <c r="H22" s="22">
        <f>SUM(OSRRefH22x_0)</f>
        <v>16758.469999999998</v>
      </c>
      <c r="I22" s="22"/>
      <c r="J22" s="33">
        <f t="shared" ref="J22:J26" si="13">IF(H$12=0,0,H22/H$12)</f>
        <v>0.57179906593076635</v>
      </c>
      <c r="K22" s="4"/>
      <c r="L22" s="22">
        <f t="shared" ref="L22:L26" si="14">+D22-H22</f>
        <v>-7566.7499999999964</v>
      </c>
      <c r="M22" s="4"/>
      <c r="N22" s="33">
        <f t="shared" ref="N22:N26" si="15">IF(H22=0,0,L22/H22)</f>
        <v>-0.45151794883423113</v>
      </c>
      <c r="O22" s="10"/>
      <c r="P22" s="22">
        <f>SUM(OSRRefP22x_0)</f>
        <v>11917.560000000001</v>
      </c>
      <c r="Q22" s="22"/>
      <c r="R22" s="33">
        <f t="shared" ref="R22:R26" si="16">IF(P$12=0,0,P22/P$12)</f>
        <v>0.60032430194233599</v>
      </c>
      <c r="S22" s="22"/>
      <c r="T22" s="22">
        <f>SUM(OSRRefT22x_0)</f>
        <v>19846.96</v>
      </c>
      <c r="U22" s="22"/>
      <c r="V22" s="33">
        <f t="shared" ref="V22:V26" si="17">IF(T$12=0,0,T22/T$12)</f>
        <v>0.67717835754488831</v>
      </c>
      <c r="W22" s="4"/>
      <c r="X22" s="22">
        <f t="shared" ref="X22:X26" si="18">+P22-T22</f>
        <v>-7929.3999999999978</v>
      </c>
      <c r="Y22" s="4"/>
      <c r="Z22" s="33">
        <f t="shared" ref="Z22:Z26" si="19">IF(T22=0,0,X22/T22)</f>
        <v>-0.39952718199663817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323.69</v>
      </c>
      <c r="E23" s="1"/>
      <c r="F23" s="5">
        <f t="shared" si="12"/>
        <v>1.6821356559336479E-2</v>
      </c>
      <c r="G23" s="1"/>
      <c r="H23" s="1">
        <f>SUM(OSRRefH22_0x_0)</f>
        <v>89.76</v>
      </c>
      <c r="I23" s="1"/>
      <c r="J23" s="5">
        <f t="shared" si="13"/>
        <v>3.0626115724135673E-3</v>
      </c>
      <c r="K23" s="1"/>
      <c r="L23" s="1">
        <f t="shared" si="14"/>
        <v>233.93</v>
      </c>
      <c r="M23" s="1"/>
      <c r="N23" s="5">
        <f t="shared" si="15"/>
        <v>2.6061720142602494</v>
      </c>
      <c r="O23" s="14"/>
      <c r="P23" s="1">
        <f>SUM(OSRRefP22_0x_0)</f>
        <v>323.69</v>
      </c>
      <c r="Q23" s="1"/>
      <c r="R23" s="5">
        <f t="shared" si="16"/>
        <v>1.6305264944813765E-2</v>
      </c>
      <c r="S23" s="1"/>
      <c r="T23" s="1">
        <f>SUM(OSRRefT22_0x_0)</f>
        <v>103.57</v>
      </c>
      <c r="U23" s="1"/>
      <c r="V23" s="5">
        <f t="shared" si="17"/>
        <v>3.5338088297111533E-3</v>
      </c>
      <c r="W23" s="1"/>
      <c r="X23" s="1">
        <f t="shared" si="18"/>
        <v>220.12</v>
      </c>
      <c r="Y23" s="1"/>
      <c r="Z23" s="5">
        <f t="shared" si="19"/>
        <v>2.1253258665636769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323.69</v>
      </c>
      <c r="E24" s="2"/>
      <c r="F24" s="6">
        <f t="shared" si="12"/>
        <v>1.6821356559336479E-2</v>
      </c>
      <c r="G24" s="2"/>
      <c r="H24" s="7">
        <v>61.91</v>
      </c>
      <c r="I24" s="2"/>
      <c r="J24" s="6">
        <f t="shared" si="13"/>
        <v>2.1123694568641257E-3</v>
      </c>
      <c r="K24" s="2"/>
      <c r="L24" s="7">
        <f t="shared" si="14"/>
        <v>261.77999999999997</v>
      </c>
      <c r="M24" s="2"/>
      <c r="N24" s="6">
        <f t="shared" si="15"/>
        <v>4.2283960587950249</v>
      </c>
      <c r="O24" s="11"/>
      <c r="P24" s="7">
        <v>323.69</v>
      </c>
      <c r="Q24" s="2"/>
      <c r="R24" s="6">
        <f t="shared" si="16"/>
        <v>1.6305264944813765E-2</v>
      </c>
      <c r="S24" s="2"/>
      <c r="T24" s="7">
        <v>71.17</v>
      </c>
      <c r="U24" s="2"/>
      <c r="V24" s="6">
        <f t="shared" si="17"/>
        <v>2.4283206952837966E-3</v>
      </c>
      <c r="W24" s="2"/>
      <c r="X24" s="7">
        <f t="shared" si="18"/>
        <v>252.51999999999998</v>
      </c>
      <c r="Y24" s="2"/>
      <c r="Z24" s="6">
        <f t="shared" si="19"/>
        <v>3.5481242096388925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2"/>
        <v>0</v>
      </c>
      <c r="G25" s="2"/>
      <c r="H25" s="7">
        <v>25.92</v>
      </c>
      <c r="I25" s="2"/>
      <c r="J25" s="6">
        <f t="shared" si="13"/>
        <v>8.8439050754188578E-4</v>
      </c>
      <c r="K25" s="2"/>
      <c r="L25" s="7">
        <f t="shared" si="14"/>
        <v>-25.92</v>
      </c>
      <c r="M25" s="2"/>
      <c r="N25" s="6">
        <f t="shared" si="15"/>
        <v>-1</v>
      </c>
      <c r="O25" s="11"/>
      <c r="P25" s="7"/>
      <c r="Q25" s="2"/>
      <c r="R25" s="6">
        <f t="shared" si="16"/>
        <v>0</v>
      </c>
      <c r="S25" s="2"/>
      <c r="T25" s="7">
        <v>30.16</v>
      </c>
      <c r="U25" s="2"/>
      <c r="V25" s="6">
        <f t="shared" si="17"/>
        <v>1.029059325133614E-3</v>
      </c>
      <c r="W25" s="2"/>
      <c r="X25" s="7">
        <f t="shared" si="18"/>
        <v>-30.16</v>
      </c>
      <c r="Y25" s="2"/>
      <c r="Z25" s="6">
        <f t="shared" si="19"/>
        <v>-1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1.93</v>
      </c>
      <c r="I26" s="2"/>
      <c r="J26" s="6">
        <f t="shared" si="13"/>
        <v>6.5851608007555534E-5</v>
      </c>
      <c r="K26" s="2"/>
      <c r="L26" s="7">
        <f t="shared" si="14"/>
        <v>-1.93</v>
      </c>
      <c r="M26" s="2"/>
      <c r="N26" s="6">
        <f t="shared" si="15"/>
        <v>-1</v>
      </c>
      <c r="O26" s="11"/>
      <c r="P26" s="7"/>
      <c r="Q26" s="2"/>
      <c r="R26" s="6">
        <f t="shared" si="16"/>
        <v>0</v>
      </c>
      <c r="S26" s="2"/>
      <c r="T26" s="7">
        <v>2.2400000000000002</v>
      </c>
      <c r="U26" s="2"/>
      <c r="V26" s="6">
        <f t="shared" si="17"/>
        <v>7.642880929374322E-5</v>
      </c>
      <c r="W26" s="2"/>
      <c r="X26" s="7">
        <f t="shared" si="18"/>
        <v>-2.2400000000000002</v>
      </c>
      <c r="Y26" s="2"/>
      <c r="Z26" s="6">
        <f t="shared" si="19"/>
        <v>-1</v>
      </c>
    </row>
    <row r="27" spans="1:26" s="27" customFormat="1" outlineLevel="1" collapsed="1" x14ac:dyDescent="0.25">
      <c r="A27" s="28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3977.18</v>
      </c>
      <c r="E27" s="1"/>
      <c r="F27" s="5">
        <f t="shared" ref="F27:F31" si="20">IF(D$12=0,0,D27/D$12)</f>
        <v>0.20668405845303178</v>
      </c>
      <c r="G27" s="1"/>
      <c r="H27" s="1">
        <f>SUM(OSRRefH22_1x_0)</f>
        <v>902.25</v>
      </c>
      <c r="I27" s="1"/>
      <c r="J27" s="5">
        <f t="shared" ref="J27:J31" si="21">IF(H$12=0,0,H27/H$12)</f>
        <v>3.0784773743428487E-2</v>
      </c>
      <c r="K27" s="1"/>
      <c r="L27" s="1">
        <f t="shared" ref="L27:L31" si="22">+D27-H27</f>
        <v>3074.93</v>
      </c>
      <c r="M27" s="1"/>
      <c r="N27" s="5">
        <f t="shared" ref="N27:N31" si="23">IF(H27=0,0,L27/H27)</f>
        <v>3.4080687170961483</v>
      </c>
      <c r="O27" s="14"/>
      <c r="P27" s="1">
        <f>SUM(OSRRefP22_1x_0)</f>
        <v>4864.18</v>
      </c>
      <c r="Q27" s="1"/>
      <c r="R27" s="5">
        <f t="shared" ref="R27:R31" si="24">IF(P$12=0,0,P27/P$12)</f>
        <v>0.24502376854170416</v>
      </c>
      <c r="S27" s="1"/>
      <c r="T27" s="1">
        <f>SUM(OSRRefT22_1x_0)</f>
        <v>1023.25</v>
      </c>
      <c r="U27" s="1"/>
      <c r="V27" s="5">
        <f t="shared" ref="V27:V31" si="25">IF(T$12=0,0,T27/T$12)</f>
        <v>3.4913294245456583E-2</v>
      </c>
      <c r="W27" s="1"/>
      <c r="X27" s="1">
        <f t="shared" ref="X27:X31" si="26">+P27-T27</f>
        <v>3840.9300000000003</v>
      </c>
      <c r="Y27" s="1"/>
      <c r="Z27" s="5">
        <f t="shared" ref="Z27:Z31" si="27">IF(T27=0,0,X27/T27)</f>
        <v>3.7536574639628637</v>
      </c>
    </row>
    <row r="28" spans="1:26" s="24" customFormat="1" hidden="1" outlineLevel="2" x14ac:dyDescent="0.25">
      <c r="A28" s="29"/>
      <c r="B28" s="11" t="str">
        <f>CONCATENATE("          ", "6005", " - ", "TEMPORARY WAGES-HOURLY")</f>
        <v xml:space="preserve">          6005 - TEMPORARY WAGES-HOURLY</v>
      </c>
      <c r="C28" s="11"/>
      <c r="D28" s="7">
        <v>1896.99</v>
      </c>
      <c r="E28" s="2"/>
      <c r="F28" s="6">
        <f t="shared" si="20"/>
        <v>9.8581807221402293E-2</v>
      </c>
      <c r="G28" s="2"/>
      <c r="H28" s="7"/>
      <c r="I28" s="2"/>
      <c r="J28" s="6">
        <f t="shared" si="21"/>
        <v>0</v>
      </c>
      <c r="K28" s="2"/>
      <c r="L28" s="7">
        <f t="shared" si="22"/>
        <v>1896.99</v>
      </c>
      <c r="M28" s="2"/>
      <c r="N28" s="6">
        <f t="shared" si="23"/>
        <v>0</v>
      </c>
      <c r="O28" s="11"/>
      <c r="P28" s="7">
        <v>1896.99</v>
      </c>
      <c r="Q28" s="2"/>
      <c r="R28" s="6">
        <f t="shared" si="24"/>
        <v>9.5557244733115831E-2</v>
      </c>
      <c r="S28" s="2"/>
      <c r="T28" s="7"/>
      <c r="U28" s="2"/>
      <c r="V28" s="6">
        <f t="shared" si="25"/>
        <v>0</v>
      </c>
      <c r="W28" s="2"/>
      <c r="X28" s="7">
        <f t="shared" si="26"/>
        <v>1896.99</v>
      </c>
      <c r="Y28" s="2"/>
      <c r="Z28" s="6">
        <f t="shared" si="27"/>
        <v>0</v>
      </c>
    </row>
    <row r="29" spans="1:26" s="24" customFormat="1" hidden="1" outlineLevel="2" x14ac:dyDescent="0.25">
      <c r="A29" s="29"/>
      <c r="B29" s="11" t="str">
        <f>CONCATENATE("          ", "6006", " - ", "TEMPORARY PART TIME")</f>
        <v xml:space="preserve">          6006 - TEMPORARY PART TIME</v>
      </c>
      <c r="C29" s="11"/>
      <c r="D29" s="7">
        <v>247.5</v>
      </c>
      <c r="E29" s="2"/>
      <c r="F29" s="6">
        <f t="shared" si="20"/>
        <v>1.2861953561851706E-2</v>
      </c>
      <c r="G29" s="2"/>
      <c r="H29" s="7"/>
      <c r="I29" s="2"/>
      <c r="J29" s="6">
        <f t="shared" si="21"/>
        <v>0</v>
      </c>
      <c r="K29" s="2"/>
      <c r="L29" s="7">
        <f t="shared" si="22"/>
        <v>247.5</v>
      </c>
      <c r="M29" s="2"/>
      <c r="N29" s="6">
        <f t="shared" si="23"/>
        <v>0</v>
      </c>
      <c r="O29" s="11"/>
      <c r="P29" s="7">
        <v>247.5</v>
      </c>
      <c r="Q29" s="2"/>
      <c r="R29" s="6">
        <f t="shared" si="24"/>
        <v>1.2467339348887536E-2</v>
      </c>
      <c r="S29" s="2"/>
      <c r="T29" s="7"/>
      <c r="U29" s="2"/>
      <c r="V29" s="6">
        <f t="shared" si="25"/>
        <v>0</v>
      </c>
      <c r="W29" s="2"/>
      <c r="X29" s="7">
        <f t="shared" si="26"/>
        <v>247.5</v>
      </c>
      <c r="Y29" s="2"/>
      <c r="Z29" s="6">
        <f t="shared" si="27"/>
        <v>0</v>
      </c>
    </row>
    <row r="30" spans="1:26" s="24" customFormat="1" hidden="1" outlineLevel="2" x14ac:dyDescent="0.25">
      <c r="A30" s="29"/>
      <c r="B30" s="11" t="str">
        <f>CONCATENATE("          ", "6007", " - ", "STUDENT HOURLY")</f>
        <v xml:space="preserve">          6007 - STUDENT HOURLY</v>
      </c>
      <c r="C30" s="11"/>
      <c r="D30" s="7">
        <v>1199.69</v>
      </c>
      <c r="E30" s="2"/>
      <c r="F30" s="6">
        <f t="shared" si="20"/>
        <v>6.2344877044920706E-2</v>
      </c>
      <c r="G30" s="2"/>
      <c r="H30" s="7">
        <v>902.25</v>
      </c>
      <c r="I30" s="2"/>
      <c r="J30" s="6">
        <f t="shared" si="21"/>
        <v>3.0784773743428487E-2</v>
      </c>
      <c r="K30" s="2"/>
      <c r="L30" s="7">
        <f t="shared" si="22"/>
        <v>297.44000000000005</v>
      </c>
      <c r="M30" s="2"/>
      <c r="N30" s="6">
        <f t="shared" si="23"/>
        <v>0.32966472707121092</v>
      </c>
      <c r="O30" s="11"/>
      <c r="P30" s="7">
        <v>2086.69</v>
      </c>
      <c r="Q30" s="2"/>
      <c r="R30" s="6">
        <f t="shared" si="24"/>
        <v>0.10511301957951569</v>
      </c>
      <c r="S30" s="2"/>
      <c r="T30" s="7">
        <v>1023.25</v>
      </c>
      <c r="U30" s="2"/>
      <c r="V30" s="6">
        <f t="shared" si="25"/>
        <v>3.4913294245456583E-2</v>
      </c>
      <c r="W30" s="2"/>
      <c r="X30" s="7">
        <f t="shared" si="26"/>
        <v>1063.44</v>
      </c>
      <c r="Y30" s="2"/>
      <c r="Z30" s="6">
        <f t="shared" si="27"/>
        <v>1.0392768140728073</v>
      </c>
    </row>
    <row r="31" spans="1:26" s="24" customFormat="1" hidden="1" outlineLevel="2" x14ac:dyDescent="0.25">
      <c r="A31" s="29"/>
      <c r="B31" s="11" t="str">
        <f>CONCATENATE("          ", "6008", " - ", "STUDENT HOURLY-FICA EXEMPT")</f>
        <v xml:space="preserve">          6008 - STUDENT HOURLY-FICA EXEMPT</v>
      </c>
      <c r="C31" s="11"/>
      <c r="D31" s="7">
        <v>633</v>
      </c>
      <c r="E31" s="2"/>
      <c r="F31" s="6">
        <f t="shared" si="20"/>
        <v>3.2895420624857091E-2</v>
      </c>
      <c r="G31" s="2"/>
      <c r="H31" s="7"/>
      <c r="I31" s="2"/>
      <c r="J31" s="6">
        <f t="shared" si="21"/>
        <v>0</v>
      </c>
      <c r="K31" s="2"/>
      <c r="L31" s="7">
        <f t="shared" si="22"/>
        <v>633</v>
      </c>
      <c r="M31" s="2"/>
      <c r="N31" s="6">
        <f t="shared" si="23"/>
        <v>0</v>
      </c>
      <c r="O31" s="11"/>
      <c r="P31" s="7">
        <v>633</v>
      </c>
      <c r="Q31" s="2"/>
      <c r="R31" s="6">
        <f t="shared" si="24"/>
        <v>3.1886164880185093E-2</v>
      </c>
      <c r="S31" s="2"/>
      <c r="T31" s="7"/>
      <c r="U31" s="2"/>
      <c r="V31" s="6">
        <f t="shared" si="25"/>
        <v>0</v>
      </c>
      <c r="W31" s="2"/>
      <c r="X31" s="7">
        <f t="shared" si="26"/>
        <v>633</v>
      </c>
      <c r="Y31" s="2"/>
      <c r="Z31" s="6">
        <f t="shared" si="27"/>
        <v>0</v>
      </c>
    </row>
    <row r="32" spans="1:26" s="27" customFormat="1" outlineLevel="1" collapsed="1" x14ac:dyDescent="0.25">
      <c r="A32" s="28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103.95</v>
      </c>
      <c r="E32" s="1"/>
      <c r="F32" s="5">
        <f t="shared" ref="F32:F44" si="28">IF(D$12=0,0,D32/D$12)</f>
        <v>5.4020204959777168E-3</v>
      </c>
      <c r="G32" s="1"/>
      <c r="H32" s="1">
        <f>SUM(OSRRefH22_2x_0)</f>
        <v>0</v>
      </c>
      <c r="I32" s="1"/>
      <c r="J32" s="5">
        <f t="shared" ref="J32:J44" si="29">IF(H$12=0,0,H32/H$12)</f>
        <v>0</v>
      </c>
      <c r="K32" s="1"/>
      <c r="L32" s="1">
        <f t="shared" ref="L32:L44" si="30">+D32-H32</f>
        <v>103.95</v>
      </c>
      <c r="M32" s="1"/>
      <c r="N32" s="5">
        <f t="shared" ref="N32:N44" si="31">IF(H32=0,0,L32/H32)</f>
        <v>0</v>
      </c>
      <c r="O32" s="14"/>
      <c r="P32" s="1">
        <f>SUM(OSRRefP22_2x_0)</f>
        <v>103.95</v>
      </c>
      <c r="Q32" s="1"/>
      <c r="R32" s="5">
        <f t="shared" ref="R32:R44" si="32">IF(P$12=0,0,P32/P$12)</f>
        <v>5.2362825265327654E-3</v>
      </c>
      <c r="S32" s="1"/>
      <c r="T32" s="1">
        <f>SUM(OSRRefT22_2x_0)</f>
        <v>31.5</v>
      </c>
      <c r="U32" s="1"/>
      <c r="V32" s="5">
        <f t="shared" ref="V32:V44" si="33">IF(T$12=0,0,T32/T$12)</f>
        <v>1.0747801306932639E-3</v>
      </c>
      <c r="W32" s="1"/>
      <c r="X32" s="1">
        <f t="shared" ref="X32:X44" si="34">+P32-T32</f>
        <v>72.45</v>
      </c>
      <c r="Y32" s="1"/>
      <c r="Z32" s="5">
        <f t="shared" ref="Z32:Z44" si="35">IF(T32=0,0,X32/T32)</f>
        <v>2.3000000000000003</v>
      </c>
    </row>
    <row r="33" spans="1:26" s="24" customFormat="1" hidden="1" outlineLevel="2" x14ac:dyDescent="0.25">
      <c r="A33" s="29"/>
      <c r="B33" s="11" t="str">
        <f>CONCATENATE("          ", "6362", " - ", "ADVERTISING EXPENSE")</f>
        <v xml:space="preserve">          6362 - ADVERTISING EXPENSE</v>
      </c>
      <c r="C33" s="11"/>
      <c r="D33" s="7">
        <v>103.95</v>
      </c>
      <c r="E33" s="2"/>
      <c r="F33" s="6">
        <f t="shared" si="28"/>
        <v>5.4020204959777168E-3</v>
      </c>
      <c r="G33" s="2"/>
      <c r="H33" s="7"/>
      <c r="I33" s="2"/>
      <c r="J33" s="6">
        <f t="shared" si="29"/>
        <v>0</v>
      </c>
      <c r="K33" s="2"/>
      <c r="L33" s="7">
        <f t="shared" si="30"/>
        <v>103.95</v>
      </c>
      <c r="M33" s="2"/>
      <c r="N33" s="6">
        <f t="shared" si="31"/>
        <v>0</v>
      </c>
      <c r="O33" s="11"/>
      <c r="P33" s="7">
        <v>103.95</v>
      </c>
      <c r="Q33" s="2"/>
      <c r="R33" s="6">
        <f t="shared" si="32"/>
        <v>5.2362825265327654E-3</v>
      </c>
      <c r="S33" s="2"/>
      <c r="T33" s="7">
        <v>31.5</v>
      </c>
      <c r="U33" s="2"/>
      <c r="V33" s="6">
        <f t="shared" si="33"/>
        <v>1.0747801306932639E-3</v>
      </c>
      <c r="W33" s="2"/>
      <c r="X33" s="7">
        <f t="shared" si="34"/>
        <v>72.45</v>
      </c>
      <c r="Y33" s="2"/>
      <c r="Z33" s="6">
        <f t="shared" si="35"/>
        <v>2.3000000000000003</v>
      </c>
    </row>
    <row r="34" spans="1:26" s="27" customFormat="1" outlineLevel="1" collapsed="1" x14ac:dyDescent="0.25">
      <c r="A34" s="28"/>
      <c r="B34" s="14" t="str">
        <f>CONCATENATE("     ","Bad Debts/Over/Short                              ")</f>
        <v xml:space="preserve">     Bad Debts/Over/Short                              </v>
      </c>
      <c r="C34" s="14"/>
      <c r="D34" s="1">
        <f>SUM(OSRRefD22_3x_0)</f>
        <v>2.85</v>
      </c>
      <c r="E34" s="1"/>
      <c r="F34" s="5">
        <f t="shared" si="28"/>
        <v>1.4810734404556509E-4</v>
      </c>
      <c r="G34" s="1"/>
      <c r="H34" s="1">
        <f>SUM(OSRRefH22_3x_0)</f>
        <v>-17.079999999999998</v>
      </c>
      <c r="I34" s="1"/>
      <c r="J34" s="5">
        <f t="shared" si="29"/>
        <v>-5.827696708647919E-4</v>
      </c>
      <c r="K34" s="1"/>
      <c r="L34" s="1">
        <f t="shared" si="30"/>
        <v>19.93</v>
      </c>
      <c r="M34" s="1"/>
      <c r="N34" s="5">
        <f t="shared" si="31"/>
        <v>-1.1668618266978923</v>
      </c>
      <c r="O34" s="14"/>
      <c r="P34" s="1">
        <f>SUM(OSRRefP22_3x_0)</f>
        <v>1.85</v>
      </c>
      <c r="Q34" s="1"/>
      <c r="R34" s="5">
        <f t="shared" si="32"/>
        <v>9.3190213314916939E-5</v>
      </c>
      <c r="S34" s="1"/>
      <c r="T34" s="1">
        <f>SUM(OSRRefT22_3x_0)</f>
        <v>-17.079999999999998</v>
      </c>
      <c r="U34" s="1"/>
      <c r="V34" s="5">
        <f t="shared" si="33"/>
        <v>-5.827696708647919E-4</v>
      </c>
      <c r="W34" s="1"/>
      <c r="X34" s="1">
        <f t="shared" si="34"/>
        <v>18.93</v>
      </c>
      <c r="Y34" s="1"/>
      <c r="Z34" s="5">
        <f t="shared" si="35"/>
        <v>-1.1083138173302109</v>
      </c>
    </row>
    <row r="35" spans="1:26" s="24" customFormat="1" hidden="1" outlineLevel="2" x14ac:dyDescent="0.25">
      <c r="A35" s="29"/>
      <c r="B35" s="11" t="str">
        <f>CONCATENATE("          ", "6272", " - ", "CASH (OVER/SHORT)")</f>
        <v xml:space="preserve">          6272 - CASH (OVER/SHORT)</v>
      </c>
      <c r="C35" s="11"/>
      <c r="D35" s="7">
        <v>2.85</v>
      </c>
      <c r="E35" s="2"/>
      <c r="F35" s="6">
        <f t="shared" si="28"/>
        <v>1.4810734404556509E-4</v>
      </c>
      <c r="G35" s="2"/>
      <c r="H35" s="7">
        <v>-17.079999999999998</v>
      </c>
      <c r="I35" s="2"/>
      <c r="J35" s="6">
        <f t="shared" si="29"/>
        <v>-5.827696708647919E-4</v>
      </c>
      <c r="K35" s="2"/>
      <c r="L35" s="7">
        <f t="shared" si="30"/>
        <v>19.93</v>
      </c>
      <c r="M35" s="2"/>
      <c r="N35" s="6">
        <f t="shared" si="31"/>
        <v>-1.1668618266978923</v>
      </c>
      <c r="O35" s="11"/>
      <c r="P35" s="7">
        <v>1.85</v>
      </c>
      <c r="Q35" s="2"/>
      <c r="R35" s="6">
        <f t="shared" si="32"/>
        <v>9.3190213314916939E-5</v>
      </c>
      <c r="S35" s="2"/>
      <c r="T35" s="7">
        <v>-17.079999999999998</v>
      </c>
      <c r="U35" s="2"/>
      <c r="V35" s="6">
        <f t="shared" si="33"/>
        <v>-5.827696708647919E-4</v>
      </c>
      <c r="W35" s="2"/>
      <c r="X35" s="7">
        <f t="shared" si="34"/>
        <v>18.93</v>
      </c>
      <c r="Y35" s="2"/>
      <c r="Z35" s="6">
        <f t="shared" si="35"/>
        <v>-1.1083138173302109</v>
      </c>
    </row>
    <row r="36" spans="1:26" s="27" customFormat="1" outlineLevel="1" collapsed="1" x14ac:dyDescent="0.25">
      <c r="A36" s="28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SUM(OSRRefD22_4x_0)</f>
        <v>333.47</v>
      </c>
      <c r="E36" s="1"/>
      <c r="F36" s="5">
        <f t="shared" si="28"/>
        <v>1.7329598603113894E-2</v>
      </c>
      <c r="G36" s="1"/>
      <c r="H36" s="1">
        <f>SUM(OSRRefH22_4x_0)</f>
        <v>546</v>
      </c>
      <c r="I36" s="1"/>
      <c r="J36" s="5">
        <f t="shared" si="29"/>
        <v>1.8629522265349908E-2</v>
      </c>
      <c r="K36" s="1"/>
      <c r="L36" s="1">
        <f t="shared" si="30"/>
        <v>-212.52999999999997</v>
      </c>
      <c r="M36" s="1"/>
      <c r="N36" s="5">
        <f t="shared" si="31"/>
        <v>-0.38924908424908422</v>
      </c>
      <c r="O36" s="14"/>
      <c r="P36" s="1">
        <f>SUM(OSRRefP22_4x_0)</f>
        <v>333.47</v>
      </c>
      <c r="Q36" s="1"/>
      <c r="R36" s="5">
        <f t="shared" si="32"/>
        <v>1.6797913748175866E-2</v>
      </c>
      <c r="S36" s="1"/>
      <c r="T36" s="1">
        <f>SUM(OSRRefT22_4x_0)</f>
        <v>546</v>
      </c>
      <c r="U36" s="1"/>
      <c r="V36" s="5">
        <f t="shared" si="33"/>
        <v>1.8629522265349908E-2</v>
      </c>
      <c r="W36" s="1"/>
      <c r="X36" s="1">
        <f t="shared" si="34"/>
        <v>-212.52999999999997</v>
      </c>
      <c r="Y36" s="1"/>
      <c r="Z36" s="5">
        <f t="shared" si="35"/>
        <v>-0.38924908424908422</v>
      </c>
    </row>
    <row r="37" spans="1:26" s="24" customFormat="1" hidden="1" outlineLevel="2" x14ac:dyDescent="0.25">
      <c r="A37" s="29"/>
      <c r="B37" s="11" t="str">
        <f>CONCATENATE("          ", "6381", " - ", "BANK/CREDIT CARD FEES")</f>
        <v xml:space="preserve">          6381 - BANK/CREDIT CARD FEES</v>
      </c>
      <c r="C37" s="11"/>
      <c r="D37" s="7">
        <v>333.47</v>
      </c>
      <c r="E37" s="2"/>
      <c r="F37" s="6">
        <f t="shared" si="28"/>
        <v>1.7329598603113894E-2</v>
      </c>
      <c r="G37" s="2"/>
      <c r="H37" s="7">
        <v>546</v>
      </c>
      <c r="I37" s="2"/>
      <c r="J37" s="6">
        <f t="shared" si="29"/>
        <v>1.8629522265349908E-2</v>
      </c>
      <c r="K37" s="2"/>
      <c r="L37" s="7">
        <f t="shared" si="30"/>
        <v>-212.52999999999997</v>
      </c>
      <c r="M37" s="2"/>
      <c r="N37" s="6">
        <f t="shared" si="31"/>
        <v>-0.38924908424908422</v>
      </c>
      <c r="O37" s="11"/>
      <c r="P37" s="7">
        <v>333.47</v>
      </c>
      <c r="Q37" s="2"/>
      <c r="R37" s="6">
        <f t="shared" si="32"/>
        <v>1.6797913748175866E-2</v>
      </c>
      <c r="S37" s="2"/>
      <c r="T37" s="7">
        <v>546</v>
      </c>
      <c r="U37" s="2"/>
      <c r="V37" s="6">
        <f t="shared" si="33"/>
        <v>1.8629522265349908E-2</v>
      </c>
      <c r="W37" s="2"/>
      <c r="X37" s="7">
        <f t="shared" si="34"/>
        <v>-212.52999999999997</v>
      </c>
      <c r="Y37" s="2"/>
      <c r="Z37" s="6">
        <f t="shared" si="35"/>
        <v>-0.38924908424908422</v>
      </c>
    </row>
    <row r="38" spans="1:26" s="27" customFormat="1" outlineLevel="1" collapsed="1" x14ac:dyDescent="0.25">
      <c r="A38" s="28"/>
      <c r="B38" s="14" t="str">
        <f>CONCATENATE("     ","Employees' Appreciation                           ")</f>
        <v xml:space="preserve">     Employees' Appreciation                           </v>
      </c>
      <c r="C38" s="14"/>
      <c r="D38" s="1">
        <f>SUM(OSRRefD22_5x_0)</f>
        <v>66.09</v>
      </c>
      <c r="E38" s="1"/>
      <c r="F38" s="5">
        <f t="shared" si="28"/>
        <v>3.4345313571829466E-3</v>
      </c>
      <c r="G38" s="1"/>
      <c r="H38" s="1">
        <f>SUM(OSRRefH22_5x_0)</f>
        <v>0</v>
      </c>
      <c r="I38" s="1"/>
      <c r="J38" s="5">
        <f t="shared" si="29"/>
        <v>0</v>
      </c>
      <c r="K38" s="1"/>
      <c r="L38" s="1">
        <f t="shared" si="30"/>
        <v>66.09</v>
      </c>
      <c r="M38" s="1"/>
      <c r="N38" s="5">
        <f t="shared" si="31"/>
        <v>0</v>
      </c>
      <c r="O38" s="14"/>
      <c r="P38" s="1">
        <f>SUM(OSRRefP22_5x_0)</f>
        <v>114.64</v>
      </c>
      <c r="Q38" s="1"/>
      <c r="R38" s="5">
        <f t="shared" si="32"/>
        <v>5.7747708402281503E-3</v>
      </c>
      <c r="S38" s="1"/>
      <c r="T38" s="1">
        <f>SUM(OSRRefT22_5x_0)</f>
        <v>0</v>
      </c>
      <c r="U38" s="1"/>
      <c r="V38" s="5">
        <f t="shared" si="33"/>
        <v>0</v>
      </c>
      <c r="W38" s="1"/>
      <c r="X38" s="1">
        <f t="shared" si="34"/>
        <v>114.64</v>
      </c>
      <c r="Y38" s="1"/>
      <c r="Z38" s="5">
        <f t="shared" si="35"/>
        <v>0</v>
      </c>
    </row>
    <row r="39" spans="1:26" s="24" customFormat="1" hidden="1" outlineLevel="2" x14ac:dyDescent="0.25">
      <c r="A39" s="29"/>
      <c r="B39" s="11" t="str">
        <f>CONCATENATE("          ", "6277", " - ", "EMPLOYEE APPRECIATION")</f>
        <v xml:space="preserve">          6277 - EMPLOYEE APPRECIATION</v>
      </c>
      <c r="C39" s="11"/>
      <c r="D39" s="7">
        <v>66.09</v>
      </c>
      <c r="E39" s="2"/>
      <c r="F39" s="6">
        <f t="shared" si="28"/>
        <v>3.4345313571829466E-3</v>
      </c>
      <c r="G39" s="2"/>
      <c r="H39" s="7"/>
      <c r="I39" s="2"/>
      <c r="J39" s="6">
        <f t="shared" si="29"/>
        <v>0</v>
      </c>
      <c r="K39" s="2"/>
      <c r="L39" s="7">
        <f t="shared" si="30"/>
        <v>66.09</v>
      </c>
      <c r="M39" s="2"/>
      <c r="N39" s="6">
        <f t="shared" si="31"/>
        <v>0</v>
      </c>
      <c r="O39" s="11"/>
      <c r="P39" s="7">
        <v>114.64</v>
      </c>
      <c r="Q39" s="2"/>
      <c r="R39" s="6">
        <f t="shared" si="32"/>
        <v>5.7747708402281503E-3</v>
      </c>
      <c r="S39" s="2"/>
      <c r="T39" s="7"/>
      <c r="U39" s="2"/>
      <c r="V39" s="6">
        <f t="shared" si="33"/>
        <v>0</v>
      </c>
      <c r="W39" s="2"/>
      <c r="X39" s="7">
        <f t="shared" si="34"/>
        <v>114.64</v>
      </c>
      <c r="Y39" s="2"/>
      <c r="Z39" s="6">
        <f t="shared" si="35"/>
        <v>0</v>
      </c>
    </row>
    <row r="40" spans="1:26" s="27" customFormat="1" outlineLevel="1" collapsed="1" x14ac:dyDescent="0.25">
      <c r="A40" s="28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SUM(OSRRefD22_6x_0)</f>
        <v>0</v>
      </c>
      <c r="E40" s="1"/>
      <c r="F40" s="5">
        <f t="shared" si="28"/>
        <v>0</v>
      </c>
      <c r="G40" s="1"/>
      <c r="H40" s="1">
        <f>SUM(OSRRefH22_6x_0)</f>
        <v>0</v>
      </c>
      <c r="I40" s="1"/>
      <c r="J40" s="5">
        <f t="shared" si="29"/>
        <v>0</v>
      </c>
      <c r="K40" s="1"/>
      <c r="L40" s="1">
        <f t="shared" si="30"/>
        <v>0</v>
      </c>
      <c r="M40" s="1"/>
      <c r="N40" s="5">
        <f t="shared" si="31"/>
        <v>0</v>
      </c>
      <c r="O40" s="14"/>
      <c r="P40" s="1">
        <f>SUM(OSRRefP22_6x_0)</f>
        <v>1464.1</v>
      </c>
      <c r="Q40" s="1"/>
      <c r="R40" s="5">
        <f t="shared" si="32"/>
        <v>7.3751238548308048E-2</v>
      </c>
      <c r="S40" s="1"/>
      <c r="T40" s="1">
        <f>SUM(OSRRefT22_6x_0)</f>
        <v>2400.4299999999998</v>
      </c>
      <c r="U40" s="1"/>
      <c r="V40" s="5">
        <f t="shared" si="33"/>
        <v>8.1902681559366072E-2</v>
      </c>
      <c r="W40" s="1"/>
      <c r="X40" s="1">
        <f t="shared" si="34"/>
        <v>-936.32999999999993</v>
      </c>
      <c r="Y40" s="1"/>
      <c r="Z40" s="5">
        <f t="shared" si="35"/>
        <v>-0.3900676128860246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28"/>
        <v>0</v>
      </c>
      <c r="G41" s="2"/>
      <c r="H41" s="7"/>
      <c r="I41" s="2"/>
      <c r="J41" s="6">
        <f t="shared" si="29"/>
        <v>0</v>
      </c>
      <c r="K41" s="2"/>
      <c r="L41" s="7">
        <f t="shared" si="30"/>
        <v>0</v>
      </c>
      <c r="M41" s="2"/>
      <c r="N41" s="6">
        <f t="shared" si="31"/>
        <v>0</v>
      </c>
      <c r="O41" s="11"/>
      <c r="P41" s="7">
        <v>1464.1</v>
      </c>
      <c r="Q41" s="2"/>
      <c r="R41" s="6">
        <f t="shared" si="32"/>
        <v>7.3751238548308048E-2</v>
      </c>
      <c r="S41" s="2"/>
      <c r="T41" s="7">
        <v>2400.4299999999998</v>
      </c>
      <c r="U41" s="2"/>
      <c r="V41" s="6">
        <f t="shared" si="33"/>
        <v>8.1902681559366072E-2</v>
      </c>
      <c r="W41" s="2"/>
      <c r="X41" s="7">
        <f t="shared" si="34"/>
        <v>-936.32999999999993</v>
      </c>
      <c r="Y41" s="2"/>
      <c r="Z41" s="6">
        <f t="shared" si="35"/>
        <v>-0.3900676128860246</v>
      </c>
    </row>
    <row r="42" spans="1:26" s="27" customFormat="1" outlineLevel="1" collapsed="1" x14ac:dyDescent="0.25">
      <c r="A42" s="28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SUM(OSRRefD22_7x_0)</f>
        <v>0</v>
      </c>
      <c r="E42" s="1"/>
      <c r="F42" s="5">
        <f t="shared" si="28"/>
        <v>0</v>
      </c>
      <c r="G42" s="1"/>
      <c r="H42" s="1">
        <f>SUM(OSRRefH22_7x_0)</f>
        <v>1879.98</v>
      </c>
      <c r="I42" s="1"/>
      <c r="J42" s="5">
        <f t="shared" si="29"/>
        <v>6.4144925400022923E-2</v>
      </c>
      <c r="K42" s="1"/>
      <c r="L42" s="1">
        <f t="shared" si="30"/>
        <v>-1879.98</v>
      </c>
      <c r="M42" s="1"/>
      <c r="N42" s="5">
        <f t="shared" si="31"/>
        <v>-1</v>
      </c>
      <c r="O42" s="14"/>
      <c r="P42" s="1">
        <f>SUM(OSRRefP22_7x_0)</f>
        <v>138.08000000000001</v>
      </c>
      <c r="Q42" s="1"/>
      <c r="R42" s="5">
        <f t="shared" si="32"/>
        <v>6.9555160294722876E-3</v>
      </c>
      <c r="S42" s="1"/>
      <c r="T42" s="1">
        <f>SUM(OSRRefT22_7x_0)</f>
        <v>1879.98</v>
      </c>
      <c r="U42" s="1"/>
      <c r="V42" s="5">
        <f t="shared" si="33"/>
        <v>6.4144925400022923E-2</v>
      </c>
      <c r="W42" s="1"/>
      <c r="X42" s="1">
        <f t="shared" si="34"/>
        <v>-1741.9</v>
      </c>
      <c r="Y42" s="1"/>
      <c r="Z42" s="5">
        <f t="shared" si="35"/>
        <v>-0.92655241013202272</v>
      </c>
    </row>
    <row r="43" spans="1:26" s="24" customFormat="1" hidden="1" outlineLevel="2" x14ac:dyDescent="0.25">
      <c r="A43" s="29"/>
      <c r="B43" s="11" t="str">
        <f>CONCATENATE("          ", "6373", " - ", "MAINTENANCE CONTRACTS")</f>
        <v xml:space="preserve">          6373 - MAINTENANCE CONTRACTS</v>
      </c>
      <c r="C43" s="11"/>
      <c r="D43" s="7"/>
      <c r="E43" s="2"/>
      <c r="F43" s="6">
        <f t="shared" si="28"/>
        <v>0</v>
      </c>
      <c r="G43" s="2"/>
      <c r="H43" s="7">
        <v>283.5</v>
      </c>
      <c r="I43" s="2"/>
      <c r="J43" s="6">
        <f t="shared" si="29"/>
        <v>9.6730211762393759E-3</v>
      </c>
      <c r="K43" s="2"/>
      <c r="L43" s="7">
        <f t="shared" si="30"/>
        <v>-283.5</v>
      </c>
      <c r="M43" s="2"/>
      <c r="N43" s="6">
        <f t="shared" si="31"/>
        <v>-1</v>
      </c>
      <c r="O43" s="11"/>
      <c r="P43" s="7"/>
      <c r="Q43" s="2"/>
      <c r="R43" s="6">
        <f t="shared" si="32"/>
        <v>0</v>
      </c>
      <c r="S43" s="2"/>
      <c r="T43" s="7">
        <v>283.5</v>
      </c>
      <c r="U43" s="2"/>
      <c r="V43" s="6">
        <f t="shared" si="33"/>
        <v>9.6730211762393759E-3</v>
      </c>
      <c r="W43" s="2"/>
      <c r="X43" s="7">
        <f t="shared" si="34"/>
        <v>-283.5</v>
      </c>
      <c r="Y43" s="2"/>
      <c r="Z43" s="6">
        <f t="shared" si="35"/>
        <v>-1</v>
      </c>
    </row>
    <row r="44" spans="1:26" s="24" customFormat="1" hidden="1" outlineLevel="2" x14ac:dyDescent="0.25">
      <c r="A44" s="29"/>
      <c r="B44" s="11" t="str">
        <f>CONCATENATE("          ", "6375", " - ", "OUTSIDE REPAIRS &amp; MAINTENANCE")</f>
        <v xml:space="preserve">          6375 - OUTSIDE REPAIRS &amp; MAINTENANCE</v>
      </c>
      <c r="C44" s="11"/>
      <c r="D44" s="7"/>
      <c r="E44" s="2"/>
      <c r="F44" s="6">
        <f t="shared" si="28"/>
        <v>0</v>
      </c>
      <c r="G44" s="2"/>
      <c r="H44" s="7">
        <v>1596.48</v>
      </c>
      <c r="I44" s="2"/>
      <c r="J44" s="6">
        <f t="shared" si="29"/>
        <v>5.4471904223783556E-2</v>
      </c>
      <c r="K44" s="2"/>
      <c r="L44" s="7">
        <f t="shared" si="30"/>
        <v>-1596.48</v>
      </c>
      <c r="M44" s="2"/>
      <c r="N44" s="6">
        <f t="shared" si="31"/>
        <v>-1</v>
      </c>
      <c r="O44" s="11"/>
      <c r="P44" s="7">
        <v>138.08000000000001</v>
      </c>
      <c r="Q44" s="2"/>
      <c r="R44" s="6">
        <f t="shared" si="32"/>
        <v>6.9555160294722876E-3</v>
      </c>
      <c r="S44" s="2"/>
      <c r="T44" s="7">
        <v>1596.48</v>
      </c>
      <c r="U44" s="2"/>
      <c r="V44" s="6">
        <f t="shared" si="33"/>
        <v>5.4471904223783556E-2</v>
      </c>
      <c r="W44" s="2"/>
      <c r="X44" s="7">
        <f t="shared" si="34"/>
        <v>-1458.4</v>
      </c>
      <c r="Y44" s="2"/>
      <c r="Z44" s="6">
        <f t="shared" si="35"/>
        <v>-0.91350972138705155</v>
      </c>
    </row>
    <row r="45" spans="1:26" s="27" customFormat="1" outlineLevel="1" collapsed="1" x14ac:dyDescent="0.25">
      <c r="A45" s="28"/>
      <c r="B45" s="14" t="str">
        <f>CONCATENATE("     ","Royalty &amp; Commissions                             ")</f>
        <v xml:space="preserve">     Royalty &amp; Commissions                             </v>
      </c>
      <c r="C45" s="14"/>
      <c r="D45" s="1">
        <f>SUM(OSRRefD22_8x_0)</f>
        <v>3848.56</v>
      </c>
      <c r="E45" s="1"/>
      <c r="F45" s="5">
        <f t="shared" ref="F45:F50" si="36">IF(D$12=0,0,D45/D$12)</f>
        <v>0.2</v>
      </c>
      <c r="G45" s="1"/>
      <c r="H45" s="1">
        <f>SUM(OSRRefH22_8x_0)</f>
        <v>12443.41</v>
      </c>
      <c r="I45" s="1"/>
      <c r="J45" s="5">
        <f t="shared" ref="J45:J50" si="37">IF(H$12=0,0,H45/H$12)</f>
        <v>0.42456920082761485</v>
      </c>
      <c r="K45" s="1"/>
      <c r="L45" s="1">
        <f t="shared" ref="L45:L50" si="38">+D45-H45</f>
        <v>-8594.85</v>
      </c>
      <c r="M45" s="1"/>
      <c r="N45" s="5">
        <f t="shared" ref="N45:N50" si="39">IF(H45=0,0,L45/H45)</f>
        <v>-0.69071500497050253</v>
      </c>
      <c r="O45" s="14"/>
      <c r="P45" s="1">
        <f>SUM(OSRRefP22_8x_0)</f>
        <v>4121.66</v>
      </c>
      <c r="Q45" s="1"/>
      <c r="R45" s="5">
        <f t="shared" ref="R45:R50" si="40">IF(P$12=0,0,P45/P$12)</f>
        <v>0.20762074303327596</v>
      </c>
      <c r="S45" s="1"/>
      <c r="T45" s="1">
        <f>SUM(OSRRefT22_8x_0)</f>
        <v>12443.41</v>
      </c>
      <c r="U45" s="1"/>
      <c r="V45" s="5">
        <f t="shared" ref="V45:V50" si="41">IF(T$12=0,0,T45/T$12)</f>
        <v>0.42456920082761485</v>
      </c>
      <c r="W45" s="1"/>
      <c r="X45" s="1">
        <f t="shared" ref="X45:X50" si="42">+P45-T45</f>
        <v>-8321.75</v>
      </c>
      <c r="Y45" s="1"/>
      <c r="Z45" s="5">
        <f t="shared" ref="Z45:Z50" si="43">IF(T45=0,0,X45/T45)</f>
        <v>-0.66876764488190943</v>
      </c>
    </row>
    <row r="46" spans="1:26" s="24" customFormat="1" hidden="1" outlineLevel="2" x14ac:dyDescent="0.25">
      <c r="A46" s="29"/>
      <c r="B46" s="11" t="str">
        <f>CONCATENATE("          ", "6254", " - ", "ROYALTY &amp; COMMISSIONS")</f>
        <v xml:space="preserve">          6254 - ROYALTY &amp; COMMISSIONS</v>
      </c>
      <c r="C46" s="11"/>
      <c r="D46" s="7">
        <v>3848.56</v>
      </c>
      <c r="E46" s="2"/>
      <c r="F46" s="6">
        <f t="shared" si="36"/>
        <v>0.2</v>
      </c>
      <c r="G46" s="2"/>
      <c r="H46" s="7">
        <v>12443.41</v>
      </c>
      <c r="I46" s="2"/>
      <c r="J46" s="6">
        <f t="shared" si="37"/>
        <v>0.42456920082761485</v>
      </c>
      <c r="K46" s="2"/>
      <c r="L46" s="7">
        <f t="shared" si="38"/>
        <v>-8594.85</v>
      </c>
      <c r="M46" s="2"/>
      <c r="N46" s="6">
        <f t="shared" si="39"/>
        <v>-0.69071500497050253</v>
      </c>
      <c r="O46" s="11"/>
      <c r="P46" s="7">
        <v>4121.66</v>
      </c>
      <c r="Q46" s="2"/>
      <c r="R46" s="6">
        <f t="shared" si="40"/>
        <v>0.20762074303327596</v>
      </c>
      <c r="S46" s="2"/>
      <c r="T46" s="7">
        <v>12443.41</v>
      </c>
      <c r="U46" s="2"/>
      <c r="V46" s="6">
        <f t="shared" si="41"/>
        <v>0.42456920082761485</v>
      </c>
      <c r="W46" s="2"/>
      <c r="X46" s="7">
        <f t="shared" si="42"/>
        <v>-8321.75</v>
      </c>
      <c r="Y46" s="2"/>
      <c r="Z46" s="6">
        <f t="shared" si="43"/>
        <v>-0.66876764488190943</v>
      </c>
    </row>
    <row r="47" spans="1:26" s="27" customFormat="1" outlineLevel="1" collapsed="1" x14ac:dyDescent="0.25">
      <c r="A47" s="28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SUM(OSRRefD22_9x_0)</f>
        <v>321.92</v>
      </c>
      <c r="E47" s="1"/>
      <c r="F47" s="5">
        <f t="shared" si="36"/>
        <v>1.6729374103560814E-2</v>
      </c>
      <c r="G47" s="1"/>
      <c r="H47" s="1">
        <f>SUM(OSRRefH22_9x_0)</f>
        <v>701.14</v>
      </c>
      <c r="I47" s="1"/>
      <c r="J47" s="5">
        <f t="shared" si="37"/>
        <v>2.3922899709024604E-2</v>
      </c>
      <c r="K47" s="1"/>
      <c r="L47" s="1">
        <f t="shared" si="38"/>
        <v>-379.21999999999997</v>
      </c>
      <c r="M47" s="1"/>
      <c r="N47" s="5">
        <f t="shared" si="39"/>
        <v>-0.54086202470262712</v>
      </c>
      <c r="O47" s="14"/>
      <c r="P47" s="1">
        <f>SUM(OSRRefP22_9x_0)</f>
        <v>321.92</v>
      </c>
      <c r="Q47" s="1"/>
      <c r="R47" s="5">
        <f t="shared" si="40"/>
        <v>1.6216104578561114E-2</v>
      </c>
      <c r="S47" s="1"/>
      <c r="T47" s="1">
        <f>SUM(OSRRefT22_9x_0)</f>
        <v>1010.8800000000001</v>
      </c>
      <c r="U47" s="1"/>
      <c r="V47" s="5">
        <f t="shared" si="41"/>
        <v>3.4491229794133549E-2</v>
      </c>
      <c r="W47" s="1"/>
      <c r="X47" s="1">
        <f t="shared" si="42"/>
        <v>-688.96</v>
      </c>
      <c r="Y47" s="1"/>
      <c r="Z47" s="5">
        <f t="shared" si="43"/>
        <v>-0.68154479265590373</v>
      </c>
    </row>
    <row r="48" spans="1:26" s="24" customFormat="1" hidden="1" outlineLevel="2" x14ac:dyDescent="0.25">
      <c r="A48" s="29"/>
      <c r="B48" s="11" t="str">
        <f>CONCATENATE("          ", "6234", " - ", "EXPENDABLE SUPPLIES &amp; EQUIPMEN")</f>
        <v xml:space="preserve">          6234 - EXPENDABLE SUPPLIES &amp; EQUIPMEN</v>
      </c>
      <c r="C48" s="11"/>
      <c r="D48" s="7"/>
      <c r="E48" s="2"/>
      <c r="F48" s="6">
        <f t="shared" si="36"/>
        <v>0</v>
      </c>
      <c r="G48" s="2"/>
      <c r="H48" s="7">
        <v>106.94</v>
      </c>
      <c r="I48" s="2"/>
      <c r="J48" s="6">
        <f t="shared" si="37"/>
        <v>3.6487932436932583E-3</v>
      </c>
      <c r="K48" s="2"/>
      <c r="L48" s="7">
        <f t="shared" si="38"/>
        <v>-106.94</v>
      </c>
      <c r="M48" s="2"/>
      <c r="N48" s="6">
        <f t="shared" si="39"/>
        <v>-1</v>
      </c>
      <c r="O48" s="11"/>
      <c r="P48" s="7"/>
      <c r="Q48" s="2"/>
      <c r="R48" s="6">
        <f t="shared" si="40"/>
        <v>0</v>
      </c>
      <c r="S48" s="2"/>
      <c r="T48" s="7">
        <v>106.94</v>
      </c>
      <c r="U48" s="2"/>
      <c r="V48" s="6">
        <f t="shared" si="41"/>
        <v>3.6487932436932583E-3</v>
      </c>
      <c r="W48" s="2"/>
      <c r="X48" s="7">
        <f t="shared" si="42"/>
        <v>-106.94</v>
      </c>
      <c r="Y48" s="2"/>
      <c r="Z48" s="6">
        <f t="shared" si="43"/>
        <v>-1</v>
      </c>
    </row>
    <row r="49" spans="1:26" s="24" customFormat="1" hidden="1" outlineLevel="2" x14ac:dyDescent="0.25">
      <c r="A49" s="29"/>
      <c r="B49" s="11" t="str">
        <f>CONCATENATE("          ", "6237", " - ", "JANITORIAL SUPPLIES")</f>
        <v xml:space="preserve">          6237 - JANITORIAL SUPPLIES</v>
      </c>
      <c r="C49" s="11"/>
      <c r="D49" s="7"/>
      <c r="E49" s="2"/>
      <c r="F49" s="6">
        <f t="shared" si="36"/>
        <v>0</v>
      </c>
      <c r="G49" s="2"/>
      <c r="H49" s="7">
        <v>126.74</v>
      </c>
      <c r="I49" s="2"/>
      <c r="J49" s="6">
        <f t="shared" si="37"/>
        <v>4.3243693258433096E-3</v>
      </c>
      <c r="K49" s="2"/>
      <c r="L49" s="7">
        <f t="shared" si="38"/>
        <v>-126.74</v>
      </c>
      <c r="M49" s="2"/>
      <c r="N49" s="6">
        <f t="shared" si="39"/>
        <v>-1</v>
      </c>
      <c r="O49" s="11"/>
      <c r="P49" s="7"/>
      <c r="Q49" s="2"/>
      <c r="R49" s="6">
        <f t="shared" si="40"/>
        <v>0</v>
      </c>
      <c r="S49" s="2"/>
      <c r="T49" s="7">
        <v>126.74</v>
      </c>
      <c r="U49" s="2"/>
      <c r="V49" s="6">
        <f t="shared" si="41"/>
        <v>4.3243693258433096E-3</v>
      </c>
      <c r="W49" s="2"/>
      <c r="X49" s="7">
        <f t="shared" si="42"/>
        <v>-126.74</v>
      </c>
      <c r="Y49" s="2"/>
      <c r="Z49" s="6">
        <f t="shared" si="43"/>
        <v>-1</v>
      </c>
    </row>
    <row r="50" spans="1:26" s="24" customFormat="1" hidden="1" outlineLevel="2" x14ac:dyDescent="0.25">
      <c r="A50" s="29"/>
      <c r="B50" s="11" t="str">
        <f>CONCATENATE("          ", "6239", " - ", "KITCHEN SUPPLIES")</f>
        <v xml:space="preserve">          6239 - KITCHEN SUPPLIES</v>
      </c>
      <c r="C50" s="11"/>
      <c r="D50" s="7">
        <v>321.92</v>
      </c>
      <c r="E50" s="2"/>
      <c r="F50" s="6">
        <f t="shared" si="36"/>
        <v>1.6729374103560814E-2</v>
      </c>
      <c r="G50" s="2"/>
      <c r="H50" s="7">
        <v>467.46</v>
      </c>
      <c r="I50" s="2"/>
      <c r="J50" s="6">
        <f t="shared" si="37"/>
        <v>1.5949737139488034E-2</v>
      </c>
      <c r="K50" s="2"/>
      <c r="L50" s="7">
        <f t="shared" si="38"/>
        <v>-145.53999999999996</v>
      </c>
      <c r="M50" s="2"/>
      <c r="N50" s="6">
        <f t="shared" si="39"/>
        <v>-0.31134214692166168</v>
      </c>
      <c r="O50" s="11"/>
      <c r="P50" s="7">
        <v>321.92</v>
      </c>
      <c r="Q50" s="2"/>
      <c r="R50" s="6">
        <f t="shared" si="40"/>
        <v>1.6216104578561114E-2</v>
      </c>
      <c r="S50" s="2"/>
      <c r="T50" s="7">
        <v>777.2</v>
      </c>
      <c r="U50" s="2"/>
      <c r="V50" s="6">
        <f t="shared" si="41"/>
        <v>2.6518067224596976E-2</v>
      </c>
      <c r="W50" s="2"/>
      <c r="X50" s="7">
        <f t="shared" si="42"/>
        <v>-455.28000000000003</v>
      </c>
      <c r="Y50" s="2"/>
      <c r="Z50" s="6">
        <f t="shared" si="43"/>
        <v>-0.58579516212043237</v>
      </c>
    </row>
    <row r="51" spans="1:26" s="27" customFormat="1" outlineLevel="1" collapsed="1" x14ac:dyDescent="0.25">
      <c r="A51" s="28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SUM(OSRRefD22_10x_0)</f>
        <v>214.01</v>
      </c>
      <c r="E51" s="1"/>
      <c r="F51" s="5">
        <f t="shared" ref="F51:F52" si="44">IF(D$12=0,0,D51/D$12)</f>
        <v>1.1121562350593469E-2</v>
      </c>
      <c r="G51" s="1"/>
      <c r="H51" s="1">
        <f>SUM(OSRRefH22_10x_0)</f>
        <v>213.01</v>
      </c>
      <c r="I51" s="1"/>
      <c r="J51" s="5">
        <f t="shared" ref="J51:J52" si="45">IF(H$12=0,0,H51/H$12)</f>
        <v>7.2679020837768931E-3</v>
      </c>
      <c r="K51" s="1"/>
      <c r="L51" s="1">
        <f t="shared" ref="L51:L52" si="46">+D51-H51</f>
        <v>1</v>
      </c>
      <c r="M51" s="1"/>
      <c r="N51" s="5">
        <f t="shared" ref="N51:N52" si="47">IF(H51=0,0,L51/H51)</f>
        <v>4.694615276278109E-3</v>
      </c>
      <c r="O51" s="14"/>
      <c r="P51" s="1">
        <f>SUM(OSRRefP22_10x_0)</f>
        <v>130.02000000000001</v>
      </c>
      <c r="Q51" s="1"/>
      <c r="R51" s="5">
        <f t="shared" ref="R51:R52" si="48">IF(P$12=0,0,P51/P$12)</f>
        <v>6.5495089379489198E-3</v>
      </c>
      <c r="S51" s="1"/>
      <c r="T51" s="1">
        <f>SUM(OSRRefT22_10x_0)</f>
        <v>425.02</v>
      </c>
      <c r="U51" s="1"/>
      <c r="V51" s="5">
        <f t="shared" ref="V51:V52" si="49">IF(T$12=0,0,T51/T$12)</f>
        <v>1.4501684163404794E-2</v>
      </c>
      <c r="W51" s="1"/>
      <c r="X51" s="1">
        <f t="shared" ref="X51:X52" si="50">+P51-T51</f>
        <v>-295</v>
      </c>
      <c r="Y51" s="1"/>
      <c r="Z51" s="5">
        <f t="shared" ref="Z51:Z52" si="51">IF(T51=0,0,X51/T51)</f>
        <v>-0.69408498423603593</v>
      </c>
    </row>
    <row r="52" spans="1:26" s="24" customFormat="1" hidden="1" outlineLevel="2" x14ac:dyDescent="0.25">
      <c r="A52" s="29"/>
      <c r="B52" s="11" t="str">
        <f>CONCATENATE("          ", "6309", " - ", "TELEPHONE")</f>
        <v xml:space="preserve">          6309 - TELEPHONE</v>
      </c>
      <c r="C52" s="11"/>
      <c r="D52" s="7">
        <v>214.01</v>
      </c>
      <c r="E52" s="2"/>
      <c r="F52" s="6">
        <f t="shared" si="44"/>
        <v>1.1121562350593469E-2</v>
      </c>
      <c r="G52" s="2"/>
      <c r="H52" s="7">
        <v>213.01</v>
      </c>
      <c r="I52" s="2"/>
      <c r="J52" s="6">
        <f t="shared" si="45"/>
        <v>7.2679020837768931E-3</v>
      </c>
      <c r="K52" s="2"/>
      <c r="L52" s="7">
        <f t="shared" si="46"/>
        <v>1</v>
      </c>
      <c r="M52" s="2"/>
      <c r="N52" s="6">
        <f t="shared" si="47"/>
        <v>4.694615276278109E-3</v>
      </c>
      <c r="O52" s="11"/>
      <c r="P52" s="7">
        <v>130.02000000000001</v>
      </c>
      <c r="Q52" s="2"/>
      <c r="R52" s="6">
        <f t="shared" si="48"/>
        <v>6.5495089379489198E-3</v>
      </c>
      <c r="S52" s="2"/>
      <c r="T52" s="7">
        <v>425.02</v>
      </c>
      <c r="U52" s="2"/>
      <c r="V52" s="6">
        <f t="shared" si="49"/>
        <v>1.4501684163404794E-2</v>
      </c>
      <c r="W52" s="2"/>
      <c r="X52" s="7">
        <f t="shared" si="50"/>
        <v>-295</v>
      </c>
      <c r="Y52" s="2"/>
      <c r="Z52" s="6">
        <f t="shared" si="51"/>
        <v>-0.69408498423603593</v>
      </c>
    </row>
    <row r="53" spans="1:26" s="62" customFormat="1" x14ac:dyDescent="0.25">
      <c r="A53" s="37"/>
      <c r="B53" s="37"/>
      <c r="C53" s="37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collapsed="1" x14ac:dyDescent="0.25">
      <c r="A54" s="10"/>
      <c r="B54" s="25" t="s">
        <v>0</v>
      </c>
      <c r="C54" s="10"/>
      <c r="D54" s="4">
        <f>SUM(OSRRefD25x_0)</f>
        <v>0</v>
      </c>
      <c r="E54" s="4"/>
      <c r="F54" s="12">
        <f t="shared" ref="F54:F55" si="52">IF(D$12=0,0,D54/D$12)</f>
        <v>0</v>
      </c>
      <c r="G54" s="4"/>
      <c r="H54" s="4">
        <f>SUM(OSRRefH25x_0)</f>
        <v>0</v>
      </c>
      <c r="I54" s="4"/>
      <c r="J54" s="12">
        <f t="shared" ref="J54:J55" si="53">IF(H$12=0,0,H54/H$12)</f>
        <v>0</v>
      </c>
      <c r="K54" s="4"/>
      <c r="L54" s="4">
        <f t="shared" ref="L54:L55" si="54">+D54-H54</f>
        <v>0</v>
      </c>
      <c r="M54" s="4"/>
      <c r="N54" s="12">
        <f t="shared" ref="N54:N55" si="55">IF(H54=0,0,L54/H54)</f>
        <v>0</v>
      </c>
      <c r="O54" s="10"/>
      <c r="P54" s="4">
        <f>SUM(OSRRefP25x_0)</f>
        <v>546.20000000000005</v>
      </c>
      <c r="Q54" s="4"/>
      <c r="R54" s="12">
        <f t="shared" ref="R54:R55" si="56">IF(P$12=0,0,P54/P$12)</f>
        <v>2.751378081762575E-2</v>
      </c>
      <c r="S54" s="4"/>
      <c r="T54" s="4">
        <f>SUM(OSRRefT25x_0)</f>
        <v>0</v>
      </c>
      <c r="U54" s="4"/>
      <c r="V54" s="12">
        <f t="shared" ref="V54:V55" si="57">IF(T$12=0,0,T54/T$12)</f>
        <v>0</v>
      </c>
      <c r="W54" s="4"/>
      <c r="X54" s="4">
        <f t="shared" ref="X54:X55" si="58">+P54-T54</f>
        <v>546.20000000000005</v>
      </c>
      <c r="Y54" s="4"/>
      <c r="Z54" s="12">
        <f t="shared" ref="Z54:Z55" si="59">IF(T54=0,0,X54/T54)</f>
        <v>0</v>
      </c>
    </row>
    <row r="55" spans="1:26" s="24" customFormat="1" hidden="1" outlineLevel="1" x14ac:dyDescent="0.25">
      <c r="A55" s="50"/>
      <c r="B55" s="11" t="str">
        <f>CONCATENATE("          ", "9150", " - ", "MISC. INCOME")</f>
        <v xml:space="preserve">          9150 - MISC. INCOME</v>
      </c>
      <c r="C55" s="11"/>
      <c r="D55" s="2">
        <f>0</f>
        <v>0</v>
      </c>
      <c r="E55" s="2"/>
      <c r="F55" s="21">
        <f t="shared" si="52"/>
        <v>0</v>
      </c>
      <c r="G55" s="2"/>
      <c r="H55" s="2">
        <f>0</f>
        <v>0</v>
      </c>
      <c r="I55" s="2"/>
      <c r="J55" s="21">
        <f t="shared" si="53"/>
        <v>0</v>
      </c>
      <c r="K55" s="2"/>
      <c r="L55" s="2">
        <f t="shared" si="54"/>
        <v>0</v>
      </c>
      <c r="M55" s="2"/>
      <c r="N55" s="21">
        <f t="shared" si="55"/>
        <v>0</v>
      </c>
      <c r="O55" s="11"/>
      <c r="P55" s="2">
        <f>--546.2</f>
        <v>546.20000000000005</v>
      </c>
      <c r="Q55" s="2"/>
      <c r="R55" s="21">
        <f t="shared" si="56"/>
        <v>2.751378081762575E-2</v>
      </c>
      <c r="S55" s="2"/>
      <c r="T55" s="2">
        <f>0</f>
        <v>0</v>
      </c>
      <c r="U55" s="2"/>
      <c r="V55" s="21">
        <f t="shared" si="57"/>
        <v>0</v>
      </c>
      <c r="W55" s="2"/>
      <c r="X55" s="2">
        <f t="shared" si="58"/>
        <v>546.20000000000005</v>
      </c>
      <c r="Y55" s="2"/>
      <c r="Z55" s="21">
        <f t="shared" si="59"/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6" t="s">
        <v>3</v>
      </c>
      <c r="C57" s="26"/>
      <c r="D57" s="20">
        <f>+D20-D22+D54</f>
        <v>5240.1899999999987</v>
      </c>
      <c r="E57" s="13"/>
      <c r="F57" s="19">
        <f>IF(D$12=0,0,D57/D$12)</f>
        <v>0.27231951691022088</v>
      </c>
      <c r="G57" s="13"/>
      <c r="H57" s="20">
        <f>+H20-H22+H54</f>
        <v>5223.1700000000019</v>
      </c>
      <c r="I57" s="13"/>
      <c r="J57" s="19">
        <f>IF(H$12=0,0,H57/H$12)</f>
        <v>0.17821458207089325</v>
      </c>
      <c r="K57" s="15"/>
      <c r="L57" s="20">
        <f>+D57-H57</f>
        <v>17.019999999996799</v>
      </c>
      <c r="M57" s="15"/>
      <c r="N57" s="19">
        <f>IF(H57=0,0,L57/H57)</f>
        <v>3.2585575426411148E-3</v>
      </c>
      <c r="O57" s="25"/>
      <c r="P57" s="20">
        <f>+P20-P22+P54</f>
        <v>3669.7199999999966</v>
      </c>
      <c r="Q57" s="13"/>
      <c r="R57" s="19">
        <f>IF(P$12=0,0,P57/P$12)</f>
        <v>0.18485512951676578</v>
      </c>
      <c r="S57" s="13"/>
      <c r="T57" s="20">
        <f>+T20-T22+T54</f>
        <v>2135.0800000000017</v>
      </c>
      <c r="U57" s="13"/>
      <c r="V57" s="19">
        <f>IF(T$12=0,0,T57/T$12)</f>
        <v>7.2848938458430976E-2</v>
      </c>
      <c r="W57" s="15"/>
      <c r="X57" s="20">
        <f>+P57-T57</f>
        <v>1534.6399999999949</v>
      </c>
      <c r="Y57" s="15"/>
      <c r="Z57" s="19">
        <f>IF(T57=0,0,X57/T57)</f>
        <v>0.71877400378439849</v>
      </c>
    </row>
    <row r="58" spans="1:26" x14ac:dyDescent="0.25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51"/>
      <c r="B59" s="10" t="s">
        <v>13</v>
      </c>
      <c r="C59" s="10"/>
      <c r="D59" s="4">
        <v>2348.5300000000002</v>
      </c>
      <c r="E59" s="4"/>
      <c r="F59" s="12">
        <f>IF(D$12=0,0,D59/D$12)</f>
        <v>0.12204720726713369</v>
      </c>
      <c r="G59" s="4"/>
      <c r="H59" s="4">
        <v>2992.24</v>
      </c>
      <c r="I59" s="4"/>
      <c r="J59" s="12">
        <f>IF(H$12=0,0,H59/H$12)</f>
        <v>0.10209524121478132</v>
      </c>
      <c r="K59" s="4"/>
      <c r="L59" s="4">
        <f>+D59-H59</f>
        <v>-643.70999999999958</v>
      </c>
      <c r="M59" s="4"/>
      <c r="N59" s="12">
        <f>IF(H59=0,0,L59/H59)</f>
        <v>-0.21512646044434927</v>
      </c>
      <c r="O59" s="10"/>
      <c r="P59" s="4">
        <v>2475.17</v>
      </c>
      <c r="Q59" s="4"/>
      <c r="R59" s="12">
        <f>IF(P$12=0,0,P59/P$12)</f>
        <v>0.12468195691388269</v>
      </c>
      <c r="S59" s="4"/>
      <c r="T59" s="4">
        <v>2992.24</v>
      </c>
      <c r="U59" s="4"/>
      <c r="V59" s="12">
        <f>IF(T$12=0,0,T59/T$12)</f>
        <v>0.10209524121478132</v>
      </c>
      <c r="W59" s="4"/>
      <c r="X59" s="4">
        <f>+P59-T59</f>
        <v>-517.06999999999971</v>
      </c>
      <c r="Y59" s="4"/>
      <c r="Z59" s="12">
        <f>IF(T59=0,0,X59/T59)</f>
        <v>-0.17280365211346674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6" t="s">
        <v>4</v>
      </c>
      <c r="C61" s="26"/>
      <c r="D61" s="31">
        <f>+D57-D59</f>
        <v>2891.6599999999985</v>
      </c>
      <c r="E61" s="13"/>
      <c r="F61" s="36">
        <f>IF(D$12=0,0,D61/D$12)</f>
        <v>0.15027230964308722</v>
      </c>
      <c r="G61" s="13"/>
      <c r="H61" s="31">
        <f>+H57-H59</f>
        <v>2230.9300000000021</v>
      </c>
      <c r="I61" s="13"/>
      <c r="J61" s="36">
        <f>IF(H$12=0,0,H61/H$12)</f>
        <v>7.6119340856111925E-2</v>
      </c>
      <c r="K61" s="15"/>
      <c r="L61" s="31">
        <f>D61-H61</f>
        <v>660.72999999999638</v>
      </c>
      <c r="M61" s="15"/>
      <c r="N61" s="36">
        <f>IF(H61=0,0,L61/H61)</f>
        <v>0.29616796582590926</v>
      </c>
      <c r="O61" s="25"/>
      <c r="P61" s="31">
        <f>+P57-P59</f>
        <v>1194.5499999999965</v>
      </c>
      <c r="Q61" s="13"/>
      <c r="R61" s="36">
        <f>IF(P$12=0,0,P61/P$12)</f>
        <v>6.0173172602883081E-2</v>
      </c>
      <c r="S61" s="13"/>
      <c r="T61" s="31">
        <f>+T57-T59</f>
        <v>-857.15999999999804</v>
      </c>
      <c r="U61" s="13"/>
      <c r="V61" s="36">
        <f>IF(T$12=0,0,T61/T$12)</f>
        <v>-2.9246302756350349E-2</v>
      </c>
      <c r="W61" s="15"/>
      <c r="X61" s="31">
        <f>P61-T61</f>
        <v>2051.7099999999946</v>
      </c>
      <c r="Y61" s="15"/>
      <c r="Z61" s="36">
        <f>IF(T61=0,0,X61/T61)</f>
        <v>-2.3936137943907778</v>
      </c>
    </row>
    <row r="62" spans="1:26" ht="15.75" thickTop="1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6" t="s">
        <v>5</v>
      </c>
      <c r="C64" s="26"/>
      <c r="D64" s="32">
        <f>SUM(D61:D63)</f>
        <v>2891.6599999999985</v>
      </c>
      <c r="E64" s="13"/>
      <c r="F64" s="30">
        <f>IF(D$12=0,0,D64/D$12)</f>
        <v>0.15027230964308722</v>
      </c>
      <c r="G64" s="13"/>
      <c r="H64" s="32">
        <f>SUM(H61:H63)</f>
        <v>2230.9300000000021</v>
      </c>
      <c r="I64" s="13"/>
      <c r="J64" s="30">
        <f>IF(H$12=0,0,H64/H$12)</f>
        <v>7.6119340856111925E-2</v>
      </c>
      <c r="K64" s="15"/>
      <c r="L64" s="32">
        <f>+D64-H64</f>
        <v>660.72999999999638</v>
      </c>
      <c r="M64" s="15"/>
      <c r="N64" s="30">
        <f>IF(H64=0,0,L64/H64)</f>
        <v>0.29616796582590926</v>
      </c>
      <c r="O64" s="25"/>
      <c r="P64" s="32">
        <f>SUM(P61:P63)</f>
        <v>1194.5499999999965</v>
      </c>
      <c r="Q64" s="13"/>
      <c r="R64" s="30">
        <f>IF(P$12=0,0,P64/P$12)</f>
        <v>6.0173172602883081E-2</v>
      </c>
      <c r="S64" s="13"/>
      <c r="T64" s="32">
        <f>SUM(T61:T63)</f>
        <v>-857.15999999999804</v>
      </c>
      <c r="U64" s="13"/>
      <c r="V64" s="30">
        <f>IF(T$12=0,0,T64/T$12)</f>
        <v>-2.9246302756350349E-2</v>
      </c>
      <c r="W64" s="15"/>
      <c r="X64" s="32">
        <f>+P64-T64</f>
        <v>2051.7099999999946</v>
      </c>
      <c r="Y64" s="15"/>
      <c r="Z64" s="30">
        <f>IF(T64=0,0,X64/T64)</f>
        <v>-2.3936137943907778</v>
      </c>
    </row>
    <row r="65" spans="1:24" ht="15.75" thickTop="1" x14ac:dyDescent="0.25">
      <c r="A65" s="9"/>
      <c r="C65" s="9"/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A66" s="9"/>
      <c r="B66" s="57">
        <v>43732.710155636574</v>
      </c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4" x14ac:dyDescent="0.25">
      <c r="A67" s="9"/>
      <c r="B67" s="60" t="s">
        <v>313</v>
      </c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4" x14ac:dyDescent="0.25">
      <c r="A68" s="9"/>
      <c r="B68" s="56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4" x14ac:dyDescent="0.25"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","425", " - ", "Events Center")</f>
        <v>Department 425 - Events Center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34943.380000000005</v>
      </c>
      <c r="E12" s="4"/>
      <c r="F12" s="12"/>
      <c r="G12" s="4"/>
      <c r="H12" s="4">
        <f>SUM(OSRRefH13x_0)</f>
        <v>15472.470000000001</v>
      </c>
      <c r="I12" s="4"/>
      <c r="J12" s="12"/>
      <c r="K12" s="4"/>
      <c r="L12" s="4">
        <f t="shared" ref="L12:L15" si="0">+D12-H12</f>
        <v>19470.910000000003</v>
      </c>
      <c r="M12" s="4"/>
      <c r="N12" s="12">
        <f t="shared" ref="N12:N15" si="1">IF(H12=0,0,L12/H12)</f>
        <v>1.2584228633178802</v>
      </c>
      <c r="O12" s="10"/>
      <c r="P12" s="4">
        <f>SUM(OSRRefP13x_0)</f>
        <v>59501.7</v>
      </c>
      <c r="Q12" s="4"/>
      <c r="R12" s="12"/>
      <c r="S12" s="4"/>
      <c r="T12" s="4">
        <f>SUM(OSRRefT13x_0)</f>
        <v>32057.85</v>
      </c>
      <c r="U12" s="4"/>
      <c r="V12" s="12"/>
      <c r="W12" s="4"/>
      <c r="X12" s="4">
        <f t="shared" ref="X12:X15" si="2">+P12-T12</f>
        <v>27443.85</v>
      </c>
      <c r="Y12" s="4"/>
      <c r="Z12" s="12">
        <f t="shared" ref="Z12:Z15" si="3">IF(T12=0,0,X12/T12)</f>
        <v>0.85607269358363081</v>
      </c>
    </row>
    <row r="13" spans="1:26" s="24" customFormat="1" hidden="1" outlineLevel="1" x14ac:dyDescent="0.25">
      <c r="A13" s="50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21"/>
      <c r="G13" s="2"/>
      <c r="H13" s="2">
        <f>--184.02</f>
        <v>184.02</v>
      </c>
      <c r="I13" s="2"/>
      <c r="J13" s="21"/>
      <c r="K13" s="2"/>
      <c r="L13" s="2">
        <f t="shared" si="0"/>
        <v>-184.02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f>--184.02</f>
        <v>184.02</v>
      </c>
      <c r="U13" s="2"/>
      <c r="V13" s="21"/>
      <c r="W13" s="2"/>
      <c r="X13" s="2">
        <f t="shared" si="2"/>
        <v>-184.02</v>
      </c>
      <c r="Y13" s="2"/>
      <c r="Z13" s="21">
        <f t="shared" si="3"/>
        <v>-1</v>
      </c>
    </row>
    <row r="14" spans="1:26" s="24" customFormat="1" hidden="1" outlineLevel="1" x14ac:dyDescent="0.25">
      <c r="A14" s="50"/>
      <c r="B14" s="11" t="str">
        <f>CONCATENATE("          ", "4052", " - ", "TAXABLE SALES-FOOD")</f>
        <v xml:space="preserve">          4052 - TAXABLE SALES-FOOD</v>
      </c>
      <c r="C14" s="11"/>
      <c r="D14" s="2">
        <f>--34268.55</f>
        <v>34268.550000000003</v>
      </c>
      <c r="E14" s="2"/>
      <c r="F14" s="21"/>
      <c r="G14" s="2"/>
      <c r="H14" s="2">
        <f>--12023.15</f>
        <v>12023.15</v>
      </c>
      <c r="I14" s="2"/>
      <c r="J14" s="21"/>
      <c r="K14" s="2"/>
      <c r="L14" s="2">
        <f t="shared" si="0"/>
        <v>22245.4</v>
      </c>
      <c r="M14" s="2"/>
      <c r="N14" s="21">
        <f t="shared" si="1"/>
        <v>1.8502139622311957</v>
      </c>
      <c r="O14" s="11"/>
      <c r="P14" s="2">
        <f>--34504.83</f>
        <v>34504.83</v>
      </c>
      <c r="Q14" s="2"/>
      <c r="R14" s="21"/>
      <c r="S14" s="2"/>
      <c r="T14" s="2">
        <f>--17104.67</f>
        <v>17104.669999999998</v>
      </c>
      <c r="U14" s="2"/>
      <c r="V14" s="21"/>
      <c r="W14" s="2"/>
      <c r="X14" s="2">
        <f t="shared" si="2"/>
        <v>17400.160000000003</v>
      </c>
      <c r="Y14" s="2"/>
      <c r="Z14" s="21">
        <f t="shared" si="3"/>
        <v>1.0172753990576846</v>
      </c>
    </row>
    <row r="15" spans="1:26" s="24" customFormat="1" hidden="1" outlineLevel="1" x14ac:dyDescent="0.25">
      <c r="A15" s="50"/>
      <c r="B15" s="11" t="str">
        <f>CONCATENATE("          ", "4053", " - ", "TAXABLE SALES-FOOD")</f>
        <v xml:space="preserve">          4053 - TAXABLE SALES-FOOD</v>
      </c>
      <c r="C15" s="11"/>
      <c r="D15" s="2">
        <f>--674.83</f>
        <v>674.83</v>
      </c>
      <c r="E15" s="2"/>
      <c r="F15" s="21"/>
      <c r="G15" s="2"/>
      <c r="H15" s="2">
        <f>--3265.3</f>
        <v>3265.3</v>
      </c>
      <c r="I15" s="2"/>
      <c r="J15" s="21"/>
      <c r="K15" s="2"/>
      <c r="L15" s="2">
        <f t="shared" si="0"/>
        <v>-2590.4700000000003</v>
      </c>
      <c r="M15" s="2"/>
      <c r="N15" s="21">
        <f t="shared" si="1"/>
        <v>-0.79333292499923436</v>
      </c>
      <c r="O15" s="11"/>
      <c r="P15" s="2">
        <f>--24996.87</f>
        <v>24996.87</v>
      </c>
      <c r="Q15" s="2"/>
      <c r="R15" s="21"/>
      <c r="S15" s="2"/>
      <c r="T15" s="2">
        <f>--14769.16</f>
        <v>14769.16</v>
      </c>
      <c r="U15" s="2"/>
      <c r="V15" s="21"/>
      <c r="W15" s="2"/>
      <c r="X15" s="2">
        <f t="shared" si="2"/>
        <v>10227.709999999999</v>
      </c>
      <c r="Y15" s="2"/>
      <c r="Z15" s="21">
        <f t="shared" si="3"/>
        <v>0.69250451616747322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8037.15</v>
      </c>
      <c r="E17" s="4"/>
      <c r="F17" s="12">
        <f t="shared" ref="F17:F19" si="4">IF(D$12=0,0,D17/D$12)</f>
        <v>0.2300049394191403</v>
      </c>
      <c r="G17" s="4"/>
      <c r="H17" s="4">
        <f>SUM(OSRRefH16x_0)</f>
        <v>3837.29</v>
      </c>
      <c r="I17" s="4"/>
      <c r="J17" s="12">
        <f t="shared" ref="J17:J19" si="5">IF(H$12=0,0,H17/H$12)</f>
        <v>0.24800759025546662</v>
      </c>
      <c r="K17" s="4"/>
      <c r="L17" s="4">
        <f t="shared" ref="L17:L19" si="6">+D17-H17</f>
        <v>4199.8599999999997</v>
      </c>
      <c r="M17" s="4"/>
      <c r="N17" s="12">
        <f t="shared" ref="N17:N19" si="7">IF(H17=0,0,L17/H17)</f>
        <v>1.0944859523257298</v>
      </c>
      <c r="O17" s="10"/>
      <c r="P17" s="4">
        <f>SUM(OSRRefP16x_0)</f>
        <v>14630.59</v>
      </c>
      <c r="Q17" s="4"/>
      <c r="R17" s="12">
        <f t="shared" ref="R17:R19" si="8">IF(P$12=0,0,P17/P$12)</f>
        <v>0.24588524361488834</v>
      </c>
      <c r="S17" s="4"/>
      <c r="T17" s="4">
        <f>SUM(OSRRefT16x_0)</f>
        <v>7154.1900000000005</v>
      </c>
      <c r="U17" s="4"/>
      <c r="V17" s="12">
        <f t="shared" ref="V17:V19" si="9">IF(T$12=0,0,T17/T$12)</f>
        <v>0.22316499702880888</v>
      </c>
      <c r="W17" s="4"/>
      <c r="X17" s="4">
        <f t="shared" ref="X17:X19" si="10">+P17-T17</f>
        <v>7476.4</v>
      </c>
      <c r="Y17" s="4"/>
      <c r="Z17" s="12">
        <f t="shared" ref="Z17:Z19" si="11">IF(T17=0,0,X17/T17)</f>
        <v>1.0450379427999534</v>
      </c>
    </row>
    <row r="18" spans="1:26" s="24" customFormat="1" hidden="1" outlineLevel="1" x14ac:dyDescent="0.25">
      <c r="A18" s="50"/>
      <c r="B18" s="11" t="str">
        <f>CONCATENATE("          ", "5053", " - ", "PURCHASES @ COST-FOOD")</f>
        <v xml:space="preserve">          5053 - PURCHASES @ COST-FOOD</v>
      </c>
      <c r="C18" s="11"/>
      <c r="D18" s="2">
        <v>8524.15</v>
      </c>
      <c r="E18" s="2"/>
      <c r="F18" s="21">
        <f t="shared" si="4"/>
        <v>0.24394177094488279</v>
      </c>
      <c r="G18" s="2"/>
      <c r="H18" s="2">
        <v>2776.69</v>
      </c>
      <c r="I18" s="2"/>
      <c r="J18" s="21">
        <f t="shared" si="5"/>
        <v>0.1794600344999861</v>
      </c>
      <c r="K18" s="2"/>
      <c r="L18" s="2">
        <f t="shared" si="6"/>
        <v>5747.4599999999991</v>
      </c>
      <c r="M18" s="2"/>
      <c r="N18" s="21">
        <f t="shared" si="7"/>
        <v>2.0698961713406967</v>
      </c>
      <c r="O18" s="11"/>
      <c r="P18" s="2">
        <v>18438.59</v>
      </c>
      <c r="Q18" s="2"/>
      <c r="R18" s="21">
        <f t="shared" si="8"/>
        <v>0.30988341509570316</v>
      </c>
      <c r="S18" s="2"/>
      <c r="T18" s="2">
        <v>8500.59</v>
      </c>
      <c r="U18" s="2"/>
      <c r="V18" s="21">
        <f t="shared" si="9"/>
        <v>0.26516407057865704</v>
      </c>
      <c r="W18" s="2"/>
      <c r="X18" s="2">
        <f t="shared" si="10"/>
        <v>9938</v>
      </c>
      <c r="Y18" s="2"/>
      <c r="Z18" s="21">
        <f t="shared" si="11"/>
        <v>1.1690953216188522</v>
      </c>
    </row>
    <row r="19" spans="1:26" s="24" customFormat="1" hidden="1" outlineLevel="1" x14ac:dyDescent="0.25">
      <c r="A19" s="50"/>
      <c r="B19" s="11" t="str">
        <f>CONCATENATE("          ", "5059", " - ", "PURCHASES @ COST-FOOD")</f>
        <v xml:space="preserve">          5059 - PURCHASES @ COST-FOOD</v>
      </c>
      <c r="C19" s="11"/>
      <c r="D19" s="2">
        <v>-487</v>
      </c>
      <c r="E19" s="2"/>
      <c r="F19" s="21">
        <f t="shared" si="4"/>
        <v>-1.39368315257425E-2</v>
      </c>
      <c r="G19" s="2"/>
      <c r="H19" s="2">
        <v>1060.5999999999999</v>
      </c>
      <c r="I19" s="2"/>
      <c r="J19" s="21">
        <f t="shared" si="5"/>
        <v>6.8547555755480535E-2</v>
      </c>
      <c r="K19" s="2"/>
      <c r="L19" s="2">
        <f t="shared" si="6"/>
        <v>-1547.6</v>
      </c>
      <c r="M19" s="2"/>
      <c r="N19" s="21">
        <f t="shared" si="7"/>
        <v>-1.4591740524231567</v>
      </c>
      <c r="O19" s="11"/>
      <c r="P19" s="2">
        <v>-3808</v>
      </c>
      <c r="Q19" s="2"/>
      <c r="R19" s="21">
        <f t="shared" si="8"/>
        <v>-6.3998171480814839E-2</v>
      </c>
      <c r="S19" s="2"/>
      <c r="T19" s="2">
        <v>-1346.4</v>
      </c>
      <c r="U19" s="2"/>
      <c r="V19" s="21">
        <f t="shared" si="9"/>
        <v>-4.1999073549848172E-2</v>
      </c>
      <c r="W19" s="2"/>
      <c r="X19" s="2">
        <f t="shared" si="10"/>
        <v>-2461.6</v>
      </c>
      <c r="Y19" s="2"/>
      <c r="Z19" s="21">
        <f t="shared" si="11"/>
        <v>1.8282828282828281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0">
        <f>D12-D17</f>
        <v>26906.230000000003</v>
      </c>
      <c r="E21" s="13"/>
      <c r="F21" s="19">
        <f>IF(D$12=0,0,D21/D$12)</f>
        <v>0.76999506058085965</v>
      </c>
      <c r="G21" s="13"/>
      <c r="H21" s="20">
        <f>H12-H17</f>
        <v>11635.18</v>
      </c>
      <c r="I21" s="13"/>
      <c r="J21" s="19">
        <f>IF(H$12=0,0,H21/H$12)</f>
        <v>0.7519924097445333</v>
      </c>
      <c r="K21" s="15"/>
      <c r="L21" s="20">
        <f>+D21-H21</f>
        <v>15271.050000000003</v>
      </c>
      <c r="M21" s="15"/>
      <c r="N21" s="19">
        <f>IF(H21=0,0,L21/H21)</f>
        <v>1.3124893641525102</v>
      </c>
      <c r="O21" s="25"/>
      <c r="P21" s="20">
        <f>P12-P17</f>
        <v>44871.11</v>
      </c>
      <c r="Q21" s="13"/>
      <c r="R21" s="19">
        <f>IF(P$12=0,0,P21/P$12)</f>
        <v>0.75411475638511172</v>
      </c>
      <c r="S21" s="13"/>
      <c r="T21" s="20">
        <f>T12-T17</f>
        <v>24903.659999999996</v>
      </c>
      <c r="U21" s="13"/>
      <c r="V21" s="19">
        <f>IF(T$12=0,0,T21/T$12)</f>
        <v>0.77683500297119101</v>
      </c>
      <c r="W21" s="15"/>
      <c r="X21" s="20">
        <f>+P21-T21</f>
        <v>19967.450000000004</v>
      </c>
      <c r="Y21" s="15"/>
      <c r="Z21" s="19">
        <f>IF(T21=0,0,X21/T21)</f>
        <v>0.80178776934795959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2">
        <f>SUM(OSRRefD22x_0)</f>
        <v>26007.21</v>
      </c>
      <c r="E23" s="22"/>
      <c r="F23" s="33">
        <f t="shared" ref="F23:F32" si="12">IF(D$12=0,0,D23/D$12)</f>
        <v>0.74426715446530922</v>
      </c>
      <c r="G23" s="22"/>
      <c r="H23" s="22">
        <f>SUM(OSRRefH22x_0)</f>
        <v>20775.79</v>
      </c>
      <c r="I23" s="22"/>
      <c r="J23" s="33">
        <f t="shared" ref="J23:J32" si="13">IF(H$12=0,0,H23/H$12)</f>
        <v>1.3427584606724072</v>
      </c>
      <c r="K23" s="4"/>
      <c r="L23" s="22">
        <f t="shared" ref="L23:L32" si="14">+D23-H23</f>
        <v>5231.4199999999983</v>
      </c>
      <c r="M23" s="4"/>
      <c r="N23" s="33">
        <f t="shared" ref="N23:N32" si="15">IF(H23=0,0,L23/H23)</f>
        <v>0.25180366185834563</v>
      </c>
      <c r="O23" s="10"/>
      <c r="P23" s="22">
        <f>SUM(OSRRefP22x_0)</f>
        <v>51286.39</v>
      </c>
      <c r="Q23" s="22"/>
      <c r="R23" s="33">
        <f t="shared" ref="R23:R32" si="16">IF(P$12=0,0,P23/P$12)</f>
        <v>0.86193150783927186</v>
      </c>
      <c r="S23" s="22"/>
      <c r="T23" s="22">
        <f>SUM(OSRRefT22x_0)</f>
        <v>39083.53</v>
      </c>
      <c r="U23" s="22"/>
      <c r="V23" s="33">
        <f t="shared" ref="V23:V32" si="17">IF(T$12=0,0,T23/T$12)</f>
        <v>1.2191563064896742</v>
      </c>
      <c r="W23" s="4"/>
      <c r="X23" s="22">
        <f t="shared" ref="X23:X32" si="18">+P23-T23</f>
        <v>12202.86</v>
      </c>
      <c r="Y23" s="4"/>
      <c r="Z23" s="33">
        <f t="shared" ref="Z23:Z32" si="19">IF(T23=0,0,X23/T23)</f>
        <v>0.31222512398445074</v>
      </c>
    </row>
    <row r="24" spans="1:26" s="27" customFormat="1" outlineLevel="1" collapsed="1" x14ac:dyDescent="0.25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3189.44</v>
      </c>
      <c r="E24" s="1"/>
      <c r="F24" s="5">
        <f t="shared" si="12"/>
        <v>9.1274513226825782E-2</v>
      </c>
      <c r="G24" s="1"/>
      <c r="H24" s="1">
        <f>SUM(OSRRefH22_0x_0)</f>
        <v>3474.01</v>
      </c>
      <c r="I24" s="1"/>
      <c r="J24" s="5">
        <f t="shared" si="13"/>
        <v>0.22452846895162828</v>
      </c>
      <c r="K24" s="1"/>
      <c r="L24" s="1">
        <f t="shared" si="14"/>
        <v>-284.57000000000016</v>
      </c>
      <c r="M24" s="1"/>
      <c r="N24" s="5">
        <f t="shared" si="15"/>
        <v>-8.1913984127852293E-2</v>
      </c>
      <c r="O24" s="14"/>
      <c r="P24" s="1">
        <f>SUM(OSRRefP22_0x_0)</f>
        <v>5730.670000000001</v>
      </c>
      <c r="Q24" s="1"/>
      <c r="R24" s="5">
        <f t="shared" si="16"/>
        <v>9.6311029768897383E-2</v>
      </c>
      <c r="S24" s="1"/>
      <c r="T24" s="1">
        <f>SUM(OSRRefT22_0x_0)</f>
        <v>6022.7599999999993</v>
      </c>
      <c r="U24" s="1"/>
      <c r="V24" s="5">
        <f t="shared" si="17"/>
        <v>0.18787161334899252</v>
      </c>
      <c r="W24" s="1"/>
      <c r="X24" s="1">
        <f t="shared" si="18"/>
        <v>-292.08999999999833</v>
      </c>
      <c r="Y24" s="1"/>
      <c r="Z24" s="5">
        <f t="shared" si="19"/>
        <v>-4.849769872948588E-2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7">
        <v>870.65</v>
      </c>
      <c r="E25" s="2"/>
      <c r="F25" s="6">
        <f t="shared" si="12"/>
        <v>2.4916021289297138E-2</v>
      </c>
      <c r="G25" s="2"/>
      <c r="H25" s="7">
        <v>777.53</v>
      </c>
      <c r="I25" s="2"/>
      <c r="J25" s="6">
        <f t="shared" si="13"/>
        <v>5.0252480696359396E-2</v>
      </c>
      <c r="K25" s="2"/>
      <c r="L25" s="7">
        <f t="shared" si="14"/>
        <v>93.12</v>
      </c>
      <c r="M25" s="2"/>
      <c r="N25" s="6">
        <f t="shared" si="15"/>
        <v>0.1197638676321171</v>
      </c>
      <c r="O25" s="11"/>
      <c r="P25" s="7">
        <v>1336.67</v>
      </c>
      <c r="Q25" s="2"/>
      <c r="R25" s="6">
        <f t="shared" si="16"/>
        <v>2.2464400176801673E-2</v>
      </c>
      <c r="S25" s="2"/>
      <c r="T25" s="7">
        <v>1215.29</v>
      </c>
      <c r="U25" s="2"/>
      <c r="V25" s="6">
        <f t="shared" si="17"/>
        <v>3.7909279630418138E-2</v>
      </c>
      <c r="W25" s="2"/>
      <c r="X25" s="7">
        <f t="shared" si="18"/>
        <v>121.38000000000011</v>
      </c>
      <c r="Y25" s="2"/>
      <c r="Z25" s="6">
        <f t="shared" si="19"/>
        <v>9.9877395518765164E-2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>
        <v>718.03</v>
      </c>
      <c r="E26" s="2"/>
      <c r="F26" s="6">
        <f t="shared" si="12"/>
        <v>2.05483842719279E-2</v>
      </c>
      <c r="G26" s="2"/>
      <c r="H26" s="7">
        <v>370.62</v>
      </c>
      <c r="I26" s="2"/>
      <c r="J26" s="6">
        <f t="shared" si="13"/>
        <v>2.3953512270503675E-2</v>
      </c>
      <c r="K26" s="2"/>
      <c r="L26" s="7">
        <f t="shared" si="14"/>
        <v>347.40999999999997</v>
      </c>
      <c r="M26" s="2"/>
      <c r="N26" s="6">
        <f t="shared" si="15"/>
        <v>0.93737520910906036</v>
      </c>
      <c r="O26" s="11"/>
      <c r="P26" s="7">
        <v>1090.0999999999999</v>
      </c>
      <c r="Q26" s="2"/>
      <c r="R26" s="6">
        <f t="shared" si="16"/>
        <v>1.8320484960933889E-2</v>
      </c>
      <c r="S26" s="2"/>
      <c r="T26" s="7">
        <v>672.94</v>
      </c>
      <c r="U26" s="2"/>
      <c r="V26" s="6">
        <f t="shared" si="17"/>
        <v>2.0991426436894556E-2</v>
      </c>
      <c r="W26" s="2"/>
      <c r="X26" s="7">
        <f t="shared" si="18"/>
        <v>417.15999999999985</v>
      </c>
      <c r="Y26" s="2"/>
      <c r="Z26" s="6">
        <f t="shared" si="19"/>
        <v>0.61990667815852796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7">
        <v>698.2</v>
      </c>
      <c r="E27" s="2"/>
      <c r="F27" s="6">
        <f t="shared" si="12"/>
        <v>1.9980894807542945E-2</v>
      </c>
      <c r="G27" s="2"/>
      <c r="H27" s="7">
        <v>1415.65</v>
      </c>
      <c r="I27" s="2"/>
      <c r="J27" s="6">
        <f t="shared" si="13"/>
        <v>9.1494764572172385E-2</v>
      </c>
      <c r="K27" s="2"/>
      <c r="L27" s="7">
        <f t="shared" si="14"/>
        <v>-717.45</v>
      </c>
      <c r="M27" s="2"/>
      <c r="N27" s="6">
        <f t="shared" si="15"/>
        <v>-0.50679899692720654</v>
      </c>
      <c r="O27" s="11"/>
      <c r="P27" s="7">
        <v>1396.4</v>
      </c>
      <c r="Q27" s="2"/>
      <c r="R27" s="6">
        <f t="shared" si="16"/>
        <v>2.346823704196687E-2</v>
      </c>
      <c r="S27" s="2"/>
      <c r="T27" s="7">
        <v>1943.3</v>
      </c>
      <c r="U27" s="2"/>
      <c r="V27" s="6">
        <f t="shared" si="17"/>
        <v>6.0618538049182963E-2</v>
      </c>
      <c r="W27" s="2"/>
      <c r="X27" s="7">
        <f t="shared" si="18"/>
        <v>-546.89999999999986</v>
      </c>
      <c r="Y27" s="2"/>
      <c r="Z27" s="6">
        <f t="shared" si="19"/>
        <v>-0.28142849791591618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>
        <v>48.12</v>
      </c>
      <c r="E28" s="2"/>
      <c r="F28" s="6">
        <f t="shared" si="12"/>
        <v>1.3770848727283963E-3</v>
      </c>
      <c r="G28" s="2"/>
      <c r="H28" s="7">
        <v>27.53</v>
      </c>
      <c r="I28" s="2"/>
      <c r="J28" s="6">
        <f t="shared" si="13"/>
        <v>1.7792892796043554E-3</v>
      </c>
      <c r="K28" s="2"/>
      <c r="L28" s="7">
        <f t="shared" si="14"/>
        <v>20.589999999999996</v>
      </c>
      <c r="M28" s="2"/>
      <c r="N28" s="6">
        <f t="shared" si="15"/>
        <v>0.74791136941518332</v>
      </c>
      <c r="O28" s="11"/>
      <c r="P28" s="7">
        <v>73.05</v>
      </c>
      <c r="Q28" s="2"/>
      <c r="R28" s="6">
        <f t="shared" si="16"/>
        <v>1.2276960154079632E-3</v>
      </c>
      <c r="S28" s="2"/>
      <c r="T28" s="7">
        <v>49.99</v>
      </c>
      <c r="U28" s="2"/>
      <c r="V28" s="6">
        <f t="shared" si="17"/>
        <v>1.5593684542163622E-3</v>
      </c>
      <c r="W28" s="2"/>
      <c r="X28" s="7">
        <f t="shared" si="18"/>
        <v>23.059999999999995</v>
      </c>
      <c r="Y28" s="2"/>
      <c r="Z28" s="6">
        <f t="shared" si="19"/>
        <v>0.4612922584516902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7">
        <v>320.99</v>
      </c>
      <c r="E29" s="2"/>
      <c r="F29" s="6">
        <f t="shared" si="12"/>
        <v>9.1860031857250203E-3</v>
      </c>
      <c r="G29" s="2"/>
      <c r="H29" s="7">
        <v>293.06</v>
      </c>
      <c r="I29" s="2"/>
      <c r="J29" s="6">
        <f t="shared" si="13"/>
        <v>1.8940737968792313E-2</v>
      </c>
      <c r="K29" s="2"/>
      <c r="L29" s="7">
        <f t="shared" si="14"/>
        <v>27.930000000000007</v>
      </c>
      <c r="M29" s="2"/>
      <c r="N29" s="6">
        <f t="shared" si="15"/>
        <v>9.530471575786531E-2</v>
      </c>
      <c r="O29" s="11"/>
      <c r="P29" s="7">
        <v>641.98</v>
      </c>
      <c r="Q29" s="2"/>
      <c r="R29" s="6">
        <f t="shared" si="16"/>
        <v>1.0789271567030859E-2</v>
      </c>
      <c r="S29" s="2"/>
      <c r="T29" s="7">
        <v>728.38</v>
      </c>
      <c r="U29" s="2"/>
      <c r="V29" s="6">
        <f t="shared" si="17"/>
        <v>2.2720800053653005E-2</v>
      </c>
      <c r="W29" s="2"/>
      <c r="X29" s="7">
        <f t="shared" si="18"/>
        <v>-86.399999999999977</v>
      </c>
      <c r="Y29" s="2"/>
      <c r="Z29" s="6">
        <f t="shared" si="19"/>
        <v>-0.11861940196051508</v>
      </c>
    </row>
    <row r="30" spans="1:26" s="24" customFormat="1" hidden="1" outlineLevel="2" x14ac:dyDescent="0.25">
      <c r="A30" s="29"/>
      <c r="B30" s="11" t="str">
        <f>CONCATENATE("          ", "6118", " - ", "VACATION")</f>
        <v xml:space="preserve">          6118 - VACATION</v>
      </c>
      <c r="C30" s="11"/>
      <c r="D30" s="7">
        <v>176.92</v>
      </c>
      <c r="E30" s="2"/>
      <c r="F30" s="6">
        <f t="shared" si="12"/>
        <v>5.063047707462757E-3</v>
      </c>
      <c r="G30" s="2"/>
      <c r="H30" s="7">
        <v>246.82</v>
      </c>
      <c r="I30" s="2"/>
      <c r="J30" s="6">
        <f t="shared" si="13"/>
        <v>1.5952204140644639E-2</v>
      </c>
      <c r="K30" s="2"/>
      <c r="L30" s="7">
        <f t="shared" si="14"/>
        <v>-69.900000000000006</v>
      </c>
      <c r="M30" s="2"/>
      <c r="N30" s="6">
        <f t="shared" si="15"/>
        <v>-0.28320233368446646</v>
      </c>
      <c r="O30" s="11"/>
      <c r="P30" s="7">
        <v>380.14</v>
      </c>
      <c r="Q30" s="2"/>
      <c r="R30" s="6">
        <f t="shared" si="16"/>
        <v>6.3887250280244097E-3</v>
      </c>
      <c r="S30" s="2"/>
      <c r="T30" s="7">
        <v>532.45000000000005</v>
      </c>
      <c r="U30" s="2"/>
      <c r="V30" s="6">
        <f t="shared" si="17"/>
        <v>1.660903647624529E-2</v>
      </c>
      <c r="W30" s="2"/>
      <c r="X30" s="7">
        <f t="shared" si="18"/>
        <v>-152.31000000000006</v>
      </c>
      <c r="Y30" s="2"/>
      <c r="Z30" s="6">
        <f t="shared" si="19"/>
        <v>-0.28605502864118704</v>
      </c>
    </row>
    <row r="31" spans="1:26" s="24" customFormat="1" hidden="1" outlineLevel="2" x14ac:dyDescent="0.25">
      <c r="A31" s="29"/>
      <c r="B31" s="11" t="str">
        <f>CONCATENATE("          ", "6119", " - ", "SICK LEAVE")</f>
        <v xml:space="preserve">          6119 - SICK LEAVE</v>
      </c>
      <c r="C31" s="11"/>
      <c r="D31" s="7">
        <v>211.96</v>
      </c>
      <c r="E31" s="2"/>
      <c r="F31" s="6">
        <f t="shared" si="12"/>
        <v>6.0658127519432857E-3</v>
      </c>
      <c r="G31" s="2"/>
      <c r="H31" s="7">
        <v>197.56</v>
      </c>
      <c r="I31" s="2"/>
      <c r="J31" s="6">
        <f t="shared" si="13"/>
        <v>1.2768484928392169E-2</v>
      </c>
      <c r="K31" s="2"/>
      <c r="L31" s="7">
        <f t="shared" si="14"/>
        <v>14.400000000000006</v>
      </c>
      <c r="M31" s="2"/>
      <c r="N31" s="6">
        <f t="shared" si="15"/>
        <v>7.2889248835796741E-2</v>
      </c>
      <c r="O31" s="11"/>
      <c r="P31" s="7">
        <v>517.76</v>
      </c>
      <c r="Q31" s="2"/>
      <c r="R31" s="6">
        <f t="shared" si="16"/>
        <v>8.7016001223494451E-3</v>
      </c>
      <c r="S31" s="2"/>
      <c r="T31" s="7">
        <v>585.16999999999996</v>
      </c>
      <c r="U31" s="2"/>
      <c r="V31" s="6">
        <f t="shared" si="17"/>
        <v>1.8253563479771726E-2</v>
      </c>
      <c r="W31" s="2"/>
      <c r="X31" s="7">
        <f t="shared" si="18"/>
        <v>-67.409999999999968</v>
      </c>
      <c r="Y31" s="2"/>
      <c r="Z31" s="6">
        <f t="shared" si="19"/>
        <v>-0.11519729309431442</v>
      </c>
    </row>
    <row r="32" spans="1:26" s="24" customFormat="1" hidden="1" outlineLevel="2" x14ac:dyDescent="0.25">
      <c r="A32" s="29"/>
      <c r="B32" s="11" t="str">
        <f>CONCATENATE("          ", "6156", " - ", "EMPLOYEE MEALS")</f>
        <v xml:space="preserve">          6156 - EMPLOYEE MEALS</v>
      </c>
      <c r="C32" s="11"/>
      <c r="D32" s="7">
        <v>144.57</v>
      </c>
      <c r="E32" s="2"/>
      <c r="F32" s="6">
        <f t="shared" si="12"/>
        <v>4.1372643401983433E-3</v>
      </c>
      <c r="G32" s="2"/>
      <c r="H32" s="7">
        <v>145.24</v>
      </c>
      <c r="I32" s="2"/>
      <c r="J32" s="6">
        <f t="shared" si="13"/>
        <v>9.3869950951593374E-3</v>
      </c>
      <c r="K32" s="2"/>
      <c r="L32" s="7">
        <f t="shared" si="14"/>
        <v>-0.67000000000001592</v>
      </c>
      <c r="M32" s="2"/>
      <c r="N32" s="6">
        <f t="shared" si="15"/>
        <v>-4.6130542550262728E-3</v>
      </c>
      <c r="O32" s="11"/>
      <c r="P32" s="7">
        <v>294.57</v>
      </c>
      <c r="Q32" s="2"/>
      <c r="R32" s="6">
        <f t="shared" si="16"/>
        <v>4.9506148563822549E-3</v>
      </c>
      <c r="S32" s="2"/>
      <c r="T32" s="7">
        <v>295.24</v>
      </c>
      <c r="U32" s="2"/>
      <c r="V32" s="6">
        <f t="shared" si="17"/>
        <v>9.2096007686104965E-3</v>
      </c>
      <c r="W32" s="2"/>
      <c r="X32" s="7">
        <f t="shared" si="18"/>
        <v>-0.67000000000001592</v>
      </c>
      <c r="Y32" s="2"/>
      <c r="Z32" s="6">
        <f t="shared" si="19"/>
        <v>-2.2693401978052291E-3</v>
      </c>
    </row>
    <row r="33" spans="1:26" s="27" customFormat="1" outlineLevel="1" collapsed="1" x14ac:dyDescent="0.25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12217.62</v>
      </c>
      <c r="E33" s="1"/>
      <c r="F33" s="5">
        <f t="shared" ref="F33:F38" si="20">IF(D$12=0,0,D33/D$12)</f>
        <v>0.349640475534994</v>
      </c>
      <c r="G33" s="1"/>
      <c r="H33" s="1">
        <f>SUM(OSRRefH22_1x_0)</f>
        <v>10513.7</v>
      </c>
      <c r="I33" s="1"/>
      <c r="J33" s="5">
        <f t="shared" ref="J33:J38" si="21">IF(H$12=0,0,H33/H$12)</f>
        <v>0.67951012346445006</v>
      </c>
      <c r="K33" s="1"/>
      <c r="L33" s="1">
        <f t="shared" ref="L33:L38" si="22">+D33-H33</f>
        <v>1703.92</v>
      </c>
      <c r="M33" s="1"/>
      <c r="N33" s="5">
        <f t="shared" ref="N33:N38" si="23">IF(H33=0,0,L33/H33)</f>
        <v>0.16206663686428183</v>
      </c>
      <c r="O33" s="14"/>
      <c r="P33" s="1">
        <f>SUM(OSRRefP22_1x_0)</f>
        <v>20012.55</v>
      </c>
      <c r="Q33" s="1"/>
      <c r="R33" s="5">
        <f t="shared" ref="R33:R38" si="24">IF(P$12=0,0,P33/P$12)</f>
        <v>0.33633576855787312</v>
      </c>
      <c r="S33" s="1"/>
      <c r="T33" s="1">
        <f>SUM(OSRRefT22_1x_0)</f>
        <v>17477.64</v>
      </c>
      <c r="U33" s="1"/>
      <c r="V33" s="5">
        <f t="shared" ref="V33:V38" si="25">IF(T$12=0,0,T33/T$12)</f>
        <v>0.54519064753250768</v>
      </c>
      <c r="W33" s="1"/>
      <c r="X33" s="1">
        <f t="shared" ref="X33:X38" si="26">+P33-T33</f>
        <v>2534.91</v>
      </c>
      <c r="Y33" s="1"/>
      <c r="Z33" s="5">
        <f t="shared" ref="Z33:Z38" si="27">IF(T33=0,0,X33/T33)</f>
        <v>0.14503731625093547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7">
        <v>4595.38</v>
      </c>
      <c r="E34" s="2"/>
      <c r="F34" s="6">
        <f t="shared" si="20"/>
        <v>0.13150931592765208</v>
      </c>
      <c r="G34" s="2"/>
      <c r="H34" s="7">
        <v>4283.24</v>
      </c>
      <c r="I34" s="2"/>
      <c r="J34" s="6">
        <f t="shared" si="21"/>
        <v>0.27682974987186915</v>
      </c>
      <c r="K34" s="2"/>
      <c r="L34" s="7">
        <f t="shared" si="22"/>
        <v>312.14000000000033</v>
      </c>
      <c r="M34" s="2"/>
      <c r="N34" s="6">
        <f t="shared" si="23"/>
        <v>7.2874739683043754E-2</v>
      </c>
      <c r="O34" s="11"/>
      <c r="P34" s="7">
        <v>10339.76</v>
      </c>
      <c r="Q34" s="2"/>
      <c r="R34" s="6">
        <f t="shared" si="24"/>
        <v>0.17377251406262342</v>
      </c>
      <c r="S34" s="2"/>
      <c r="T34" s="7">
        <v>9423.32</v>
      </c>
      <c r="U34" s="2"/>
      <c r="V34" s="6">
        <f t="shared" si="25"/>
        <v>0.29394734830938446</v>
      </c>
      <c r="W34" s="2"/>
      <c r="X34" s="7">
        <f t="shared" si="26"/>
        <v>916.44000000000051</v>
      </c>
      <c r="Y34" s="2"/>
      <c r="Z34" s="6">
        <f t="shared" si="27"/>
        <v>9.7252348429216082E-2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3092.92</v>
      </c>
      <c r="E35" s="2"/>
      <c r="F35" s="6">
        <f t="shared" si="20"/>
        <v>8.851233051868479E-2</v>
      </c>
      <c r="G35" s="2"/>
      <c r="H35" s="7">
        <v>3391.96</v>
      </c>
      <c r="I35" s="2"/>
      <c r="J35" s="6">
        <f t="shared" si="21"/>
        <v>0.21922550181063527</v>
      </c>
      <c r="K35" s="2"/>
      <c r="L35" s="7">
        <f t="shared" si="22"/>
        <v>-299.03999999999996</v>
      </c>
      <c r="M35" s="2"/>
      <c r="N35" s="6">
        <f t="shared" si="23"/>
        <v>-8.816141699784194E-2</v>
      </c>
      <c r="O35" s="11"/>
      <c r="P35" s="7">
        <v>4151.47</v>
      </c>
      <c r="Q35" s="2"/>
      <c r="R35" s="6">
        <f t="shared" si="24"/>
        <v>6.9770611595971213E-2</v>
      </c>
      <c r="S35" s="2"/>
      <c r="T35" s="7">
        <v>4459.82</v>
      </c>
      <c r="U35" s="2"/>
      <c r="V35" s="6">
        <f t="shared" si="25"/>
        <v>0.13911787596485728</v>
      </c>
      <c r="W35" s="2"/>
      <c r="X35" s="7">
        <f t="shared" si="26"/>
        <v>-308.34999999999945</v>
      </c>
      <c r="Y35" s="2"/>
      <c r="Z35" s="6">
        <f t="shared" si="27"/>
        <v>-6.9139561686345968E-2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>
        <v>225.38</v>
      </c>
      <c r="E36" s="2"/>
      <c r="F36" s="6">
        <f t="shared" si="20"/>
        <v>6.4498626063076887E-3</v>
      </c>
      <c r="G36" s="2"/>
      <c r="H36" s="7"/>
      <c r="I36" s="2"/>
      <c r="J36" s="6">
        <f t="shared" si="21"/>
        <v>0</v>
      </c>
      <c r="K36" s="2"/>
      <c r="L36" s="7">
        <f t="shared" si="22"/>
        <v>225.38</v>
      </c>
      <c r="M36" s="2"/>
      <c r="N36" s="6">
        <f t="shared" si="23"/>
        <v>0</v>
      </c>
      <c r="O36" s="11"/>
      <c r="P36" s="7">
        <v>303.38</v>
      </c>
      <c r="Q36" s="2"/>
      <c r="R36" s="6">
        <f t="shared" si="24"/>
        <v>5.0986778529016818E-3</v>
      </c>
      <c r="S36" s="2"/>
      <c r="T36" s="7"/>
      <c r="U36" s="2"/>
      <c r="V36" s="6">
        <f t="shared" si="25"/>
        <v>0</v>
      </c>
      <c r="W36" s="2"/>
      <c r="X36" s="7">
        <f t="shared" si="26"/>
        <v>303.38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3556.94</v>
      </c>
      <c r="E37" s="2"/>
      <c r="F37" s="6">
        <f t="shared" si="20"/>
        <v>0.10179152674984503</v>
      </c>
      <c r="G37" s="2"/>
      <c r="H37" s="7">
        <v>2838.5</v>
      </c>
      <c r="I37" s="2"/>
      <c r="J37" s="6">
        <f t="shared" si="21"/>
        <v>0.18345487178194558</v>
      </c>
      <c r="K37" s="2"/>
      <c r="L37" s="7">
        <f t="shared" si="22"/>
        <v>718.44</v>
      </c>
      <c r="M37" s="2"/>
      <c r="N37" s="6">
        <f t="shared" si="23"/>
        <v>0.2531055134754272</v>
      </c>
      <c r="O37" s="11"/>
      <c r="P37" s="7">
        <v>4422.9399999999996</v>
      </c>
      <c r="Q37" s="2"/>
      <c r="R37" s="6">
        <f t="shared" si="24"/>
        <v>7.433300225035587E-2</v>
      </c>
      <c r="S37" s="2"/>
      <c r="T37" s="7">
        <v>3594.5</v>
      </c>
      <c r="U37" s="2"/>
      <c r="V37" s="6">
        <f t="shared" si="25"/>
        <v>0.11212542325826592</v>
      </c>
      <c r="W37" s="2"/>
      <c r="X37" s="7">
        <f t="shared" si="26"/>
        <v>828.4399999999996</v>
      </c>
      <c r="Y37" s="2"/>
      <c r="Z37" s="6">
        <f t="shared" si="27"/>
        <v>0.23047433579079138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>
        <v>747</v>
      </c>
      <c r="E38" s="2"/>
      <c r="F38" s="6">
        <f t="shared" si="20"/>
        <v>2.1377439732504409E-2</v>
      </c>
      <c r="G38" s="2"/>
      <c r="H38" s="7"/>
      <c r="I38" s="2"/>
      <c r="J38" s="6">
        <f t="shared" si="21"/>
        <v>0</v>
      </c>
      <c r="K38" s="2"/>
      <c r="L38" s="7">
        <f t="shared" si="22"/>
        <v>747</v>
      </c>
      <c r="M38" s="2"/>
      <c r="N38" s="6">
        <f t="shared" si="23"/>
        <v>0</v>
      </c>
      <c r="O38" s="11"/>
      <c r="P38" s="7">
        <v>795</v>
      </c>
      <c r="Q38" s="2"/>
      <c r="R38" s="6">
        <f t="shared" si="24"/>
        <v>1.3360962796020955E-2</v>
      </c>
      <c r="S38" s="2"/>
      <c r="T38" s="7"/>
      <c r="U38" s="2"/>
      <c r="V38" s="6">
        <f t="shared" si="25"/>
        <v>0</v>
      </c>
      <c r="W38" s="2"/>
      <c r="X38" s="7">
        <f t="shared" si="26"/>
        <v>795</v>
      </c>
      <c r="Y38" s="2"/>
      <c r="Z38" s="6">
        <f t="shared" si="27"/>
        <v>0</v>
      </c>
    </row>
    <row r="39" spans="1:26" s="27" customFormat="1" outlineLevel="1" collapsed="1" x14ac:dyDescent="0.25">
      <c r="A39" s="28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49.57</v>
      </c>
      <c r="E39" s="1"/>
      <c r="F39" s="5">
        <f t="shared" ref="F39:F59" si="28">IF(D$12=0,0,D39/D$12)</f>
        <v>1.4185805723430302E-3</v>
      </c>
      <c r="G39" s="1"/>
      <c r="H39" s="1">
        <f>SUM(OSRRefH22_2x_0)</f>
        <v>242.52</v>
      </c>
      <c r="I39" s="1"/>
      <c r="J39" s="5">
        <f t="shared" ref="J39:J59" si="29">IF(H$12=0,0,H39/H$12)</f>
        <v>1.5674291176521912E-2</v>
      </c>
      <c r="K39" s="1"/>
      <c r="L39" s="1">
        <f t="shared" ref="L39:L59" si="30">+D39-H39</f>
        <v>-192.95000000000002</v>
      </c>
      <c r="M39" s="1"/>
      <c r="N39" s="5">
        <f t="shared" ref="N39:N59" si="31">IF(H39=0,0,L39/H39)</f>
        <v>-0.79560448622794</v>
      </c>
      <c r="O39" s="14"/>
      <c r="P39" s="1">
        <f>SUM(OSRRefP22_2x_0)</f>
        <v>49.57</v>
      </c>
      <c r="Q39" s="1"/>
      <c r="R39" s="5">
        <f t="shared" ref="R39:R59" si="32">IF(P$12=0,0,P39/P$12)</f>
        <v>8.3308544125630028E-4</v>
      </c>
      <c r="S39" s="1"/>
      <c r="T39" s="1">
        <f>SUM(OSRRefT22_2x_0)</f>
        <v>304.52</v>
      </c>
      <c r="U39" s="1"/>
      <c r="V39" s="5">
        <f t="shared" ref="V39:V59" si="33">IF(T$12=0,0,T39/T$12)</f>
        <v>9.4990774490491415E-3</v>
      </c>
      <c r="W39" s="1"/>
      <c r="X39" s="1">
        <f t="shared" ref="X39:X59" si="34">+P39-T39</f>
        <v>-254.95</v>
      </c>
      <c r="Y39" s="1"/>
      <c r="Z39" s="5">
        <f t="shared" ref="Z39:Z59" si="35">IF(T39=0,0,X39/T39)</f>
        <v>-0.83721923026402212</v>
      </c>
    </row>
    <row r="40" spans="1:26" s="24" customFormat="1" hidden="1" outlineLevel="2" x14ac:dyDescent="0.25">
      <c r="A40" s="29"/>
      <c r="B40" s="11" t="str">
        <f>CONCATENATE("          ", "6362", " - ", "ADVERTISING EXPENSE")</f>
        <v xml:space="preserve">          6362 - ADVERTISING EXPENSE</v>
      </c>
      <c r="C40" s="11"/>
      <c r="D40" s="7">
        <v>49.57</v>
      </c>
      <c r="E40" s="2"/>
      <c r="F40" s="6">
        <f t="shared" si="28"/>
        <v>1.4185805723430302E-3</v>
      </c>
      <c r="G40" s="2"/>
      <c r="H40" s="7">
        <v>242.52</v>
      </c>
      <c r="I40" s="2"/>
      <c r="J40" s="6">
        <f t="shared" si="29"/>
        <v>1.5674291176521912E-2</v>
      </c>
      <c r="K40" s="2"/>
      <c r="L40" s="7">
        <f t="shared" si="30"/>
        <v>-192.95000000000002</v>
      </c>
      <c r="M40" s="2"/>
      <c r="N40" s="6">
        <f t="shared" si="31"/>
        <v>-0.79560448622794</v>
      </c>
      <c r="O40" s="11"/>
      <c r="P40" s="7">
        <v>49.57</v>
      </c>
      <c r="Q40" s="2"/>
      <c r="R40" s="6">
        <f t="shared" si="32"/>
        <v>8.3308544125630028E-4</v>
      </c>
      <c r="S40" s="2"/>
      <c r="T40" s="7">
        <v>304.52</v>
      </c>
      <c r="U40" s="2"/>
      <c r="V40" s="6">
        <f t="shared" si="33"/>
        <v>9.4990774490491415E-3</v>
      </c>
      <c r="W40" s="2"/>
      <c r="X40" s="7">
        <f t="shared" si="34"/>
        <v>-254.95</v>
      </c>
      <c r="Y40" s="2"/>
      <c r="Z40" s="6">
        <f t="shared" si="35"/>
        <v>-0.83721923026402212</v>
      </c>
    </row>
    <row r="41" spans="1:26" s="27" customFormat="1" outlineLevel="1" collapsed="1" x14ac:dyDescent="0.25">
      <c r="A41" s="28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4.3099999999999996</v>
      </c>
      <c r="E41" s="1"/>
      <c r="F41" s="5">
        <f t="shared" si="28"/>
        <v>1.2334238988901471E-4</v>
      </c>
      <c r="G41" s="1"/>
      <c r="H41" s="1">
        <f>SUM(OSRRefH22_3x_0)</f>
        <v>232.36</v>
      </c>
      <c r="I41" s="1"/>
      <c r="J41" s="5">
        <f t="shared" si="29"/>
        <v>1.5017641010129604E-2</v>
      </c>
      <c r="K41" s="1"/>
      <c r="L41" s="1">
        <f t="shared" si="30"/>
        <v>-228.05</v>
      </c>
      <c r="M41" s="1"/>
      <c r="N41" s="5">
        <f t="shared" si="31"/>
        <v>-0.9814511964193493</v>
      </c>
      <c r="O41" s="14"/>
      <c r="P41" s="1">
        <f>SUM(OSRRefP22_3x_0)</f>
        <v>4.3099999999999996</v>
      </c>
      <c r="Q41" s="1"/>
      <c r="R41" s="5">
        <f t="shared" si="32"/>
        <v>7.2434905221195356E-5</v>
      </c>
      <c r="S41" s="1"/>
      <c r="T41" s="1">
        <f>SUM(OSRRefT22_3x_0)</f>
        <v>240.66</v>
      </c>
      <c r="U41" s="1"/>
      <c r="V41" s="5">
        <f t="shared" si="33"/>
        <v>7.5070536545651066E-3</v>
      </c>
      <c r="W41" s="1"/>
      <c r="X41" s="1">
        <f t="shared" si="34"/>
        <v>-236.35</v>
      </c>
      <c r="Y41" s="1"/>
      <c r="Z41" s="5">
        <f t="shared" si="35"/>
        <v>-0.98209091664589043</v>
      </c>
    </row>
    <row r="42" spans="1:26" s="24" customFormat="1" hidden="1" outlineLevel="2" x14ac:dyDescent="0.25">
      <c r="A42" s="29"/>
      <c r="B42" s="11" t="str">
        <f>CONCATENATE("          ", "6272", " - ", "CASH (OVER/SHORT)")</f>
        <v xml:space="preserve">          6272 - CASH (OVER/SHORT)</v>
      </c>
      <c r="C42" s="11"/>
      <c r="D42" s="7">
        <v>4.3099999999999996</v>
      </c>
      <c r="E42" s="2"/>
      <c r="F42" s="6">
        <f t="shared" si="28"/>
        <v>1.2334238988901471E-4</v>
      </c>
      <c r="G42" s="2"/>
      <c r="H42" s="7">
        <v>232.36</v>
      </c>
      <c r="I42" s="2"/>
      <c r="J42" s="6">
        <f t="shared" si="29"/>
        <v>1.5017641010129604E-2</v>
      </c>
      <c r="K42" s="2"/>
      <c r="L42" s="7">
        <f t="shared" si="30"/>
        <v>-228.05</v>
      </c>
      <c r="M42" s="2"/>
      <c r="N42" s="6">
        <f t="shared" si="31"/>
        <v>-0.9814511964193493</v>
      </c>
      <c r="O42" s="11"/>
      <c r="P42" s="7">
        <v>4.3099999999999996</v>
      </c>
      <c r="Q42" s="2"/>
      <c r="R42" s="6">
        <f t="shared" si="32"/>
        <v>7.2434905221195356E-5</v>
      </c>
      <c r="S42" s="2"/>
      <c r="T42" s="7">
        <v>240.66</v>
      </c>
      <c r="U42" s="2"/>
      <c r="V42" s="6">
        <f t="shared" si="33"/>
        <v>7.5070536545651066E-3</v>
      </c>
      <c r="W42" s="2"/>
      <c r="X42" s="7">
        <f t="shared" si="34"/>
        <v>-236.35</v>
      </c>
      <c r="Y42" s="2"/>
      <c r="Z42" s="6">
        <f t="shared" si="35"/>
        <v>-0.98209091664589043</v>
      </c>
    </row>
    <row r="43" spans="1:26" s="27" customFormat="1" outlineLevel="1" collapsed="1" x14ac:dyDescent="0.25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923.6</v>
      </c>
      <c r="E43" s="1"/>
      <c r="F43" s="5">
        <f t="shared" si="28"/>
        <v>2.6431329768328075E-2</v>
      </c>
      <c r="G43" s="1"/>
      <c r="H43" s="1">
        <f>SUM(OSRRefH22_4x_0)</f>
        <v>179.19</v>
      </c>
      <c r="I43" s="1"/>
      <c r="J43" s="5">
        <f t="shared" si="29"/>
        <v>1.1581214893291116E-2</v>
      </c>
      <c r="K43" s="1"/>
      <c r="L43" s="1">
        <f t="shared" si="30"/>
        <v>744.41000000000008</v>
      </c>
      <c r="M43" s="1"/>
      <c r="N43" s="5">
        <f t="shared" si="31"/>
        <v>4.1543054857971988</v>
      </c>
      <c r="O43" s="14"/>
      <c r="P43" s="1">
        <f>SUM(OSRRefP22_4x_0)</f>
        <v>1429.4</v>
      </c>
      <c r="Q43" s="1"/>
      <c r="R43" s="5">
        <f t="shared" si="32"/>
        <v>2.4022843044820569E-2</v>
      </c>
      <c r="S43" s="1"/>
      <c r="T43" s="1">
        <f>SUM(OSRRefT22_4x_0)</f>
        <v>435.96</v>
      </c>
      <c r="U43" s="1"/>
      <c r="V43" s="5">
        <f t="shared" si="33"/>
        <v>1.3599165259055114E-2</v>
      </c>
      <c r="W43" s="1"/>
      <c r="X43" s="1">
        <f t="shared" si="34"/>
        <v>993.44</v>
      </c>
      <c r="Y43" s="1"/>
      <c r="Z43" s="5">
        <f t="shared" si="35"/>
        <v>2.2787411689145793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7">
        <v>923.6</v>
      </c>
      <c r="E44" s="2"/>
      <c r="F44" s="6">
        <f t="shared" si="28"/>
        <v>2.6431329768328075E-2</v>
      </c>
      <c r="G44" s="2"/>
      <c r="H44" s="7">
        <v>179.19</v>
      </c>
      <c r="I44" s="2"/>
      <c r="J44" s="6">
        <f t="shared" si="29"/>
        <v>1.1581214893291116E-2</v>
      </c>
      <c r="K44" s="2"/>
      <c r="L44" s="7">
        <f t="shared" si="30"/>
        <v>744.41000000000008</v>
      </c>
      <c r="M44" s="2"/>
      <c r="N44" s="6">
        <f t="shared" si="31"/>
        <v>4.1543054857971988</v>
      </c>
      <c r="O44" s="11"/>
      <c r="P44" s="7">
        <v>1429.4</v>
      </c>
      <c r="Q44" s="2"/>
      <c r="R44" s="6">
        <f t="shared" si="32"/>
        <v>2.4022843044820569E-2</v>
      </c>
      <c r="S44" s="2"/>
      <c r="T44" s="7">
        <v>435.96</v>
      </c>
      <c r="U44" s="2"/>
      <c r="V44" s="6">
        <f t="shared" si="33"/>
        <v>1.3599165259055114E-2</v>
      </c>
      <c r="W44" s="2"/>
      <c r="X44" s="7">
        <f t="shared" si="34"/>
        <v>993.44</v>
      </c>
      <c r="Y44" s="2"/>
      <c r="Z44" s="6">
        <f t="shared" si="35"/>
        <v>2.2787411689145793</v>
      </c>
    </row>
    <row r="45" spans="1:26" s="27" customFormat="1" outlineLevel="1" collapsed="1" x14ac:dyDescent="0.25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255.35</v>
      </c>
      <c r="E45" s="1"/>
      <c r="F45" s="5">
        <f t="shared" si="28"/>
        <v>7.3075357907563592E-3</v>
      </c>
      <c r="G45" s="1"/>
      <c r="H45" s="1">
        <f>SUM(OSRRefH22_5x_0)</f>
        <v>0</v>
      </c>
      <c r="I45" s="1"/>
      <c r="J45" s="5">
        <f t="shared" si="29"/>
        <v>0</v>
      </c>
      <c r="K45" s="1"/>
      <c r="L45" s="1">
        <f t="shared" si="30"/>
        <v>255.35</v>
      </c>
      <c r="M45" s="1"/>
      <c r="N45" s="5">
        <f t="shared" si="31"/>
        <v>0</v>
      </c>
      <c r="O45" s="14"/>
      <c r="P45" s="1">
        <f>SUM(OSRRefP22_5x_0)</f>
        <v>510.7</v>
      </c>
      <c r="Q45" s="1"/>
      <c r="R45" s="5">
        <f t="shared" si="32"/>
        <v>8.5829480502237748E-3</v>
      </c>
      <c r="S45" s="1"/>
      <c r="T45" s="1">
        <f>SUM(OSRRefT22_5x_0)</f>
        <v>0</v>
      </c>
      <c r="U45" s="1"/>
      <c r="V45" s="5">
        <f t="shared" si="33"/>
        <v>0</v>
      </c>
      <c r="W45" s="1"/>
      <c r="X45" s="1">
        <f t="shared" si="34"/>
        <v>510.7</v>
      </c>
      <c r="Y45" s="1"/>
      <c r="Z45" s="5">
        <f t="shared" si="35"/>
        <v>0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255.35</v>
      </c>
      <c r="E46" s="2"/>
      <c r="F46" s="6">
        <f t="shared" si="28"/>
        <v>7.3075357907563592E-3</v>
      </c>
      <c r="G46" s="2"/>
      <c r="H46" s="7"/>
      <c r="I46" s="2"/>
      <c r="J46" s="6">
        <f t="shared" si="29"/>
        <v>0</v>
      </c>
      <c r="K46" s="2"/>
      <c r="L46" s="7">
        <f t="shared" si="30"/>
        <v>255.35</v>
      </c>
      <c r="M46" s="2"/>
      <c r="N46" s="6">
        <f t="shared" si="31"/>
        <v>0</v>
      </c>
      <c r="O46" s="11"/>
      <c r="P46" s="7">
        <v>510.7</v>
      </c>
      <c r="Q46" s="2"/>
      <c r="R46" s="6">
        <f t="shared" si="32"/>
        <v>8.5829480502237748E-3</v>
      </c>
      <c r="S46" s="2"/>
      <c r="T46" s="7"/>
      <c r="U46" s="2"/>
      <c r="V46" s="6">
        <f t="shared" si="33"/>
        <v>0</v>
      </c>
      <c r="W46" s="2"/>
      <c r="X46" s="7">
        <f t="shared" si="34"/>
        <v>510.7</v>
      </c>
      <c r="Y46" s="2"/>
      <c r="Z46" s="6">
        <f t="shared" si="35"/>
        <v>0</v>
      </c>
    </row>
    <row r="47" spans="1:26" s="27" customFormat="1" outlineLevel="1" collapsed="1" x14ac:dyDescent="0.25">
      <c r="A47" s="28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SUM(OSRRefD22_6x_0)</f>
        <v>88.6</v>
      </c>
      <c r="E47" s="1"/>
      <c r="F47" s="5">
        <f t="shared" si="28"/>
        <v>2.5355303350734814E-3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88.6</v>
      </c>
      <c r="M47" s="1"/>
      <c r="N47" s="5">
        <f t="shared" si="31"/>
        <v>0</v>
      </c>
      <c r="O47" s="14"/>
      <c r="P47" s="1">
        <f>SUM(OSRRefP22_6x_0)</f>
        <v>88.6</v>
      </c>
      <c r="Q47" s="1"/>
      <c r="R47" s="5">
        <f t="shared" si="32"/>
        <v>1.4890330864496307E-3</v>
      </c>
      <c r="S47" s="1"/>
      <c r="T47" s="1">
        <f>SUM(OSRRefT22_6x_0)</f>
        <v>0</v>
      </c>
      <c r="U47" s="1"/>
      <c r="V47" s="5">
        <f t="shared" si="33"/>
        <v>0</v>
      </c>
      <c r="W47" s="1"/>
      <c r="X47" s="1">
        <f t="shared" si="34"/>
        <v>88.6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"6277", " - ", "EMPLOYEE APPRECIATION")</f>
        <v xml:space="preserve">          6277 - EMPLOYEE APPRECIATION</v>
      </c>
      <c r="C48" s="11"/>
      <c r="D48" s="7">
        <v>88.6</v>
      </c>
      <c r="E48" s="2"/>
      <c r="F48" s="6">
        <f t="shared" si="28"/>
        <v>2.5355303350734814E-3</v>
      </c>
      <c r="G48" s="2"/>
      <c r="H48" s="7"/>
      <c r="I48" s="2"/>
      <c r="J48" s="6">
        <f t="shared" si="29"/>
        <v>0</v>
      </c>
      <c r="K48" s="2"/>
      <c r="L48" s="7">
        <f t="shared" si="30"/>
        <v>88.6</v>
      </c>
      <c r="M48" s="2"/>
      <c r="N48" s="6">
        <f t="shared" si="31"/>
        <v>0</v>
      </c>
      <c r="O48" s="11"/>
      <c r="P48" s="7">
        <v>88.6</v>
      </c>
      <c r="Q48" s="2"/>
      <c r="R48" s="6">
        <f t="shared" si="32"/>
        <v>1.4890330864496307E-3</v>
      </c>
      <c r="S48" s="2"/>
      <c r="T48" s="7"/>
      <c r="U48" s="2"/>
      <c r="V48" s="6">
        <f t="shared" si="33"/>
        <v>0</v>
      </c>
      <c r="W48" s="2"/>
      <c r="X48" s="7">
        <f t="shared" si="34"/>
        <v>88.6</v>
      </c>
      <c r="Y48" s="2"/>
      <c r="Z48" s="6">
        <f t="shared" si="35"/>
        <v>0</v>
      </c>
    </row>
    <row r="49" spans="1:26" s="27" customFormat="1" outlineLevel="1" collapsed="1" x14ac:dyDescent="0.25">
      <c r="A49" s="28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SUM(OSRRefD22_7x_0)</f>
        <v>350</v>
      </c>
      <c r="E49" s="1"/>
      <c r="F49" s="5">
        <f t="shared" si="28"/>
        <v>1.0016203355256416E-2</v>
      </c>
      <c r="G49" s="1"/>
      <c r="H49" s="1">
        <f>SUM(OSRRefH22_7x_0)</f>
        <v>0</v>
      </c>
      <c r="I49" s="1"/>
      <c r="J49" s="5">
        <f t="shared" si="29"/>
        <v>0</v>
      </c>
      <c r="K49" s="1"/>
      <c r="L49" s="1">
        <f t="shared" si="30"/>
        <v>350</v>
      </c>
      <c r="M49" s="1"/>
      <c r="N49" s="5">
        <f t="shared" si="31"/>
        <v>0</v>
      </c>
      <c r="O49" s="14"/>
      <c r="P49" s="1">
        <f>SUM(OSRRefP22_7x_0)</f>
        <v>350</v>
      </c>
      <c r="Q49" s="1"/>
      <c r="R49" s="5">
        <f t="shared" si="32"/>
        <v>5.8821848787513637E-3</v>
      </c>
      <c r="S49" s="1"/>
      <c r="T49" s="1">
        <f>SUM(OSRRefT22_7x_0)</f>
        <v>0</v>
      </c>
      <c r="U49" s="1"/>
      <c r="V49" s="5">
        <f t="shared" si="33"/>
        <v>0</v>
      </c>
      <c r="W49" s="1"/>
      <c r="X49" s="1">
        <f t="shared" si="34"/>
        <v>350</v>
      </c>
      <c r="Y49" s="1"/>
      <c r="Z49" s="5">
        <f t="shared" si="35"/>
        <v>0</v>
      </c>
    </row>
    <row r="50" spans="1:26" s="24" customFormat="1" hidden="1" outlineLevel="2" x14ac:dyDescent="0.25">
      <c r="A50" s="29"/>
      <c r="B50" s="11" t="str">
        <f>CONCATENATE("          ", "6351", " - ", "EQUIPMENT RENTAL")</f>
        <v xml:space="preserve">          6351 - EQUIPMENT RENTAL</v>
      </c>
      <c r="C50" s="11"/>
      <c r="D50" s="7">
        <v>350</v>
      </c>
      <c r="E50" s="2"/>
      <c r="F50" s="6">
        <f t="shared" si="28"/>
        <v>1.0016203355256416E-2</v>
      </c>
      <c r="G50" s="2"/>
      <c r="H50" s="7"/>
      <c r="I50" s="2"/>
      <c r="J50" s="6">
        <f t="shared" si="29"/>
        <v>0</v>
      </c>
      <c r="K50" s="2"/>
      <c r="L50" s="7">
        <f t="shared" si="30"/>
        <v>350</v>
      </c>
      <c r="M50" s="2"/>
      <c r="N50" s="6">
        <f t="shared" si="31"/>
        <v>0</v>
      </c>
      <c r="O50" s="11"/>
      <c r="P50" s="7">
        <v>350</v>
      </c>
      <c r="Q50" s="2"/>
      <c r="R50" s="6">
        <f t="shared" si="32"/>
        <v>5.8821848787513637E-3</v>
      </c>
      <c r="S50" s="2"/>
      <c r="T50" s="7"/>
      <c r="U50" s="2"/>
      <c r="V50" s="6">
        <f t="shared" si="33"/>
        <v>0</v>
      </c>
      <c r="W50" s="2"/>
      <c r="X50" s="7">
        <f t="shared" si="34"/>
        <v>350</v>
      </c>
      <c r="Y50" s="2"/>
      <c r="Z50" s="6">
        <f t="shared" si="35"/>
        <v>0</v>
      </c>
    </row>
    <row r="51" spans="1:26" s="27" customFormat="1" outlineLevel="1" collapsed="1" x14ac:dyDescent="0.25">
      <c r="A51" s="28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SUM(OSRRefD22_8x_0)</f>
        <v>425</v>
      </c>
      <c r="E51" s="1"/>
      <c r="F51" s="5">
        <f t="shared" si="28"/>
        <v>1.2162532645668505E-2</v>
      </c>
      <c r="G51" s="1"/>
      <c r="H51" s="1">
        <f>SUM(OSRRefH22_8x_0)</f>
        <v>0</v>
      </c>
      <c r="I51" s="1"/>
      <c r="J51" s="5">
        <f t="shared" si="29"/>
        <v>0</v>
      </c>
      <c r="K51" s="1"/>
      <c r="L51" s="1">
        <f t="shared" si="30"/>
        <v>425</v>
      </c>
      <c r="M51" s="1"/>
      <c r="N51" s="5">
        <f t="shared" si="31"/>
        <v>0</v>
      </c>
      <c r="O51" s="14"/>
      <c r="P51" s="1">
        <f>SUM(OSRRefP22_8x_0)</f>
        <v>5398.49</v>
      </c>
      <c r="Q51" s="1"/>
      <c r="R51" s="5">
        <f t="shared" si="32"/>
        <v>9.072833213168699E-2</v>
      </c>
      <c r="S51" s="1"/>
      <c r="T51" s="1">
        <f>SUM(OSRRefT22_8x_0)</f>
        <v>1888.34</v>
      </c>
      <c r="U51" s="1"/>
      <c r="V51" s="5">
        <f t="shared" si="33"/>
        <v>5.8904137364171334E-2</v>
      </c>
      <c r="W51" s="1"/>
      <c r="X51" s="1">
        <f t="shared" si="34"/>
        <v>3510.1499999999996</v>
      </c>
      <c r="Y51" s="1"/>
      <c r="Z51" s="5">
        <f t="shared" si="35"/>
        <v>1.8588548672378913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7">
        <v>425</v>
      </c>
      <c r="E52" s="2"/>
      <c r="F52" s="6">
        <f t="shared" si="28"/>
        <v>1.2162532645668505E-2</v>
      </c>
      <c r="G52" s="2"/>
      <c r="H52" s="7"/>
      <c r="I52" s="2"/>
      <c r="J52" s="6">
        <f t="shared" si="29"/>
        <v>0</v>
      </c>
      <c r="K52" s="2"/>
      <c r="L52" s="7">
        <f t="shared" si="30"/>
        <v>425</v>
      </c>
      <c r="M52" s="2"/>
      <c r="N52" s="6">
        <f t="shared" si="31"/>
        <v>0</v>
      </c>
      <c r="O52" s="11"/>
      <c r="P52" s="7">
        <v>5398.49</v>
      </c>
      <c r="Q52" s="2"/>
      <c r="R52" s="6">
        <f t="shared" si="32"/>
        <v>9.072833213168699E-2</v>
      </c>
      <c r="S52" s="2"/>
      <c r="T52" s="7">
        <v>1888.34</v>
      </c>
      <c r="U52" s="2"/>
      <c r="V52" s="6">
        <f t="shared" si="33"/>
        <v>5.8904137364171334E-2</v>
      </c>
      <c r="W52" s="2"/>
      <c r="X52" s="7">
        <f t="shared" si="34"/>
        <v>3510.1499999999996</v>
      </c>
      <c r="Y52" s="2"/>
      <c r="Z52" s="6">
        <f t="shared" si="35"/>
        <v>1.8588548672378913</v>
      </c>
    </row>
    <row r="53" spans="1:26" s="27" customFormat="1" outlineLevel="1" collapsed="1" x14ac:dyDescent="0.25">
      <c r="A53" s="28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SUM(OSRRefD22_9x_0)</f>
        <v>0</v>
      </c>
      <c r="E53" s="1"/>
      <c r="F53" s="5">
        <f t="shared" si="28"/>
        <v>0</v>
      </c>
      <c r="G53" s="1"/>
      <c r="H53" s="1">
        <f>SUM(OSRRefH22_9x_0)</f>
        <v>397.69</v>
      </c>
      <c r="I53" s="1"/>
      <c r="J53" s="5">
        <f t="shared" si="29"/>
        <v>2.5703071326039086E-2</v>
      </c>
      <c r="K53" s="1"/>
      <c r="L53" s="1">
        <f t="shared" si="30"/>
        <v>-397.69</v>
      </c>
      <c r="M53" s="1"/>
      <c r="N53" s="5">
        <f t="shared" si="31"/>
        <v>-1</v>
      </c>
      <c r="O53" s="14"/>
      <c r="P53" s="1">
        <f>SUM(OSRRefP22_9x_0)</f>
        <v>838.95</v>
      </c>
      <c r="Q53" s="1"/>
      <c r="R53" s="5">
        <f t="shared" si="32"/>
        <v>1.4099597154367019E-2</v>
      </c>
      <c r="S53" s="1"/>
      <c r="T53" s="1">
        <f>SUM(OSRRefT22_9x_0)</f>
        <v>1029.1199999999999</v>
      </c>
      <c r="U53" s="1"/>
      <c r="V53" s="5">
        <f t="shared" si="33"/>
        <v>3.2101965665195888E-2</v>
      </c>
      <c r="W53" s="1"/>
      <c r="X53" s="1">
        <f t="shared" si="34"/>
        <v>-190.16999999999985</v>
      </c>
      <c r="Y53" s="1"/>
      <c r="Z53" s="5">
        <f t="shared" si="35"/>
        <v>-0.18478894589552225</v>
      </c>
    </row>
    <row r="54" spans="1:26" s="24" customFormat="1" hidden="1" outlineLevel="2" x14ac:dyDescent="0.25">
      <c r="A54" s="29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28"/>
        <v>0</v>
      </c>
      <c r="G54" s="2"/>
      <c r="H54" s="7">
        <v>397.69</v>
      </c>
      <c r="I54" s="2"/>
      <c r="J54" s="6">
        <f t="shared" si="29"/>
        <v>2.5703071326039086E-2</v>
      </c>
      <c r="K54" s="2"/>
      <c r="L54" s="7">
        <f t="shared" si="30"/>
        <v>-397.69</v>
      </c>
      <c r="M54" s="2"/>
      <c r="N54" s="6">
        <f t="shared" si="31"/>
        <v>-1</v>
      </c>
      <c r="O54" s="11"/>
      <c r="P54" s="7">
        <v>838.95</v>
      </c>
      <c r="Q54" s="2"/>
      <c r="R54" s="6">
        <f t="shared" si="32"/>
        <v>1.4099597154367019E-2</v>
      </c>
      <c r="S54" s="2"/>
      <c r="T54" s="7">
        <v>1029.1199999999999</v>
      </c>
      <c r="U54" s="2"/>
      <c r="V54" s="6">
        <f t="shared" si="33"/>
        <v>3.2101965665195888E-2</v>
      </c>
      <c r="W54" s="2"/>
      <c r="X54" s="7">
        <f t="shared" si="34"/>
        <v>-190.16999999999985</v>
      </c>
      <c r="Y54" s="2"/>
      <c r="Z54" s="6">
        <f t="shared" si="35"/>
        <v>-0.18478894589552225</v>
      </c>
    </row>
    <row r="55" spans="1:26" s="27" customFormat="1" outlineLevel="1" collapsed="1" x14ac:dyDescent="0.25">
      <c r="A55" s="28"/>
      <c r="B55" s="14" t="str">
        <f>CONCATENATE("     ","Royalty &amp; Commissions                             ")</f>
        <v xml:space="preserve">     Royalty &amp; Commissions                             </v>
      </c>
      <c r="C55" s="14"/>
      <c r="D55" s="1">
        <f>SUM(OSRRefD22_10x_0)</f>
        <v>7022.42</v>
      </c>
      <c r="E55" s="1"/>
      <c r="F55" s="5">
        <f t="shared" si="28"/>
        <v>0.20096567647434219</v>
      </c>
      <c r="G55" s="1"/>
      <c r="H55" s="1">
        <f>SUM(OSRRefH22_10x_0)</f>
        <v>3220.96</v>
      </c>
      <c r="I55" s="1"/>
      <c r="J55" s="5">
        <f t="shared" si="29"/>
        <v>0.20817361416761512</v>
      </c>
      <c r="K55" s="1"/>
      <c r="L55" s="1">
        <f t="shared" si="30"/>
        <v>3801.46</v>
      </c>
      <c r="M55" s="1"/>
      <c r="N55" s="5">
        <f t="shared" si="31"/>
        <v>1.1802257711986488</v>
      </c>
      <c r="O55" s="14"/>
      <c r="P55" s="1">
        <f>SUM(OSRRefP22_10x_0)</f>
        <v>13377.08</v>
      </c>
      <c r="Q55" s="1"/>
      <c r="R55" s="5">
        <f t="shared" si="32"/>
        <v>0.22481845056527797</v>
      </c>
      <c r="S55" s="1"/>
      <c r="T55" s="1">
        <f>SUM(OSRRefT22_10x_0)</f>
        <v>7113.23</v>
      </c>
      <c r="U55" s="1"/>
      <c r="V55" s="5">
        <f t="shared" si="33"/>
        <v>0.22188730685307967</v>
      </c>
      <c r="W55" s="1"/>
      <c r="X55" s="1">
        <f t="shared" si="34"/>
        <v>6263.85</v>
      </c>
      <c r="Y55" s="1"/>
      <c r="Z55" s="5">
        <f t="shared" si="35"/>
        <v>0.88059151749627118</v>
      </c>
    </row>
    <row r="56" spans="1:26" s="24" customFormat="1" hidden="1" outlineLevel="2" x14ac:dyDescent="0.25">
      <c r="A56" s="29"/>
      <c r="B56" s="11" t="str">
        <f>CONCATENATE("          ", "6254", " - ", "ROYALTY &amp; COMMISSIONS")</f>
        <v xml:space="preserve">          6254 - ROYALTY &amp; COMMISSIONS</v>
      </c>
      <c r="C56" s="11"/>
      <c r="D56" s="7">
        <v>7022.42</v>
      </c>
      <c r="E56" s="2"/>
      <c r="F56" s="6">
        <f t="shared" si="28"/>
        <v>0.20096567647434219</v>
      </c>
      <c r="G56" s="2"/>
      <c r="H56" s="7">
        <v>3220.96</v>
      </c>
      <c r="I56" s="2"/>
      <c r="J56" s="6">
        <f t="shared" si="29"/>
        <v>0.20817361416761512</v>
      </c>
      <c r="K56" s="2"/>
      <c r="L56" s="7">
        <f t="shared" si="30"/>
        <v>3801.46</v>
      </c>
      <c r="M56" s="2"/>
      <c r="N56" s="6">
        <f t="shared" si="31"/>
        <v>1.1802257711986488</v>
      </c>
      <c r="O56" s="11"/>
      <c r="P56" s="7">
        <v>13377.08</v>
      </c>
      <c r="Q56" s="2"/>
      <c r="R56" s="6">
        <f t="shared" si="32"/>
        <v>0.22481845056527797</v>
      </c>
      <c r="S56" s="2"/>
      <c r="T56" s="7">
        <v>7113.23</v>
      </c>
      <c r="U56" s="2"/>
      <c r="V56" s="6">
        <f t="shared" si="33"/>
        <v>0.22188730685307967</v>
      </c>
      <c r="W56" s="2"/>
      <c r="X56" s="7">
        <f t="shared" si="34"/>
        <v>6263.85</v>
      </c>
      <c r="Y56" s="2"/>
      <c r="Z56" s="6">
        <f t="shared" si="35"/>
        <v>0.88059151749627118</v>
      </c>
    </row>
    <row r="57" spans="1:26" s="27" customFormat="1" outlineLevel="1" collapsed="1" x14ac:dyDescent="0.25">
      <c r="A57" s="28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274.55</v>
      </c>
      <c r="E57" s="1"/>
      <c r="F57" s="5">
        <f t="shared" si="28"/>
        <v>7.8569960891018541E-3</v>
      </c>
      <c r="G57" s="1"/>
      <c r="H57" s="1">
        <f>SUM(OSRRefH22_11x_0)</f>
        <v>230.69</v>
      </c>
      <c r="I57" s="1"/>
      <c r="J57" s="5">
        <f t="shared" si="29"/>
        <v>1.4909707370574963E-2</v>
      </c>
      <c r="K57" s="1"/>
      <c r="L57" s="1">
        <f t="shared" si="30"/>
        <v>43.860000000000014</v>
      </c>
      <c r="M57" s="1"/>
      <c r="N57" s="5">
        <f t="shared" si="31"/>
        <v>0.19012527634487847</v>
      </c>
      <c r="O57" s="14"/>
      <c r="P57" s="1">
        <f>SUM(OSRRefP22_11x_0)</f>
        <v>508.48</v>
      </c>
      <c r="Q57" s="1"/>
      <c r="R57" s="5">
        <f t="shared" si="32"/>
        <v>8.5456381918499816E-3</v>
      </c>
      <c r="S57" s="1"/>
      <c r="T57" s="1">
        <f>SUM(OSRRefT22_11x_0)</f>
        <v>476</v>
      </c>
      <c r="U57" s="1"/>
      <c r="V57" s="5">
        <f t="shared" si="33"/>
        <v>1.4848157315602887E-2</v>
      </c>
      <c r="W57" s="1"/>
      <c r="X57" s="1">
        <f t="shared" si="34"/>
        <v>32.480000000000018</v>
      </c>
      <c r="Y57" s="1"/>
      <c r="Z57" s="5">
        <f t="shared" si="35"/>
        <v>6.8235294117647102E-2</v>
      </c>
    </row>
    <row r="58" spans="1:26" s="24" customFormat="1" hidden="1" outlineLevel="2" x14ac:dyDescent="0.25">
      <c r="A58" s="29"/>
      <c r="B58" s="11" t="str">
        <f>CONCATENATE("          ", "6282", " - ", "JANITORIAL/EXTERMINATOR EXPENS")</f>
        <v xml:space="preserve">          6282 - JANITORIAL/EXTERMINATOR EXPENS</v>
      </c>
      <c r="C58" s="11"/>
      <c r="D58" s="7">
        <v>225.81</v>
      </c>
      <c r="E58" s="2"/>
      <c r="F58" s="6">
        <f t="shared" si="28"/>
        <v>6.4621682275727184E-3</v>
      </c>
      <c r="G58" s="2"/>
      <c r="H58" s="7">
        <v>225.81</v>
      </c>
      <c r="I58" s="2"/>
      <c r="J58" s="6">
        <f t="shared" si="29"/>
        <v>1.459430847175661E-2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>
        <v>451.62</v>
      </c>
      <c r="Q58" s="2"/>
      <c r="R58" s="6">
        <f t="shared" si="32"/>
        <v>7.5900352426905458E-3</v>
      </c>
      <c r="S58" s="2"/>
      <c r="T58" s="7">
        <v>451.62</v>
      </c>
      <c r="U58" s="2"/>
      <c r="V58" s="6">
        <f t="shared" si="33"/>
        <v>1.4087657157295328E-2</v>
      </c>
      <c r="W58" s="2"/>
      <c r="X58" s="7">
        <f t="shared" si="34"/>
        <v>0</v>
      </c>
      <c r="Y58" s="2"/>
      <c r="Z58" s="6">
        <f t="shared" si="35"/>
        <v>0</v>
      </c>
    </row>
    <row r="59" spans="1:26" s="24" customFormat="1" hidden="1" outlineLevel="2" x14ac:dyDescent="0.25">
      <c r="A59" s="29"/>
      <c r="B59" s="11" t="str">
        <f>CONCATENATE("          ", "6286", " - ", "LAUNDRY EXPENSE")</f>
        <v xml:space="preserve">          6286 - LAUNDRY EXPENSE</v>
      </c>
      <c r="C59" s="11"/>
      <c r="D59" s="7">
        <v>48.74</v>
      </c>
      <c r="E59" s="2"/>
      <c r="F59" s="6">
        <f t="shared" si="28"/>
        <v>1.3948278615291364E-3</v>
      </c>
      <c r="G59" s="2"/>
      <c r="H59" s="7">
        <v>4.88</v>
      </c>
      <c r="I59" s="2"/>
      <c r="J59" s="6">
        <f t="shared" si="29"/>
        <v>3.153988988183528E-4</v>
      </c>
      <c r="K59" s="2"/>
      <c r="L59" s="7">
        <f t="shared" si="30"/>
        <v>43.86</v>
      </c>
      <c r="M59" s="2"/>
      <c r="N59" s="6">
        <f t="shared" si="31"/>
        <v>8.9877049180327866</v>
      </c>
      <c r="O59" s="11"/>
      <c r="P59" s="7">
        <v>56.86</v>
      </c>
      <c r="Q59" s="2"/>
      <c r="R59" s="6">
        <f t="shared" si="32"/>
        <v>9.5560294915943578E-4</v>
      </c>
      <c r="S59" s="2"/>
      <c r="T59" s="7">
        <v>24.38</v>
      </c>
      <c r="U59" s="2"/>
      <c r="V59" s="6">
        <f t="shared" si="33"/>
        <v>7.6050015830755966E-4</v>
      </c>
      <c r="W59" s="2"/>
      <c r="X59" s="7">
        <f t="shared" si="34"/>
        <v>32.480000000000004</v>
      </c>
      <c r="Y59" s="2"/>
      <c r="Z59" s="6">
        <f t="shared" si="35"/>
        <v>1.3322395406070551</v>
      </c>
    </row>
    <row r="60" spans="1:26" s="27" customFormat="1" outlineLevel="1" collapsed="1" x14ac:dyDescent="0.25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SUM(OSRRefD22_12x_0)</f>
        <v>895.27</v>
      </c>
      <c r="E60" s="1"/>
      <c r="F60" s="5">
        <f t="shared" ref="F60:F66" si="36">IF(D$12=0,0,D60/D$12)</f>
        <v>2.5620589651029747E-2</v>
      </c>
      <c r="G60" s="1"/>
      <c r="H60" s="1">
        <f>SUM(OSRRefH22_12x_0)</f>
        <v>1984.08</v>
      </c>
      <c r="I60" s="1"/>
      <c r="J60" s="5">
        <f t="shared" ref="J60:J66" si="37">IF(H$12=0,0,H60/H$12)</f>
        <v>0.12823291950154048</v>
      </c>
      <c r="K60" s="1"/>
      <c r="L60" s="1">
        <f t="shared" ref="L60:L66" si="38">+D60-H60</f>
        <v>-1088.81</v>
      </c>
      <c r="M60" s="1"/>
      <c r="N60" s="5">
        <f t="shared" ref="N60:N66" si="39">IF(H60=0,0,L60/H60)</f>
        <v>-0.54877323495020358</v>
      </c>
      <c r="O60" s="14"/>
      <c r="P60" s="1">
        <f>SUM(OSRRefP22_12x_0)</f>
        <v>2301.73</v>
      </c>
      <c r="Q60" s="1"/>
      <c r="R60" s="5">
        <f t="shared" ref="R60:R66" si="40">IF(P$12=0,0,P60/P$12)</f>
        <v>3.8683432574195362E-2</v>
      </c>
      <c r="S60" s="1"/>
      <c r="T60" s="1">
        <f>SUM(OSRRefT22_12x_0)</f>
        <v>1985.32</v>
      </c>
      <c r="U60" s="1"/>
      <c r="V60" s="5">
        <f t="shared" ref="V60:V66" si="41">IF(T$12=0,0,T60/T$12)</f>
        <v>6.1929293449186393E-2</v>
      </c>
      <c r="W60" s="1"/>
      <c r="X60" s="1">
        <f t="shared" ref="X60:X66" si="42">+P60-T60</f>
        <v>316.41000000000008</v>
      </c>
      <c r="Y60" s="1"/>
      <c r="Z60" s="5">
        <f t="shared" ref="Z60:Z66" si="43">IF(T60=0,0,X60/T60)</f>
        <v>0.15937481111357368</v>
      </c>
    </row>
    <row r="61" spans="1:26" s="24" customFormat="1" hidden="1" outlineLevel="2" x14ac:dyDescent="0.25">
      <c r="A61" s="29"/>
      <c r="B61" s="11" t="str">
        <f>CONCATENATE("          ", "6237", " - ", "JANITORIAL SUPPLIES")</f>
        <v xml:space="preserve">          6237 - JANITORIAL SUPPLIES</v>
      </c>
      <c r="C61" s="11"/>
      <c r="D61" s="7"/>
      <c r="E61" s="2"/>
      <c r="F61" s="6">
        <f t="shared" si="36"/>
        <v>0</v>
      </c>
      <c r="G61" s="2"/>
      <c r="H61" s="7">
        <v>24.08</v>
      </c>
      <c r="I61" s="2"/>
      <c r="J61" s="6">
        <f t="shared" si="37"/>
        <v>1.556312599087282E-3</v>
      </c>
      <c r="K61" s="2"/>
      <c r="L61" s="7">
        <f t="shared" si="38"/>
        <v>-24.08</v>
      </c>
      <c r="M61" s="2"/>
      <c r="N61" s="6">
        <f t="shared" si="39"/>
        <v>-1</v>
      </c>
      <c r="O61" s="11"/>
      <c r="P61" s="7"/>
      <c r="Q61" s="2"/>
      <c r="R61" s="6">
        <f t="shared" si="40"/>
        <v>0</v>
      </c>
      <c r="S61" s="2"/>
      <c r="T61" s="7">
        <v>24.08</v>
      </c>
      <c r="U61" s="2"/>
      <c r="V61" s="6">
        <f t="shared" si="41"/>
        <v>7.5114207596579312E-4</v>
      </c>
      <c r="W61" s="2"/>
      <c r="X61" s="7">
        <f t="shared" si="42"/>
        <v>-24.08</v>
      </c>
      <c r="Y61" s="2"/>
      <c r="Z61" s="6">
        <f t="shared" si="43"/>
        <v>-1</v>
      </c>
    </row>
    <row r="62" spans="1:26" s="24" customFormat="1" hidden="1" outlineLevel="2" x14ac:dyDescent="0.25">
      <c r="A62" s="29"/>
      <c r="B62" s="11" t="str">
        <f>CONCATENATE("          ", "6239", " - ", "KITCHEN SUPPLIES")</f>
        <v xml:space="preserve">          6239 - KITCHEN SUPPLIES</v>
      </c>
      <c r="C62" s="11"/>
      <c r="D62" s="7">
        <v>291</v>
      </c>
      <c r="E62" s="2"/>
      <c r="F62" s="6">
        <f t="shared" si="36"/>
        <v>8.327757646798906E-3</v>
      </c>
      <c r="G62" s="2"/>
      <c r="H62" s="7"/>
      <c r="I62" s="2"/>
      <c r="J62" s="6">
        <f t="shared" si="37"/>
        <v>0</v>
      </c>
      <c r="K62" s="2"/>
      <c r="L62" s="7">
        <f t="shared" si="38"/>
        <v>291</v>
      </c>
      <c r="M62" s="2"/>
      <c r="N62" s="6">
        <f t="shared" si="39"/>
        <v>0</v>
      </c>
      <c r="O62" s="11"/>
      <c r="P62" s="7">
        <v>1639.63</v>
      </c>
      <c r="Q62" s="2"/>
      <c r="R62" s="6">
        <f t="shared" si="40"/>
        <v>2.7556019407848853E-2</v>
      </c>
      <c r="S62" s="2"/>
      <c r="T62" s="7"/>
      <c r="U62" s="2"/>
      <c r="V62" s="6">
        <f t="shared" si="41"/>
        <v>0</v>
      </c>
      <c r="W62" s="2"/>
      <c r="X62" s="7">
        <f t="shared" si="42"/>
        <v>1639.63</v>
      </c>
      <c r="Y62" s="2"/>
      <c r="Z62" s="6">
        <f t="shared" si="43"/>
        <v>0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7">
        <v>304.27</v>
      </c>
      <c r="E63" s="2"/>
      <c r="F63" s="6">
        <f t="shared" si="36"/>
        <v>8.7075148425824842E-3</v>
      </c>
      <c r="G63" s="2"/>
      <c r="H63" s="7">
        <v>1013.92</v>
      </c>
      <c r="I63" s="2"/>
      <c r="J63" s="6">
        <f t="shared" si="37"/>
        <v>6.5530584321701696E-2</v>
      </c>
      <c r="K63" s="2"/>
      <c r="L63" s="7">
        <f t="shared" si="38"/>
        <v>-709.65</v>
      </c>
      <c r="M63" s="2"/>
      <c r="N63" s="6">
        <f t="shared" si="39"/>
        <v>-0.69990729051601708</v>
      </c>
      <c r="O63" s="11"/>
      <c r="P63" s="7">
        <v>362.1</v>
      </c>
      <c r="Q63" s="2"/>
      <c r="R63" s="6">
        <f t="shared" si="40"/>
        <v>6.0855404131310541E-3</v>
      </c>
      <c r="S63" s="2"/>
      <c r="T63" s="7">
        <v>1013.92</v>
      </c>
      <c r="U63" s="2"/>
      <c r="V63" s="6">
        <f t="shared" si="41"/>
        <v>3.1627822826546387E-2</v>
      </c>
      <c r="W63" s="2"/>
      <c r="X63" s="7">
        <f t="shared" si="42"/>
        <v>-651.81999999999994</v>
      </c>
      <c r="Y63" s="2"/>
      <c r="Z63" s="6">
        <f t="shared" si="43"/>
        <v>-0.64287123244437427</v>
      </c>
    </row>
    <row r="64" spans="1:26" s="24" customFormat="1" hidden="1" outlineLevel="2" x14ac:dyDescent="0.25">
      <c r="A64" s="29"/>
      <c r="B64" s="11" t="str">
        <f>CONCATENATE("          ", "6243", " - ", "PAPER SUPPLIES")</f>
        <v xml:space="preserve">          6243 - PAPER SUPPLIES</v>
      </c>
      <c r="C64" s="11"/>
      <c r="D64" s="7">
        <v>300</v>
      </c>
      <c r="E64" s="2"/>
      <c r="F64" s="6">
        <f t="shared" si="36"/>
        <v>8.5853171616483565E-3</v>
      </c>
      <c r="G64" s="2"/>
      <c r="H64" s="7">
        <v>74.349999999999994</v>
      </c>
      <c r="I64" s="2"/>
      <c r="J64" s="6">
        <f t="shared" si="37"/>
        <v>4.8053090424476502E-3</v>
      </c>
      <c r="K64" s="2"/>
      <c r="L64" s="7">
        <f t="shared" si="38"/>
        <v>225.65</v>
      </c>
      <c r="M64" s="2"/>
      <c r="N64" s="6">
        <f t="shared" si="39"/>
        <v>3.0349697377269673</v>
      </c>
      <c r="O64" s="11"/>
      <c r="P64" s="7">
        <v>300</v>
      </c>
      <c r="Q64" s="2"/>
      <c r="R64" s="6">
        <f t="shared" si="40"/>
        <v>5.0418727532154546E-3</v>
      </c>
      <c r="S64" s="2"/>
      <c r="T64" s="7">
        <v>75.59</v>
      </c>
      <c r="U64" s="2"/>
      <c r="V64" s="6">
        <f t="shared" si="41"/>
        <v>2.3579248140471057E-3</v>
      </c>
      <c r="W64" s="2"/>
      <c r="X64" s="7">
        <f t="shared" si="42"/>
        <v>224.41</v>
      </c>
      <c r="Y64" s="2"/>
      <c r="Z64" s="6">
        <f t="shared" si="43"/>
        <v>2.968778939013097</v>
      </c>
    </row>
    <row r="65" spans="1:26" s="24" customFormat="1" hidden="1" outlineLevel="2" x14ac:dyDescent="0.25">
      <c r="A65" s="29"/>
      <c r="B65" s="11" t="str">
        <f>CONCATENATE("          ", "6247", " - ", "STORE SUPPLIES")</f>
        <v xml:space="preserve">          6247 - STORE SUPPLIES</v>
      </c>
      <c r="C65" s="11"/>
      <c r="D65" s="7"/>
      <c r="E65" s="2"/>
      <c r="F65" s="6">
        <f t="shared" si="36"/>
        <v>0</v>
      </c>
      <c r="G65" s="2"/>
      <c r="H65" s="7">
        <v>154.22</v>
      </c>
      <c r="I65" s="2"/>
      <c r="J65" s="6">
        <f t="shared" si="37"/>
        <v>9.9673807737226169E-3</v>
      </c>
      <c r="K65" s="2"/>
      <c r="L65" s="7">
        <f t="shared" si="38"/>
        <v>-154.22</v>
      </c>
      <c r="M65" s="2"/>
      <c r="N65" s="6">
        <f t="shared" si="39"/>
        <v>-1</v>
      </c>
      <c r="O65" s="11"/>
      <c r="P65" s="7"/>
      <c r="Q65" s="2"/>
      <c r="R65" s="6">
        <f t="shared" si="40"/>
        <v>0</v>
      </c>
      <c r="S65" s="2"/>
      <c r="T65" s="7">
        <v>154.22</v>
      </c>
      <c r="U65" s="2"/>
      <c r="V65" s="6">
        <f t="shared" si="41"/>
        <v>4.8106781958241118E-3</v>
      </c>
      <c r="W65" s="2"/>
      <c r="X65" s="7">
        <f t="shared" si="42"/>
        <v>-154.22</v>
      </c>
      <c r="Y65" s="2"/>
      <c r="Z65" s="6">
        <f t="shared" si="43"/>
        <v>-1</v>
      </c>
    </row>
    <row r="66" spans="1:26" s="24" customFormat="1" hidden="1" outlineLevel="2" x14ac:dyDescent="0.25">
      <c r="A66" s="29"/>
      <c r="B66" s="11" t="str">
        <f>CONCATENATE("          ", "6248", " - ", "UNIFORMS")</f>
        <v xml:space="preserve">          6248 - UNIFORMS</v>
      </c>
      <c r="C66" s="11"/>
      <c r="D66" s="7"/>
      <c r="E66" s="2"/>
      <c r="F66" s="6">
        <f t="shared" si="36"/>
        <v>0</v>
      </c>
      <c r="G66" s="2"/>
      <c r="H66" s="7">
        <v>717.51</v>
      </c>
      <c r="I66" s="2"/>
      <c r="J66" s="6">
        <f t="shared" si="37"/>
        <v>4.6373332764581214E-2</v>
      </c>
      <c r="K66" s="2"/>
      <c r="L66" s="7">
        <f t="shared" si="38"/>
        <v>-717.51</v>
      </c>
      <c r="M66" s="2"/>
      <c r="N66" s="6">
        <f t="shared" si="39"/>
        <v>-1</v>
      </c>
      <c r="O66" s="11"/>
      <c r="P66" s="7"/>
      <c r="Q66" s="2"/>
      <c r="R66" s="6">
        <f t="shared" si="40"/>
        <v>0</v>
      </c>
      <c r="S66" s="2"/>
      <c r="T66" s="7">
        <v>717.51</v>
      </c>
      <c r="U66" s="2"/>
      <c r="V66" s="6">
        <f t="shared" si="41"/>
        <v>2.2381725536803E-2</v>
      </c>
      <c r="W66" s="2"/>
      <c r="X66" s="7">
        <f t="shared" si="42"/>
        <v>-717.51</v>
      </c>
      <c r="Y66" s="2"/>
      <c r="Z66" s="6">
        <f t="shared" si="43"/>
        <v>-1</v>
      </c>
    </row>
    <row r="67" spans="1:26" s="27" customFormat="1" outlineLevel="1" collapsed="1" x14ac:dyDescent="0.25">
      <c r="A67" s="28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SUM(OSRRefD22_13x_0)</f>
        <v>311.48</v>
      </c>
      <c r="E67" s="1"/>
      <c r="F67" s="5">
        <f t="shared" ref="F67:F72" si="44">IF(D$12=0,0,D67/D$12)</f>
        <v>8.9138486317007683E-3</v>
      </c>
      <c r="G67" s="1"/>
      <c r="H67" s="1">
        <f>SUM(OSRRefH22_13x_0)</f>
        <v>300.58999999999997</v>
      </c>
      <c r="I67" s="1"/>
      <c r="J67" s="5">
        <f t="shared" ref="J67:J72" si="45">IF(H$12=0,0,H67/H$12)</f>
        <v>1.9427408810616532E-2</v>
      </c>
      <c r="K67" s="1"/>
      <c r="L67" s="1">
        <f t="shared" ref="L67:L72" si="46">+D67-H67</f>
        <v>10.890000000000043</v>
      </c>
      <c r="M67" s="1"/>
      <c r="N67" s="5">
        <f t="shared" ref="N67:N72" si="47">IF(H67=0,0,L67/H67)</f>
        <v>3.6228750124754794E-2</v>
      </c>
      <c r="O67" s="14"/>
      <c r="P67" s="1">
        <f>SUM(OSRRefP22_13x_0)</f>
        <v>532.91</v>
      </c>
      <c r="Q67" s="1"/>
      <c r="R67" s="5">
        <f t="shared" ref="R67:R72" si="48">IF(P$12=0,0,P67/P$12)</f>
        <v>8.9562146963868255E-3</v>
      </c>
      <c r="S67" s="1"/>
      <c r="T67" s="1">
        <f>SUM(OSRRefT22_13x_0)</f>
        <v>752.25</v>
      </c>
      <c r="U67" s="1"/>
      <c r="V67" s="5">
        <f t="shared" ref="V67:V72" si="49">IF(T$12=0,0,T67/T$12)</f>
        <v>2.3465391471979562E-2</v>
      </c>
      <c r="W67" s="1"/>
      <c r="X67" s="1">
        <f t="shared" ref="X67:X72" si="50">+P67-T67</f>
        <v>-219.34000000000003</v>
      </c>
      <c r="Y67" s="1"/>
      <c r="Z67" s="5">
        <f t="shared" ref="Z67:Z72" si="51">IF(T67=0,0,X67/T67)</f>
        <v>-0.29157859754071125</v>
      </c>
    </row>
    <row r="68" spans="1:26" s="24" customFormat="1" hidden="1" outlineLevel="2" x14ac:dyDescent="0.25">
      <c r="A68" s="29"/>
      <c r="B68" s="11" t="str">
        <f>CONCATENATE("          ", "6309", " - ", "TELEPHONE")</f>
        <v xml:space="preserve">          6309 - TELEPHONE</v>
      </c>
      <c r="C68" s="11"/>
      <c r="D68" s="7">
        <v>311.48</v>
      </c>
      <c r="E68" s="2"/>
      <c r="F68" s="6">
        <f t="shared" si="44"/>
        <v>8.9138486317007683E-3</v>
      </c>
      <c r="G68" s="2"/>
      <c r="H68" s="7">
        <v>300.58999999999997</v>
      </c>
      <c r="I68" s="2"/>
      <c r="J68" s="6">
        <f t="shared" si="45"/>
        <v>1.9427408810616532E-2</v>
      </c>
      <c r="K68" s="2"/>
      <c r="L68" s="7">
        <f t="shared" si="46"/>
        <v>10.890000000000043</v>
      </c>
      <c r="M68" s="2"/>
      <c r="N68" s="6">
        <f t="shared" si="47"/>
        <v>3.6228750124754794E-2</v>
      </c>
      <c r="O68" s="11"/>
      <c r="P68" s="7">
        <v>532.91</v>
      </c>
      <c r="Q68" s="2"/>
      <c r="R68" s="6">
        <f t="shared" si="48"/>
        <v>8.9562146963868255E-3</v>
      </c>
      <c r="S68" s="2"/>
      <c r="T68" s="7">
        <v>752.25</v>
      </c>
      <c r="U68" s="2"/>
      <c r="V68" s="6">
        <f t="shared" si="49"/>
        <v>2.3465391471979562E-2</v>
      </c>
      <c r="W68" s="2"/>
      <c r="X68" s="7">
        <f t="shared" si="50"/>
        <v>-219.34000000000003</v>
      </c>
      <c r="Y68" s="2"/>
      <c r="Z68" s="6">
        <f t="shared" si="51"/>
        <v>-0.29157859754071125</v>
      </c>
    </row>
    <row r="69" spans="1:26" s="27" customFormat="1" outlineLevel="1" collapsed="1" x14ac:dyDescent="0.25">
      <c r="A69" s="28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SUM(OSRRefD22_14x_0)</f>
        <v>0</v>
      </c>
      <c r="E69" s="1"/>
      <c r="F69" s="5">
        <f t="shared" si="44"/>
        <v>0</v>
      </c>
      <c r="G69" s="1"/>
      <c r="H69" s="1">
        <f>SUM(OSRRefH22_14x_0)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4"/>
      <c r="P69" s="1">
        <f>SUM(OSRRefP22_14x_0)</f>
        <v>152.94999999999999</v>
      </c>
      <c r="Q69" s="1"/>
      <c r="R69" s="5">
        <f t="shared" si="48"/>
        <v>2.5705147920143459E-3</v>
      </c>
      <c r="S69" s="1"/>
      <c r="T69" s="1">
        <f>SUM(OSRRefT22_14x_0)</f>
        <v>98.83</v>
      </c>
      <c r="U69" s="1"/>
      <c r="V69" s="5">
        <f t="shared" si="49"/>
        <v>3.0828642594559522E-3</v>
      </c>
      <c r="W69" s="1"/>
      <c r="X69" s="1">
        <f t="shared" si="50"/>
        <v>54.11999999999999</v>
      </c>
      <c r="Y69" s="1"/>
      <c r="Z69" s="5">
        <f t="shared" si="51"/>
        <v>0.54760700192249312</v>
      </c>
    </row>
    <row r="70" spans="1:26" s="24" customFormat="1" hidden="1" outlineLevel="2" x14ac:dyDescent="0.25">
      <c r="A70" s="29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>
        <v>152.94999999999999</v>
      </c>
      <c r="Q70" s="2"/>
      <c r="R70" s="6">
        <f t="shared" si="48"/>
        <v>2.5705147920143459E-3</v>
      </c>
      <c r="S70" s="2"/>
      <c r="T70" s="7">
        <v>98.83</v>
      </c>
      <c r="U70" s="2"/>
      <c r="V70" s="6">
        <f t="shared" si="49"/>
        <v>3.0828642594559522E-3</v>
      </c>
      <c r="W70" s="2"/>
      <c r="X70" s="7">
        <f t="shared" si="50"/>
        <v>54.11999999999999</v>
      </c>
      <c r="Y70" s="2"/>
      <c r="Z70" s="6">
        <f t="shared" si="51"/>
        <v>0.54760700192249312</v>
      </c>
    </row>
    <row r="71" spans="1:26" s="27" customFormat="1" outlineLevel="1" collapsed="1" x14ac:dyDescent="0.25">
      <c r="A71" s="28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SUM(OSRRefD22_15x_0)</f>
        <v>0</v>
      </c>
      <c r="E71" s="1"/>
      <c r="F71" s="5">
        <f t="shared" si="44"/>
        <v>0</v>
      </c>
      <c r="G71" s="1"/>
      <c r="H71" s="1">
        <f>SUM(OSRRefH22_15x_0)</f>
        <v>0</v>
      </c>
      <c r="I71" s="1"/>
      <c r="J71" s="5">
        <f t="shared" si="45"/>
        <v>0</v>
      </c>
      <c r="K71" s="1"/>
      <c r="L71" s="1">
        <f t="shared" si="46"/>
        <v>0</v>
      </c>
      <c r="M71" s="1"/>
      <c r="N71" s="5">
        <f t="shared" si="47"/>
        <v>0</v>
      </c>
      <c r="O71" s="14"/>
      <c r="P71" s="1">
        <f>SUM(OSRRefP22_15x_0)</f>
        <v>0</v>
      </c>
      <c r="Q71" s="1"/>
      <c r="R71" s="5">
        <f t="shared" si="48"/>
        <v>0</v>
      </c>
      <c r="S71" s="1"/>
      <c r="T71" s="1">
        <f>SUM(OSRRefT22_15x_0)</f>
        <v>1258.9000000000001</v>
      </c>
      <c r="U71" s="1"/>
      <c r="V71" s="5">
        <f t="shared" si="49"/>
        <v>3.9269632866832931E-2</v>
      </c>
      <c r="W71" s="1"/>
      <c r="X71" s="1">
        <f t="shared" si="50"/>
        <v>-1258.9000000000001</v>
      </c>
      <c r="Y71" s="1"/>
      <c r="Z71" s="5">
        <f t="shared" si="51"/>
        <v>-1</v>
      </c>
    </row>
    <row r="72" spans="1:26" s="24" customFormat="1" hidden="1" outlineLevel="2" x14ac:dyDescent="0.25">
      <c r="A72" s="29"/>
      <c r="B72" s="11" t="str">
        <f>CONCATENATE("          ", "6294", " - ", "TRAVEL OPERATIONAL")</f>
        <v xml:space="preserve">          6294 - TRAVEL OPERATIONAL</v>
      </c>
      <c r="C72" s="11"/>
      <c r="D72" s="7"/>
      <c r="E72" s="2"/>
      <c r="F72" s="6">
        <f t="shared" si="44"/>
        <v>0</v>
      </c>
      <c r="G72" s="2"/>
      <c r="H72" s="7"/>
      <c r="I72" s="2"/>
      <c r="J72" s="6">
        <f t="shared" si="45"/>
        <v>0</v>
      </c>
      <c r="K72" s="2"/>
      <c r="L72" s="7">
        <f t="shared" si="46"/>
        <v>0</v>
      </c>
      <c r="M72" s="2"/>
      <c r="N72" s="6">
        <f t="shared" si="47"/>
        <v>0</v>
      </c>
      <c r="O72" s="11"/>
      <c r="P72" s="7"/>
      <c r="Q72" s="2"/>
      <c r="R72" s="6">
        <f t="shared" si="48"/>
        <v>0</v>
      </c>
      <c r="S72" s="2"/>
      <c r="T72" s="7">
        <v>1258.9000000000001</v>
      </c>
      <c r="U72" s="2"/>
      <c r="V72" s="6">
        <f t="shared" si="49"/>
        <v>3.9269632866832931E-2</v>
      </c>
      <c r="W72" s="2"/>
      <c r="X72" s="7">
        <f t="shared" si="50"/>
        <v>-1258.9000000000001</v>
      </c>
      <c r="Y72" s="2"/>
      <c r="Z72" s="6">
        <f t="shared" si="51"/>
        <v>-1</v>
      </c>
    </row>
    <row r="73" spans="1:26" s="62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25">
      <c r="A74" s="10"/>
      <c r="B74" s="25" t="s">
        <v>0</v>
      </c>
      <c r="C74" s="10"/>
      <c r="D74" s="4">
        <f>SUM(OSRRefD25x_0)</f>
        <v>0</v>
      </c>
      <c r="E74" s="4"/>
      <c r="F74" s="12">
        <f t="shared" ref="F74:F75" si="52">IF(D$12=0,0,D74/D$12)</f>
        <v>0</v>
      </c>
      <c r="G74" s="4"/>
      <c r="H74" s="4">
        <f>SUM(OSRRefH25x_0)</f>
        <v>0</v>
      </c>
      <c r="I74" s="4"/>
      <c r="J74" s="12">
        <f t="shared" ref="J74:J75" si="53">IF(H$12=0,0,H74/H$12)</f>
        <v>0</v>
      </c>
      <c r="K74" s="4"/>
      <c r="L74" s="4">
        <f t="shared" ref="L74:L75" si="54">+D74-H74</f>
        <v>0</v>
      </c>
      <c r="M74" s="4"/>
      <c r="N74" s="12">
        <f t="shared" ref="N74:N75" si="55">IF(H74=0,0,L74/H74)</f>
        <v>0</v>
      </c>
      <c r="O74" s="10"/>
      <c r="P74" s="4">
        <f>SUM(OSRRefP25x_0)</f>
        <v>29281.48</v>
      </c>
      <c r="Q74" s="4"/>
      <c r="R74" s="12">
        <f t="shared" ref="R74:R75" si="56">IF(P$12=0,0,P74/P$12)</f>
        <v>0.4921116539527442</v>
      </c>
      <c r="S74" s="4"/>
      <c r="T74" s="4">
        <f>SUM(OSRRefT25x_0)</f>
        <v>0</v>
      </c>
      <c r="U74" s="4"/>
      <c r="V74" s="12">
        <f t="shared" ref="V74:V75" si="57">IF(T$12=0,0,T74/T$12)</f>
        <v>0</v>
      </c>
      <c r="W74" s="4"/>
      <c r="X74" s="4">
        <f t="shared" ref="X74:X75" si="58">+P74-T74</f>
        <v>29281.48</v>
      </c>
      <c r="Y74" s="4"/>
      <c r="Z74" s="12">
        <f t="shared" ref="Z74:Z75" si="59">IF(T74=0,0,X74/T74)</f>
        <v>0</v>
      </c>
    </row>
    <row r="75" spans="1:26" s="24" customFormat="1" hidden="1" outlineLevel="1" x14ac:dyDescent="0.25">
      <c r="A75" s="50"/>
      <c r="B75" s="11" t="str">
        <f>CONCATENATE("          ", "9150", " - ", "MISC. INCOME")</f>
        <v xml:space="preserve">          9150 - MISC. INCOME</v>
      </c>
      <c r="C75" s="11"/>
      <c r="D75" s="2">
        <f>0</f>
        <v>0</v>
      </c>
      <c r="E75" s="2"/>
      <c r="F75" s="21">
        <f t="shared" si="52"/>
        <v>0</v>
      </c>
      <c r="G75" s="2"/>
      <c r="H75" s="2">
        <f>0</f>
        <v>0</v>
      </c>
      <c r="I75" s="2"/>
      <c r="J75" s="21">
        <f t="shared" si="53"/>
        <v>0</v>
      </c>
      <c r="K75" s="2"/>
      <c r="L75" s="2">
        <f t="shared" si="54"/>
        <v>0</v>
      </c>
      <c r="M75" s="2"/>
      <c r="N75" s="21">
        <f t="shared" si="55"/>
        <v>0</v>
      </c>
      <c r="O75" s="11"/>
      <c r="P75" s="2">
        <f>--29281.48</f>
        <v>29281.48</v>
      </c>
      <c r="Q75" s="2"/>
      <c r="R75" s="21">
        <f t="shared" si="56"/>
        <v>0.4921116539527442</v>
      </c>
      <c r="S75" s="2"/>
      <c r="T75" s="2">
        <f>0</f>
        <v>0</v>
      </c>
      <c r="U75" s="2"/>
      <c r="V75" s="21">
        <f t="shared" si="57"/>
        <v>0</v>
      </c>
      <c r="W75" s="2"/>
      <c r="X75" s="2">
        <f t="shared" si="58"/>
        <v>29281.48</v>
      </c>
      <c r="Y75" s="2"/>
      <c r="Z75" s="21">
        <f t="shared" si="59"/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6" t="s">
        <v>3</v>
      </c>
      <c r="C77" s="26"/>
      <c r="D77" s="20">
        <f>+D21-D23+D74</f>
        <v>899.02000000000407</v>
      </c>
      <c r="E77" s="13"/>
      <c r="F77" s="19">
        <f>IF(D$12=0,0,D77/D$12)</f>
        <v>2.572790611555047E-2</v>
      </c>
      <c r="G77" s="13"/>
      <c r="H77" s="20">
        <f>+H21-H23+H74</f>
        <v>-9140.61</v>
      </c>
      <c r="I77" s="13"/>
      <c r="J77" s="19">
        <f>IF(H$12=0,0,H77/H$12)</f>
        <v>-0.59076605092787382</v>
      </c>
      <c r="K77" s="15"/>
      <c r="L77" s="20">
        <f>+D77-H77</f>
        <v>10039.630000000005</v>
      </c>
      <c r="M77" s="15"/>
      <c r="N77" s="19">
        <f>IF(H77=0,0,L77/H77)</f>
        <v>-1.098354486188559</v>
      </c>
      <c r="O77" s="25"/>
      <c r="P77" s="20">
        <f>+P21-P23+P74</f>
        <v>22866.2</v>
      </c>
      <c r="Q77" s="13"/>
      <c r="R77" s="19">
        <f>IF(P$12=0,0,P77/P$12)</f>
        <v>0.38429490249858411</v>
      </c>
      <c r="S77" s="13"/>
      <c r="T77" s="20">
        <f>+T21-T23+T74</f>
        <v>-14179.870000000003</v>
      </c>
      <c r="U77" s="13"/>
      <c r="V77" s="19">
        <f>IF(T$12=0,0,T77/T$12)</f>
        <v>-0.44232130351848309</v>
      </c>
      <c r="W77" s="15"/>
      <c r="X77" s="20">
        <f>+P77-T77</f>
        <v>37046.070000000007</v>
      </c>
      <c r="Y77" s="15"/>
      <c r="Z77" s="19">
        <f>IF(T77=0,0,X77/T77)</f>
        <v>-2.6125817796637065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2312.38</v>
      </c>
      <c r="E79" s="4"/>
      <c r="F79" s="12">
        <f>IF(D$12=0,0,D79/D$12)</f>
        <v>6.6175052327508088E-2</v>
      </c>
      <c r="G79" s="4"/>
      <c r="H79" s="4">
        <v>-132.03</v>
      </c>
      <c r="I79" s="4"/>
      <c r="J79" s="12">
        <f>IF(H$12=0,0,H79/H$12)</f>
        <v>-8.5332206170055588E-3</v>
      </c>
      <c r="K79" s="4"/>
      <c r="L79" s="4">
        <f>+D79-H79</f>
        <v>2444.4100000000003</v>
      </c>
      <c r="M79" s="4"/>
      <c r="N79" s="12">
        <f>IF(H79=0,0,L79/H79)</f>
        <v>-18.514049837158225</v>
      </c>
      <c r="O79" s="10"/>
      <c r="P79" s="4">
        <v>7418.78</v>
      </c>
      <c r="Q79" s="4"/>
      <c r="R79" s="12">
        <f>IF(P$12=0,0,P79/P$12)</f>
        <v>0.12468181581366583</v>
      </c>
      <c r="S79" s="4"/>
      <c r="T79" s="4">
        <v>3272.96</v>
      </c>
      <c r="U79" s="4"/>
      <c r="V79" s="12">
        <f>IF(T$12=0,0,T79/T$12)</f>
        <v>0.10209543060436056</v>
      </c>
      <c r="W79" s="4"/>
      <c r="X79" s="4">
        <f>+P79-T79</f>
        <v>4145.82</v>
      </c>
      <c r="Y79" s="4"/>
      <c r="Z79" s="12">
        <f>IF(T79=0,0,X79/T79)</f>
        <v>1.2666882577238952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4</v>
      </c>
      <c r="C81" s="26"/>
      <c r="D81" s="31">
        <f>+D77-D79</f>
        <v>-1413.359999999996</v>
      </c>
      <c r="E81" s="13"/>
      <c r="F81" s="36">
        <f>IF(D$12=0,0,D81/D$12)</f>
        <v>-4.0447146211957628E-2</v>
      </c>
      <c r="G81" s="13"/>
      <c r="H81" s="31">
        <f>+H77-H79</f>
        <v>-9008.58</v>
      </c>
      <c r="I81" s="13"/>
      <c r="J81" s="36">
        <f>IF(H$12=0,0,H81/H$12)</f>
        <v>-0.58223283031086825</v>
      </c>
      <c r="K81" s="15"/>
      <c r="L81" s="31">
        <f>D81-H81</f>
        <v>7595.2200000000039</v>
      </c>
      <c r="M81" s="15"/>
      <c r="N81" s="36">
        <f>IF(H81=0,0,L81/H81)</f>
        <v>-0.84310956887767041</v>
      </c>
      <c r="O81" s="25"/>
      <c r="P81" s="31">
        <f>+P77-P79</f>
        <v>15447.420000000002</v>
      </c>
      <c r="Q81" s="13"/>
      <c r="R81" s="36">
        <f>IF(P$12=0,0,P81/P$12)</f>
        <v>0.25961308668491828</v>
      </c>
      <c r="S81" s="13"/>
      <c r="T81" s="31">
        <f>+T77-T79</f>
        <v>-17452.830000000002</v>
      </c>
      <c r="U81" s="13"/>
      <c r="V81" s="36">
        <f>IF(T$12=0,0,T81/T$12)</f>
        <v>-0.54441673412284364</v>
      </c>
      <c r="W81" s="15"/>
      <c r="X81" s="31">
        <f>P81-T81</f>
        <v>32900.25</v>
      </c>
      <c r="Y81" s="15"/>
      <c r="Z81" s="36">
        <f>IF(T81=0,0,X81/T81)</f>
        <v>-1.8850954257848151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5</v>
      </c>
      <c r="C84" s="26"/>
      <c r="D84" s="32">
        <f>SUM(D81:D83)</f>
        <v>-1413.359999999996</v>
      </c>
      <c r="E84" s="13"/>
      <c r="F84" s="30">
        <f>IF(D$12=0,0,D84/D$12)</f>
        <v>-4.0447146211957628E-2</v>
      </c>
      <c r="G84" s="13"/>
      <c r="H84" s="32">
        <f>SUM(H81:H83)</f>
        <v>-9008.58</v>
      </c>
      <c r="I84" s="13"/>
      <c r="J84" s="30">
        <f>IF(H$12=0,0,H84/H$12)</f>
        <v>-0.58223283031086825</v>
      </c>
      <c r="K84" s="15"/>
      <c r="L84" s="32">
        <f>+D84-H84</f>
        <v>7595.2200000000039</v>
      </c>
      <c r="M84" s="15"/>
      <c r="N84" s="30">
        <f>IF(H84=0,0,L84/H84)</f>
        <v>-0.84310956887767041</v>
      </c>
      <c r="O84" s="25"/>
      <c r="P84" s="32">
        <f>SUM(P81:P83)</f>
        <v>15447.420000000002</v>
      </c>
      <c r="Q84" s="13"/>
      <c r="R84" s="30">
        <f>IF(P$12=0,0,P84/P$12)</f>
        <v>0.25961308668491828</v>
      </c>
      <c r="S84" s="13"/>
      <c r="T84" s="32">
        <f>SUM(T81:T83)</f>
        <v>-17452.830000000002</v>
      </c>
      <c r="U84" s="13"/>
      <c r="V84" s="30">
        <f>IF(T$12=0,0,T84/T$12)</f>
        <v>-0.54441673412284364</v>
      </c>
      <c r="W84" s="15"/>
      <c r="X84" s="32">
        <f>+P84-T84</f>
        <v>32900.25</v>
      </c>
      <c r="Y84" s="15"/>
      <c r="Z84" s="30">
        <f>IF(T84=0,0,X84/T84)</f>
        <v>-1.8850954257848151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7">
        <v>43732.710172418978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60" t="s">
        <v>313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6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","455", " - ", "Vending")</f>
        <v>Department 455 - Vending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6002.81</v>
      </c>
      <c r="E18" s="22"/>
      <c r="F18" s="33">
        <f t="shared" ref="F18:F26" si="0">IF(D$12=0,0,D18/D$12)</f>
        <v>0</v>
      </c>
      <c r="G18" s="22"/>
      <c r="H18" s="22">
        <f>SUM(OSRRefH22x_0)</f>
        <v>6036.9</v>
      </c>
      <c r="I18" s="22"/>
      <c r="J18" s="33">
        <f t="shared" ref="J18:J26" si="1">IF(H$12=0,0,H18/H$12)</f>
        <v>0</v>
      </c>
      <c r="K18" s="4"/>
      <c r="L18" s="22">
        <f t="shared" ref="L18:L26" si="2">+D18-H18</f>
        <v>-34.089999999999236</v>
      </c>
      <c r="M18" s="4"/>
      <c r="N18" s="33">
        <f t="shared" ref="N18:N26" si="3">IF(H18=0,0,L18/H18)</f>
        <v>-5.6469379979789689E-3</v>
      </c>
      <c r="O18" s="10"/>
      <c r="P18" s="22">
        <f>SUM(OSRRefP22x_0)</f>
        <v>16117.699999999999</v>
      </c>
      <c r="Q18" s="22"/>
      <c r="R18" s="33">
        <f t="shared" ref="R18:R26" si="4">IF(P$12=0,0,P18/P$12)</f>
        <v>0</v>
      </c>
      <c r="S18" s="22"/>
      <c r="T18" s="22">
        <f>SUM(OSRRefT22x_0)</f>
        <v>14365.23</v>
      </c>
      <c r="U18" s="22"/>
      <c r="V18" s="33">
        <f t="shared" ref="V18:V26" si="5">IF(T$12=0,0,T18/T$12)</f>
        <v>0</v>
      </c>
      <c r="W18" s="4"/>
      <c r="X18" s="22">
        <f t="shared" ref="X18:X26" si="6">+P18-T18</f>
        <v>1752.4699999999993</v>
      </c>
      <c r="Y18" s="4"/>
      <c r="Z18" s="33">
        <f t="shared" ref="Z18:Z26" si="7">IF(T18=0,0,X18/T18)</f>
        <v>0.12199386992063471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2572.2600000000002</v>
      </c>
      <c r="E19" s="1"/>
      <c r="F19" s="5">
        <f t="shared" si="0"/>
        <v>0</v>
      </c>
      <c r="G19" s="1"/>
      <c r="H19" s="1">
        <f>SUM(OSRRefH22_0x_0)</f>
        <v>2484.21</v>
      </c>
      <c r="I19" s="1"/>
      <c r="J19" s="5">
        <f t="shared" si="1"/>
        <v>0</v>
      </c>
      <c r="K19" s="1"/>
      <c r="L19" s="1">
        <f t="shared" si="2"/>
        <v>88.050000000000182</v>
      </c>
      <c r="M19" s="1"/>
      <c r="N19" s="5">
        <f t="shared" si="3"/>
        <v>3.5443863441496568E-2</v>
      </c>
      <c r="O19" s="14"/>
      <c r="P19" s="1">
        <f>SUM(OSRRefP22_0x_0)</f>
        <v>6969.07</v>
      </c>
      <c r="Q19" s="1"/>
      <c r="R19" s="5">
        <f t="shared" si="4"/>
        <v>0</v>
      </c>
      <c r="S19" s="1"/>
      <c r="T19" s="1">
        <f>SUM(OSRRefT22_0x_0)</f>
        <v>6371.9</v>
      </c>
      <c r="U19" s="1"/>
      <c r="V19" s="5">
        <f t="shared" si="5"/>
        <v>0</v>
      </c>
      <c r="W19" s="1"/>
      <c r="X19" s="1">
        <f t="shared" si="6"/>
        <v>597.17000000000007</v>
      </c>
      <c r="Y19" s="1"/>
      <c r="Z19" s="5">
        <f t="shared" si="7"/>
        <v>9.3719298796277425E-2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349.92</v>
      </c>
      <c r="E20" s="2"/>
      <c r="F20" s="6">
        <f t="shared" si="0"/>
        <v>0</v>
      </c>
      <c r="G20" s="2"/>
      <c r="H20" s="7">
        <v>339.74</v>
      </c>
      <c r="I20" s="2"/>
      <c r="J20" s="6">
        <f t="shared" si="1"/>
        <v>0</v>
      </c>
      <c r="K20" s="2"/>
      <c r="L20" s="7">
        <f t="shared" si="2"/>
        <v>10.180000000000007</v>
      </c>
      <c r="M20" s="2"/>
      <c r="N20" s="6">
        <f t="shared" si="3"/>
        <v>2.996409018661331E-2</v>
      </c>
      <c r="O20" s="11"/>
      <c r="P20" s="7">
        <v>699.84</v>
      </c>
      <c r="Q20" s="2"/>
      <c r="R20" s="6">
        <f t="shared" si="4"/>
        <v>0</v>
      </c>
      <c r="S20" s="2"/>
      <c r="T20" s="7">
        <v>679.48</v>
      </c>
      <c r="U20" s="2"/>
      <c r="V20" s="6">
        <f t="shared" si="5"/>
        <v>0</v>
      </c>
      <c r="W20" s="2"/>
      <c r="X20" s="7">
        <f t="shared" si="6"/>
        <v>20.360000000000014</v>
      </c>
      <c r="Y20" s="2"/>
      <c r="Z20" s="6">
        <f t="shared" si="7"/>
        <v>2.996409018661331E-2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177.47</v>
      </c>
      <c r="E21" s="2"/>
      <c r="F21" s="6">
        <f t="shared" si="0"/>
        <v>0</v>
      </c>
      <c r="G21" s="2"/>
      <c r="H21" s="7">
        <v>155.43</v>
      </c>
      <c r="I21" s="2"/>
      <c r="J21" s="6">
        <f t="shared" si="1"/>
        <v>0</v>
      </c>
      <c r="K21" s="2"/>
      <c r="L21" s="7">
        <f t="shared" si="2"/>
        <v>22.039999999999992</v>
      </c>
      <c r="M21" s="2"/>
      <c r="N21" s="6">
        <f t="shared" si="3"/>
        <v>0.14180016727787423</v>
      </c>
      <c r="O21" s="11"/>
      <c r="P21" s="7">
        <v>354.94</v>
      </c>
      <c r="Q21" s="2"/>
      <c r="R21" s="6">
        <f t="shared" si="4"/>
        <v>0</v>
      </c>
      <c r="S21" s="2"/>
      <c r="T21" s="7">
        <v>386.31</v>
      </c>
      <c r="U21" s="2"/>
      <c r="V21" s="6">
        <f t="shared" si="5"/>
        <v>0</v>
      </c>
      <c r="W21" s="2"/>
      <c r="X21" s="7">
        <f t="shared" si="6"/>
        <v>-31.370000000000005</v>
      </c>
      <c r="Y21" s="2"/>
      <c r="Z21" s="6">
        <f t="shared" si="7"/>
        <v>-8.1204214232093411E-2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931.95</v>
      </c>
      <c r="E22" s="2"/>
      <c r="F22" s="6">
        <f t="shared" si="0"/>
        <v>0</v>
      </c>
      <c r="G22" s="2"/>
      <c r="H22" s="7">
        <v>944.6</v>
      </c>
      <c r="I22" s="2"/>
      <c r="J22" s="6">
        <f t="shared" si="1"/>
        <v>0</v>
      </c>
      <c r="K22" s="2"/>
      <c r="L22" s="7">
        <f t="shared" si="2"/>
        <v>-12.649999999999977</v>
      </c>
      <c r="M22" s="2"/>
      <c r="N22" s="6">
        <f t="shared" si="3"/>
        <v>-1.3391911920389559E-2</v>
      </c>
      <c r="O22" s="11"/>
      <c r="P22" s="7">
        <v>1863.9</v>
      </c>
      <c r="Q22" s="2"/>
      <c r="R22" s="6">
        <f t="shared" si="4"/>
        <v>0</v>
      </c>
      <c r="S22" s="2"/>
      <c r="T22" s="7">
        <v>1282.71</v>
      </c>
      <c r="U22" s="2"/>
      <c r="V22" s="6">
        <f t="shared" si="5"/>
        <v>0</v>
      </c>
      <c r="W22" s="2"/>
      <c r="X22" s="7">
        <f t="shared" si="6"/>
        <v>581.19000000000005</v>
      </c>
      <c r="Y22" s="2"/>
      <c r="Z22" s="6">
        <f t="shared" si="7"/>
        <v>0.45309539958369394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11.89</v>
      </c>
      <c r="E23" s="2"/>
      <c r="F23" s="6">
        <f t="shared" si="0"/>
        <v>0</v>
      </c>
      <c r="G23" s="2"/>
      <c r="H23" s="7">
        <v>11.55</v>
      </c>
      <c r="I23" s="2"/>
      <c r="J23" s="6">
        <f t="shared" si="1"/>
        <v>0</v>
      </c>
      <c r="K23" s="2"/>
      <c r="L23" s="7">
        <f t="shared" si="2"/>
        <v>0.33999999999999986</v>
      </c>
      <c r="M23" s="2"/>
      <c r="N23" s="6">
        <f t="shared" si="3"/>
        <v>2.9437229437229422E-2</v>
      </c>
      <c r="O23" s="11"/>
      <c r="P23" s="7">
        <v>23.78</v>
      </c>
      <c r="Q23" s="2"/>
      <c r="R23" s="6">
        <f t="shared" si="4"/>
        <v>0</v>
      </c>
      <c r="S23" s="2"/>
      <c r="T23" s="7">
        <v>28.7</v>
      </c>
      <c r="U23" s="2"/>
      <c r="V23" s="6">
        <f t="shared" si="5"/>
        <v>0</v>
      </c>
      <c r="W23" s="2"/>
      <c r="X23" s="7">
        <f t="shared" si="6"/>
        <v>-4.9199999999999982</v>
      </c>
      <c r="Y23" s="2"/>
      <c r="Z23" s="6">
        <f t="shared" si="7"/>
        <v>-0.17142857142857137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467.52</v>
      </c>
      <c r="E24" s="2"/>
      <c r="F24" s="6">
        <f t="shared" si="0"/>
        <v>0</v>
      </c>
      <c r="G24" s="2"/>
      <c r="H24" s="7">
        <v>417.84</v>
      </c>
      <c r="I24" s="2"/>
      <c r="J24" s="6">
        <f t="shared" si="1"/>
        <v>0</v>
      </c>
      <c r="K24" s="2"/>
      <c r="L24" s="7">
        <f t="shared" si="2"/>
        <v>49.680000000000007</v>
      </c>
      <c r="M24" s="2"/>
      <c r="N24" s="6">
        <f t="shared" si="3"/>
        <v>0.11889718552556004</v>
      </c>
      <c r="O24" s="11"/>
      <c r="P24" s="7">
        <v>935.04</v>
      </c>
      <c r="Q24" s="2"/>
      <c r="R24" s="6">
        <f t="shared" si="4"/>
        <v>0</v>
      </c>
      <c r="S24" s="2"/>
      <c r="T24" s="7">
        <v>1038.52</v>
      </c>
      <c r="U24" s="2"/>
      <c r="V24" s="6">
        <f t="shared" si="5"/>
        <v>0</v>
      </c>
      <c r="W24" s="2"/>
      <c r="X24" s="7">
        <f t="shared" si="6"/>
        <v>-103.48000000000002</v>
      </c>
      <c r="Y24" s="2"/>
      <c r="Z24" s="6">
        <f t="shared" si="7"/>
        <v>-9.9641797943226917E-2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422.53</v>
      </c>
      <c r="E25" s="2"/>
      <c r="F25" s="6">
        <f t="shared" si="0"/>
        <v>0</v>
      </c>
      <c r="G25" s="2"/>
      <c r="H25" s="7">
        <v>410.22</v>
      </c>
      <c r="I25" s="2"/>
      <c r="J25" s="6">
        <f t="shared" si="1"/>
        <v>0</v>
      </c>
      <c r="K25" s="2"/>
      <c r="L25" s="7">
        <f t="shared" si="2"/>
        <v>12.309999999999945</v>
      </c>
      <c r="M25" s="2"/>
      <c r="N25" s="6">
        <f t="shared" si="3"/>
        <v>3.0008288235580771E-2</v>
      </c>
      <c r="O25" s="11"/>
      <c r="P25" s="7">
        <v>1178.25</v>
      </c>
      <c r="Q25" s="2"/>
      <c r="R25" s="6">
        <f t="shared" si="4"/>
        <v>0</v>
      </c>
      <c r="S25" s="2"/>
      <c r="T25" s="7">
        <v>1176.1500000000001</v>
      </c>
      <c r="U25" s="2"/>
      <c r="V25" s="6">
        <f t="shared" si="5"/>
        <v>0</v>
      </c>
      <c r="W25" s="2"/>
      <c r="X25" s="7">
        <f t="shared" si="6"/>
        <v>2.0999999999999091</v>
      </c>
      <c r="Y25" s="2"/>
      <c r="Z25" s="6">
        <f t="shared" si="7"/>
        <v>1.7854865450834577E-3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210.98</v>
      </c>
      <c r="E26" s="2"/>
      <c r="F26" s="6">
        <f t="shared" si="0"/>
        <v>0</v>
      </c>
      <c r="G26" s="2"/>
      <c r="H26" s="7">
        <v>204.83</v>
      </c>
      <c r="I26" s="2"/>
      <c r="J26" s="6">
        <f t="shared" si="1"/>
        <v>0</v>
      </c>
      <c r="K26" s="2"/>
      <c r="L26" s="7">
        <f t="shared" si="2"/>
        <v>6.1499999999999773</v>
      </c>
      <c r="M26" s="2"/>
      <c r="N26" s="6">
        <f t="shared" si="3"/>
        <v>3.0024898696479896E-2</v>
      </c>
      <c r="O26" s="11"/>
      <c r="P26" s="7">
        <v>1913.32</v>
      </c>
      <c r="Q26" s="2"/>
      <c r="R26" s="6">
        <f t="shared" si="4"/>
        <v>0</v>
      </c>
      <c r="S26" s="2"/>
      <c r="T26" s="7">
        <v>1780.03</v>
      </c>
      <c r="U26" s="2"/>
      <c r="V26" s="6">
        <f t="shared" si="5"/>
        <v>0</v>
      </c>
      <c r="W26" s="2"/>
      <c r="X26" s="7">
        <f t="shared" si="6"/>
        <v>133.28999999999996</v>
      </c>
      <c r="Y26" s="2"/>
      <c r="Z26" s="6">
        <f t="shared" si="7"/>
        <v>7.488076043662184E-2</v>
      </c>
    </row>
    <row r="27" spans="1:26" s="27" customFormat="1" outlineLevel="1" collapsed="1" x14ac:dyDescent="0.25">
      <c r="A27" s="28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3430.55</v>
      </c>
      <c r="E27" s="1"/>
      <c r="F27" s="5">
        <f t="shared" ref="F27:F29" si="8">IF(D$12=0,0,D27/D$12)</f>
        <v>0</v>
      </c>
      <c r="G27" s="1"/>
      <c r="H27" s="1">
        <f>SUM(OSRRefH22_1x_0)</f>
        <v>3552.69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-122.13999999999987</v>
      </c>
      <c r="M27" s="1"/>
      <c r="N27" s="5">
        <f t="shared" ref="N27:N29" si="11">IF(H27=0,0,L27/H27)</f>
        <v>-3.4379582795008815E-2</v>
      </c>
      <c r="O27" s="14"/>
      <c r="P27" s="1">
        <f>SUM(OSRRefP22_1x_0)</f>
        <v>9148.6299999999992</v>
      </c>
      <c r="Q27" s="1"/>
      <c r="R27" s="5">
        <f t="shared" ref="R27:R29" si="12">IF(P$12=0,0,P27/P$12)</f>
        <v>0</v>
      </c>
      <c r="S27" s="1"/>
      <c r="T27" s="1">
        <f>SUM(OSRRefT22_1x_0)</f>
        <v>7993.33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1155.2999999999993</v>
      </c>
      <c r="Y27" s="1"/>
      <c r="Z27" s="5">
        <f t="shared" ref="Z27:Z29" si="15">IF(T27=0,0,X27/T27)</f>
        <v>0.1445330043924121</v>
      </c>
    </row>
    <row r="28" spans="1:26" s="24" customFormat="1" hidden="1" outlineLevel="2" x14ac:dyDescent="0.25">
      <c r="A28" s="29"/>
      <c r="B28" s="11" t="str">
        <f>CONCATENATE("          ", "6001", " - ", "ADMINISTRATIVE SALARIES")</f>
        <v xml:space="preserve">          6001 - ADMINISTRATIVE SALARIES</v>
      </c>
      <c r="C28" s="11"/>
      <c r="D28" s="7">
        <v>4574.55</v>
      </c>
      <c r="E28" s="2"/>
      <c r="F28" s="6">
        <f t="shared" si="8"/>
        <v>0</v>
      </c>
      <c r="G28" s="2"/>
      <c r="H28" s="7">
        <v>3552.69</v>
      </c>
      <c r="I28" s="2"/>
      <c r="J28" s="6">
        <f t="shared" si="9"/>
        <v>0</v>
      </c>
      <c r="K28" s="2"/>
      <c r="L28" s="7">
        <f t="shared" si="10"/>
        <v>1021.8600000000001</v>
      </c>
      <c r="M28" s="2"/>
      <c r="N28" s="6">
        <f t="shared" si="11"/>
        <v>0.28762993675215121</v>
      </c>
      <c r="O28" s="11"/>
      <c r="P28" s="7">
        <v>9148.6299999999992</v>
      </c>
      <c r="Q28" s="2"/>
      <c r="R28" s="6">
        <f t="shared" si="12"/>
        <v>0</v>
      </c>
      <c r="S28" s="2"/>
      <c r="T28" s="7">
        <v>7993.33</v>
      </c>
      <c r="U28" s="2"/>
      <c r="V28" s="6">
        <f t="shared" si="13"/>
        <v>0</v>
      </c>
      <c r="W28" s="2"/>
      <c r="X28" s="7">
        <f t="shared" si="14"/>
        <v>1155.2999999999993</v>
      </c>
      <c r="Y28" s="2"/>
      <c r="Z28" s="6">
        <f t="shared" si="15"/>
        <v>0.1445330043924121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7">
        <v>-1144</v>
      </c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-1144</v>
      </c>
      <c r="M29" s="2"/>
      <c r="N29" s="6">
        <f t="shared" si="11"/>
        <v>0</v>
      </c>
      <c r="O29" s="11"/>
      <c r="P29" s="7">
        <v>0</v>
      </c>
      <c r="Q29" s="2"/>
      <c r="R29" s="6">
        <f t="shared" si="12"/>
        <v>0</v>
      </c>
      <c r="S29" s="2"/>
      <c r="T29" s="7"/>
      <c r="U29" s="2"/>
      <c r="V29" s="6">
        <f t="shared" si="13"/>
        <v>0</v>
      </c>
      <c r="W29" s="2"/>
      <c r="X29" s="7">
        <f t="shared" si="14"/>
        <v>0</v>
      </c>
      <c r="Y29" s="2"/>
      <c r="Z29" s="6">
        <f t="shared" si="15"/>
        <v>0</v>
      </c>
    </row>
    <row r="30" spans="1:26" s="62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collapsed="1" x14ac:dyDescent="0.25">
      <c r="A31" s="10"/>
      <c r="B31" s="25" t="s">
        <v>0</v>
      </c>
      <c r="C31" s="10"/>
      <c r="D31" s="4">
        <f>SUM(OSRRefD25x_0)</f>
        <v>7933.5599999999995</v>
      </c>
      <c r="E31" s="4"/>
      <c r="F31" s="12">
        <f t="shared" ref="F31:F33" si="16">IF(D$12=0,0,D31/D$12)</f>
        <v>0</v>
      </c>
      <c r="G31" s="4"/>
      <c r="H31" s="4">
        <f>SUM(OSRRefH25x_0)</f>
        <v>6763.04</v>
      </c>
      <c r="I31" s="4"/>
      <c r="J31" s="12">
        <f t="shared" ref="J31:J33" si="17">IF(H$12=0,0,H31/H$12)</f>
        <v>0</v>
      </c>
      <c r="K31" s="4"/>
      <c r="L31" s="4">
        <f t="shared" ref="L31:L33" si="18">+D31-H31</f>
        <v>1170.5199999999995</v>
      </c>
      <c r="M31" s="4"/>
      <c r="N31" s="12">
        <f t="shared" ref="N31:N33" si="19">IF(H31=0,0,L31/H31)</f>
        <v>0.17307601315384791</v>
      </c>
      <c r="O31" s="10"/>
      <c r="P31" s="4">
        <f>SUM(OSRRefP25x_0)</f>
        <v>16595.78</v>
      </c>
      <c r="Q31" s="4"/>
      <c r="R31" s="12">
        <f t="shared" ref="R31:R33" si="20">IF(P$12=0,0,P31/P$12)</f>
        <v>0</v>
      </c>
      <c r="S31" s="4"/>
      <c r="T31" s="4">
        <f>SUM(OSRRefT25x_0)</f>
        <v>18844.21</v>
      </c>
      <c r="U31" s="4"/>
      <c r="V31" s="12">
        <f t="shared" ref="V31:V33" si="21">IF(T$12=0,0,T31/T$12)</f>
        <v>0</v>
      </c>
      <c r="W31" s="4"/>
      <c r="X31" s="4">
        <f t="shared" ref="X31:X33" si="22">+P31-T31</f>
        <v>-2248.4300000000003</v>
      </c>
      <c r="Y31" s="4"/>
      <c r="Z31" s="12">
        <f t="shared" ref="Z31:Z33" si="23">IF(T31=0,0,X31/T31)</f>
        <v>-0.11931675565067469</v>
      </c>
    </row>
    <row r="32" spans="1:26" s="24" customFormat="1" hidden="1" outlineLevel="1" x14ac:dyDescent="0.25">
      <c r="A32" s="50"/>
      <c r="B32" s="11" t="str">
        <f>CONCATENATE("          ", "9160", " - ", "MISC. INCOME")</f>
        <v xml:space="preserve">          9160 - MISC. INCOME</v>
      </c>
      <c r="C32" s="11"/>
      <c r="D32" s="2">
        <f>--4981.17</f>
        <v>4981.17</v>
      </c>
      <c r="E32" s="2"/>
      <c r="F32" s="21">
        <f t="shared" si="16"/>
        <v>0</v>
      </c>
      <c r="G32" s="2"/>
      <c r="H32" s="2">
        <f>--4981.17</f>
        <v>4981.17</v>
      </c>
      <c r="I32" s="2"/>
      <c r="J32" s="21">
        <f t="shared" si="17"/>
        <v>0</v>
      </c>
      <c r="K32" s="2"/>
      <c r="L32" s="2">
        <f t="shared" si="18"/>
        <v>0</v>
      </c>
      <c r="M32" s="2"/>
      <c r="N32" s="21">
        <f t="shared" si="19"/>
        <v>0</v>
      </c>
      <c r="O32" s="11"/>
      <c r="P32" s="2">
        <f>--9962.34</f>
        <v>9962.34</v>
      </c>
      <c r="Q32" s="2"/>
      <c r="R32" s="21">
        <f t="shared" si="20"/>
        <v>0</v>
      </c>
      <c r="S32" s="2"/>
      <c r="T32" s="2">
        <f>--14943.51</f>
        <v>14943.51</v>
      </c>
      <c r="U32" s="2"/>
      <c r="V32" s="21">
        <f t="shared" si="21"/>
        <v>0</v>
      </c>
      <c r="W32" s="2"/>
      <c r="X32" s="2">
        <f t="shared" si="22"/>
        <v>-4981.17</v>
      </c>
      <c r="Y32" s="2"/>
      <c r="Z32" s="21">
        <f t="shared" si="23"/>
        <v>-0.33333333333333331</v>
      </c>
    </row>
    <row r="33" spans="1:26" s="24" customFormat="1" hidden="1" outlineLevel="1" x14ac:dyDescent="0.25">
      <c r="A33" s="50"/>
      <c r="B33" s="11" t="str">
        <f>CONCATENATE("          ", "9165", " - ", "OTHER INCOME")</f>
        <v xml:space="preserve">          9165 - OTHER INCOME</v>
      </c>
      <c r="C33" s="11"/>
      <c r="D33" s="2">
        <f>--2952.39</f>
        <v>2952.39</v>
      </c>
      <c r="E33" s="2"/>
      <c r="F33" s="21">
        <f t="shared" si="16"/>
        <v>0</v>
      </c>
      <c r="G33" s="2"/>
      <c r="H33" s="2">
        <f>--1781.87</f>
        <v>1781.87</v>
      </c>
      <c r="I33" s="2"/>
      <c r="J33" s="21">
        <f t="shared" si="17"/>
        <v>0</v>
      </c>
      <c r="K33" s="2"/>
      <c r="L33" s="2">
        <f t="shared" si="18"/>
        <v>1170.52</v>
      </c>
      <c r="M33" s="2"/>
      <c r="N33" s="21">
        <f t="shared" si="19"/>
        <v>0.65690538591479741</v>
      </c>
      <c r="O33" s="11"/>
      <c r="P33" s="2">
        <f>--6633.44</f>
        <v>6633.44</v>
      </c>
      <c r="Q33" s="2"/>
      <c r="R33" s="21">
        <f t="shared" si="20"/>
        <v>0</v>
      </c>
      <c r="S33" s="2"/>
      <c r="T33" s="2">
        <f>--3900.7</f>
        <v>3900.7</v>
      </c>
      <c r="U33" s="2"/>
      <c r="V33" s="21">
        <f t="shared" si="21"/>
        <v>0</v>
      </c>
      <c r="W33" s="2"/>
      <c r="X33" s="2">
        <f t="shared" si="22"/>
        <v>2732.74</v>
      </c>
      <c r="Y33" s="2"/>
      <c r="Z33" s="21">
        <f t="shared" si="23"/>
        <v>0.70057681954520978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6" t="s">
        <v>3</v>
      </c>
      <c r="C35" s="26"/>
      <c r="D35" s="20">
        <f>+D16-D18+D31</f>
        <v>1930.7499999999991</v>
      </c>
      <c r="E35" s="13"/>
      <c r="F35" s="19">
        <f>IF(D$12=0,0,D35/D$12)</f>
        <v>0</v>
      </c>
      <c r="G35" s="13"/>
      <c r="H35" s="20">
        <f>+H16-H18+H31</f>
        <v>726.14000000000033</v>
      </c>
      <c r="I35" s="13"/>
      <c r="J35" s="19">
        <f>IF(H$12=0,0,H35/H$12)</f>
        <v>0</v>
      </c>
      <c r="K35" s="15"/>
      <c r="L35" s="20">
        <f>+D35-H35</f>
        <v>1204.6099999999988</v>
      </c>
      <c r="M35" s="15"/>
      <c r="N35" s="19">
        <f>IF(H35=0,0,L35/H35)</f>
        <v>1.6589225218277444</v>
      </c>
      <c r="O35" s="25"/>
      <c r="P35" s="20">
        <f>+P16-P18+P31</f>
        <v>478.07999999999993</v>
      </c>
      <c r="Q35" s="13"/>
      <c r="R35" s="19">
        <f>IF(P$12=0,0,P35/P$12)</f>
        <v>0</v>
      </c>
      <c r="S35" s="13"/>
      <c r="T35" s="20">
        <f>+T16-T18+T31</f>
        <v>4478.9799999999996</v>
      </c>
      <c r="U35" s="13"/>
      <c r="V35" s="19">
        <f>IF(T$12=0,0,T35/T$12)</f>
        <v>0</v>
      </c>
      <c r="W35" s="15"/>
      <c r="X35" s="20">
        <f>+P35-T35</f>
        <v>-4000.8999999999996</v>
      </c>
      <c r="Y35" s="15"/>
      <c r="Z35" s="19">
        <f>IF(T35=0,0,X35/T35)</f>
        <v>-0.89326141219652688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51"/>
      <c r="B37" s="10" t="s">
        <v>13</v>
      </c>
      <c r="C37" s="10"/>
      <c r="D37" s="4"/>
      <c r="E37" s="4"/>
      <c r="F37" s="12">
        <f>IF(D$12=0,0,D37/D$12)</f>
        <v>0</v>
      </c>
      <c r="G37" s="4"/>
      <c r="H37" s="4"/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/>
      <c r="Q37" s="4"/>
      <c r="R37" s="12">
        <f>IF(P$12=0,0,P37/P$12)</f>
        <v>0</v>
      </c>
      <c r="S37" s="4"/>
      <c r="T37" s="4"/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6" t="s">
        <v>4</v>
      </c>
      <c r="C39" s="26"/>
      <c r="D39" s="31">
        <f>+D35-D37</f>
        <v>1930.7499999999991</v>
      </c>
      <c r="E39" s="13"/>
      <c r="F39" s="36">
        <f>IF(D$12=0,0,D39/D$12)</f>
        <v>0</v>
      </c>
      <c r="G39" s="13"/>
      <c r="H39" s="31">
        <f>+H35-H37</f>
        <v>726.14000000000033</v>
      </c>
      <c r="I39" s="13"/>
      <c r="J39" s="36">
        <f>IF(H$12=0,0,H39/H$12)</f>
        <v>0</v>
      </c>
      <c r="K39" s="15"/>
      <c r="L39" s="31">
        <f>D39-H39</f>
        <v>1204.6099999999988</v>
      </c>
      <c r="M39" s="15"/>
      <c r="N39" s="36">
        <f>IF(H39=0,0,L39/H39)</f>
        <v>1.6589225218277444</v>
      </c>
      <c r="O39" s="25"/>
      <c r="P39" s="31">
        <f>+P35-P37</f>
        <v>478.07999999999993</v>
      </c>
      <c r="Q39" s="13"/>
      <c r="R39" s="36">
        <f>IF(P$12=0,0,P39/P$12)</f>
        <v>0</v>
      </c>
      <c r="S39" s="13"/>
      <c r="T39" s="31">
        <f>+T35-T37</f>
        <v>4478.9799999999996</v>
      </c>
      <c r="U39" s="13"/>
      <c r="V39" s="36">
        <f>IF(T$12=0,0,T39/T$12)</f>
        <v>0</v>
      </c>
      <c r="W39" s="15"/>
      <c r="X39" s="31">
        <f>P39-T39</f>
        <v>-4000.8999999999996</v>
      </c>
      <c r="Y39" s="15"/>
      <c r="Z39" s="36">
        <f>IF(T39=0,0,X39/T39)</f>
        <v>-0.89326141219652688</v>
      </c>
    </row>
    <row r="40" spans="1:26" ht="15.75" thickTop="1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6" t="s">
        <v>5</v>
      </c>
      <c r="C42" s="26"/>
      <c r="D42" s="32">
        <f>SUM(D39:D41)</f>
        <v>1930.7499999999991</v>
      </c>
      <c r="E42" s="13"/>
      <c r="F42" s="30">
        <f>IF(D$12=0,0,D42/D$12)</f>
        <v>0</v>
      </c>
      <c r="G42" s="13"/>
      <c r="H42" s="32">
        <f>SUM(H39:H41)</f>
        <v>726.14000000000033</v>
      </c>
      <c r="I42" s="13"/>
      <c r="J42" s="30">
        <f>IF(H$12=0,0,H42/H$12)</f>
        <v>0</v>
      </c>
      <c r="K42" s="15"/>
      <c r="L42" s="32">
        <f>+D42-H42</f>
        <v>1204.6099999999988</v>
      </c>
      <c r="M42" s="15"/>
      <c r="N42" s="30">
        <f>IF(H42=0,0,L42/H42)</f>
        <v>1.6589225218277444</v>
      </c>
      <c r="O42" s="25"/>
      <c r="P42" s="32">
        <f>SUM(P39:P41)</f>
        <v>478.07999999999993</v>
      </c>
      <c r="Q42" s="13"/>
      <c r="R42" s="30">
        <f>IF(P$12=0,0,P42/P$12)</f>
        <v>0</v>
      </c>
      <c r="S42" s="13"/>
      <c r="T42" s="32">
        <f>SUM(T39:T41)</f>
        <v>4478.9799999999996</v>
      </c>
      <c r="U42" s="13"/>
      <c r="V42" s="30">
        <f>IF(T$12=0,0,T42/T$12)</f>
        <v>0</v>
      </c>
      <c r="W42" s="15"/>
      <c r="X42" s="32">
        <f>+P42-T42</f>
        <v>-4000.8999999999996</v>
      </c>
      <c r="Y42" s="15"/>
      <c r="Z42" s="30">
        <f>IF(T42=0,0,X42/T42)</f>
        <v>-0.89326141219652688</v>
      </c>
    </row>
    <row r="43" spans="1:26" ht="15.75" thickTop="1" x14ac:dyDescent="0.25">
      <c r="A43" s="9"/>
      <c r="C43" s="9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A44" s="9"/>
      <c r="B44" s="57">
        <v>43732.710286226851</v>
      </c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A45" s="9"/>
      <c r="B45" s="60" t="s">
        <v>313</v>
      </c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  <row r="46" spans="1:26" x14ac:dyDescent="0.25">
      <c r="A46" s="9"/>
      <c r="B46" s="56"/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25"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B98" sqref="B98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506601.3</v>
      </c>
      <c r="E12" s="4"/>
      <c r="F12" s="12"/>
      <c r="G12" s="4"/>
      <c r="H12" s="4">
        <f>SUM(OSRRefH13x_0)</f>
        <v>464876.23</v>
      </c>
      <c r="I12" s="4"/>
      <c r="J12" s="12"/>
      <c r="K12" s="4"/>
      <c r="L12" s="4">
        <f t="shared" ref="L12:L18" si="0">+D12-H12</f>
        <v>41725.070000000007</v>
      </c>
      <c r="M12" s="4"/>
      <c r="N12" s="12">
        <f t="shared" ref="N12:N18" si="1">IF(H12=0,0,L12/H12)</f>
        <v>8.9755223664587047E-2</v>
      </c>
      <c r="O12" s="10"/>
      <c r="P12" s="4">
        <f>SUM(OSRRefP13x_0)</f>
        <v>1016035.16</v>
      </c>
      <c r="Q12" s="4"/>
      <c r="R12" s="12"/>
      <c r="S12" s="4"/>
      <c r="T12" s="4">
        <f>SUM(OSRRefT13x_0)</f>
        <v>970699.42</v>
      </c>
      <c r="U12" s="4"/>
      <c r="V12" s="12"/>
      <c r="W12" s="4"/>
      <c r="X12" s="4">
        <f t="shared" ref="X12:X18" si="2">+P12-T12</f>
        <v>45335.739999999991</v>
      </c>
      <c r="Y12" s="4"/>
      <c r="Z12" s="12">
        <f t="shared" ref="Z12:Z18" si="3">IF(T12=0,0,X12/T12)</f>
        <v>4.6704200152916535E-2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2">
        <f>--288.29</f>
        <v>288.29000000000002</v>
      </c>
      <c r="E13" s="2"/>
      <c r="F13" s="21"/>
      <c r="G13" s="2"/>
      <c r="H13" s="2">
        <f>--570.64</f>
        <v>570.64</v>
      </c>
      <c r="I13" s="2"/>
      <c r="J13" s="21"/>
      <c r="K13" s="2"/>
      <c r="L13" s="2">
        <f t="shared" si="0"/>
        <v>-282.34999999999997</v>
      </c>
      <c r="M13" s="2"/>
      <c r="N13" s="21">
        <f t="shared" si="1"/>
        <v>-0.49479531753820266</v>
      </c>
      <c r="O13" s="11"/>
      <c r="P13" s="2">
        <f>--1432.39</f>
        <v>1432.39</v>
      </c>
      <c r="Q13" s="2"/>
      <c r="R13" s="21"/>
      <c r="S13" s="2"/>
      <c r="T13" s="2">
        <f>--3093.48</f>
        <v>3093.48</v>
      </c>
      <c r="U13" s="2"/>
      <c r="V13" s="21"/>
      <c r="W13" s="2"/>
      <c r="X13" s="2">
        <f t="shared" si="2"/>
        <v>-1661.09</v>
      </c>
      <c r="Y13" s="2"/>
      <c r="Z13" s="21">
        <f t="shared" si="3"/>
        <v>-0.5369648421842067</v>
      </c>
    </row>
    <row r="14" spans="1:26" s="24" customFormat="1" hidden="1" outlineLevel="1" x14ac:dyDescent="0.25">
      <c r="A14" s="50"/>
      <c r="B14" s="11" t="str">
        <f>CONCATENATE("          ", "4055", " - ", "TAXABLE SALES-FOOD")</f>
        <v xml:space="preserve">          4055 - TAXABLE SALES-FOOD</v>
      </c>
      <c r="C14" s="11"/>
      <c r="D14" s="2">
        <f>--45.65</f>
        <v>45.65</v>
      </c>
      <c r="E14" s="2"/>
      <c r="F14" s="21"/>
      <c r="G14" s="2"/>
      <c r="H14" s="2">
        <f>--34.72</f>
        <v>34.72</v>
      </c>
      <c r="I14" s="2"/>
      <c r="J14" s="21"/>
      <c r="K14" s="2"/>
      <c r="L14" s="2">
        <f t="shared" si="0"/>
        <v>10.93</v>
      </c>
      <c r="M14" s="2"/>
      <c r="N14" s="21">
        <f t="shared" si="1"/>
        <v>0.31480414746543778</v>
      </c>
      <c r="O14" s="11"/>
      <c r="P14" s="2">
        <f>--45.65</f>
        <v>45.65</v>
      </c>
      <c r="Q14" s="2"/>
      <c r="R14" s="21"/>
      <c r="S14" s="2"/>
      <c r="T14" s="2">
        <f>--34.72</f>
        <v>34.72</v>
      </c>
      <c r="U14" s="2"/>
      <c r="V14" s="21"/>
      <c r="W14" s="2"/>
      <c r="X14" s="2">
        <f t="shared" si="2"/>
        <v>10.93</v>
      </c>
      <c r="Y14" s="2"/>
      <c r="Z14" s="21">
        <f t="shared" si="3"/>
        <v>0.31480414746543778</v>
      </c>
    </row>
    <row r="15" spans="1:26" s="24" customFormat="1" hidden="1" outlineLevel="1" x14ac:dyDescent="0.25">
      <c r="A15" s="50"/>
      <c r="B15" s="11" t="str">
        <f>CONCATENATE("          ", "4151", " - ", "NON-TAXABLE SALES-FOOD")</f>
        <v xml:space="preserve">          4151 - NON-TAXABLE SALES-FOOD</v>
      </c>
      <c r="C15" s="11"/>
      <c r="D15" s="2">
        <f>--405256.16</f>
        <v>405256.16</v>
      </c>
      <c r="E15" s="2"/>
      <c r="F15" s="21"/>
      <c r="G15" s="2"/>
      <c r="H15" s="2">
        <f>--398643.07</f>
        <v>398643.07</v>
      </c>
      <c r="I15" s="2"/>
      <c r="J15" s="21"/>
      <c r="K15" s="2"/>
      <c r="L15" s="2">
        <f t="shared" si="0"/>
        <v>6613.0899999999674</v>
      </c>
      <c r="M15" s="2"/>
      <c r="N15" s="21">
        <f t="shared" si="1"/>
        <v>1.6589000280376045E-2</v>
      </c>
      <c r="O15" s="11"/>
      <c r="P15" s="2">
        <f>--894534.21</f>
        <v>894534.21</v>
      </c>
      <c r="Q15" s="2"/>
      <c r="R15" s="21"/>
      <c r="S15" s="2"/>
      <c r="T15" s="2">
        <f>--874516.68</f>
        <v>874516.68</v>
      </c>
      <c r="U15" s="2"/>
      <c r="V15" s="21"/>
      <c r="W15" s="2"/>
      <c r="X15" s="2">
        <f t="shared" si="2"/>
        <v>20017.529999999912</v>
      </c>
      <c r="Y15" s="2"/>
      <c r="Z15" s="21">
        <f t="shared" si="3"/>
        <v>2.2889820695015113E-2</v>
      </c>
    </row>
    <row r="16" spans="1:26" s="24" customFormat="1" hidden="1" outlineLevel="1" x14ac:dyDescent="0.25">
      <c r="A16" s="50"/>
      <c r="B16" s="11" t="str">
        <f>CONCATENATE("          ", "4153", " - ", "NON-TAXABLE SALES-FOOD")</f>
        <v xml:space="preserve">          4153 - NON-TAXABLE SALES-FOOD</v>
      </c>
      <c r="C16" s="11"/>
      <c r="D16" s="2">
        <f>--100740.21</f>
        <v>100740.21</v>
      </c>
      <c r="E16" s="2"/>
      <c r="F16" s="21"/>
      <c r="G16" s="2"/>
      <c r="H16" s="2">
        <f>--64210.24</f>
        <v>64210.239999999998</v>
      </c>
      <c r="I16" s="2"/>
      <c r="J16" s="21"/>
      <c r="K16" s="2"/>
      <c r="L16" s="2">
        <f t="shared" si="0"/>
        <v>36529.970000000008</v>
      </c>
      <c r="M16" s="2"/>
      <c r="N16" s="21">
        <f t="shared" si="1"/>
        <v>0.56891190563997285</v>
      </c>
      <c r="O16" s="11"/>
      <c r="P16" s="2">
        <f>--119751.92</f>
        <v>119751.92</v>
      </c>
      <c r="Q16" s="2"/>
      <c r="R16" s="21"/>
      <c r="S16" s="2"/>
      <c r="T16" s="2">
        <f>--91636.98</f>
        <v>91636.98</v>
      </c>
      <c r="U16" s="2"/>
      <c r="V16" s="21"/>
      <c r="W16" s="2"/>
      <c r="X16" s="2">
        <f t="shared" si="2"/>
        <v>28114.940000000002</v>
      </c>
      <c r="Y16" s="2"/>
      <c r="Z16" s="21">
        <f t="shared" si="3"/>
        <v>0.30680779746342585</v>
      </c>
    </row>
    <row r="17" spans="1:26" s="24" customFormat="1" hidden="1" outlineLevel="1" x14ac:dyDescent="0.25">
      <c r="A17" s="50"/>
      <c r="B17" s="11" t="str">
        <f>CONCATENATE("          ", "4155", " - ", "NON-TAXABLE SALES-FOOD")</f>
        <v xml:space="preserve">          4155 - NON-TAXABLE SALES-FOOD</v>
      </c>
      <c r="C17" s="11"/>
      <c r="D17" s="2">
        <f>--270.99</f>
        <v>270.99</v>
      </c>
      <c r="E17" s="2"/>
      <c r="F17" s="21"/>
      <c r="G17" s="2"/>
      <c r="H17" s="2">
        <f>--362.66</f>
        <v>362.66</v>
      </c>
      <c r="I17" s="2"/>
      <c r="J17" s="21"/>
      <c r="K17" s="2"/>
      <c r="L17" s="2">
        <f t="shared" si="0"/>
        <v>-91.670000000000016</v>
      </c>
      <c r="M17" s="2"/>
      <c r="N17" s="21">
        <f t="shared" si="1"/>
        <v>-0.25277119064688691</v>
      </c>
      <c r="O17" s="11"/>
      <c r="P17" s="2">
        <f>--270.99</f>
        <v>270.99</v>
      </c>
      <c r="Q17" s="2"/>
      <c r="R17" s="21"/>
      <c r="S17" s="2"/>
      <c r="T17" s="2">
        <f>--362.66</f>
        <v>362.66</v>
      </c>
      <c r="U17" s="2"/>
      <c r="V17" s="21"/>
      <c r="W17" s="2"/>
      <c r="X17" s="2">
        <f t="shared" si="2"/>
        <v>-91.670000000000016</v>
      </c>
      <c r="Y17" s="2"/>
      <c r="Z17" s="21">
        <f t="shared" si="3"/>
        <v>-0.25277119064688691</v>
      </c>
    </row>
    <row r="18" spans="1:26" s="24" customFormat="1" hidden="1" outlineLevel="1" x14ac:dyDescent="0.25">
      <c r="A18" s="50"/>
      <c r="B18" s="11" t="str">
        <f>CONCATENATE("          ", "4159", " - ", "NON-TAXABLE SALES-FOOD")</f>
        <v xml:space="preserve">          4159 - NON-TAXABLE SALES-FOOD</v>
      </c>
      <c r="C18" s="11"/>
      <c r="D18" s="2">
        <f>0</f>
        <v>0</v>
      </c>
      <c r="E18" s="2"/>
      <c r="F18" s="21"/>
      <c r="G18" s="2"/>
      <c r="H18" s="2">
        <f>--1054.9</f>
        <v>1054.9000000000001</v>
      </c>
      <c r="I18" s="2"/>
      <c r="J18" s="21"/>
      <c r="K18" s="2"/>
      <c r="L18" s="2">
        <f t="shared" si="0"/>
        <v>-1054.9000000000001</v>
      </c>
      <c r="M18" s="2"/>
      <c r="N18" s="21">
        <f t="shared" si="1"/>
        <v>-1</v>
      </c>
      <c r="O18" s="11"/>
      <c r="P18" s="2">
        <f>0</f>
        <v>0</v>
      </c>
      <c r="Q18" s="2"/>
      <c r="R18" s="21"/>
      <c r="S18" s="2"/>
      <c r="T18" s="2">
        <f>--1054.9</f>
        <v>1054.9000000000001</v>
      </c>
      <c r="U18" s="2"/>
      <c r="V18" s="21"/>
      <c r="W18" s="2"/>
      <c r="X18" s="2">
        <f t="shared" si="2"/>
        <v>-1054.9000000000001</v>
      </c>
      <c r="Y18" s="2"/>
      <c r="Z18" s="21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5" t="s">
        <v>8</v>
      </c>
      <c r="C20" s="10"/>
      <c r="D20" s="4">
        <f>SUM(OSRRefD16x_0)</f>
        <v>142443.63</v>
      </c>
      <c r="E20" s="4"/>
      <c r="F20" s="12">
        <f t="shared" ref="F20:F22" si="4">IF(D$12=0,0,D20/D$12)</f>
        <v>0.28117501869813599</v>
      </c>
      <c r="G20" s="4"/>
      <c r="H20" s="4">
        <f>SUM(OSRRefH16x_0)</f>
        <v>174328.27000000002</v>
      </c>
      <c r="I20" s="4"/>
      <c r="J20" s="12">
        <f t="shared" ref="J20:J22" si="5">IF(H$12=0,0,H20/H$12)</f>
        <v>0.37499931971139938</v>
      </c>
      <c r="K20" s="4"/>
      <c r="L20" s="4">
        <f t="shared" ref="L20:L22" si="6">+D20-H20</f>
        <v>-31884.640000000014</v>
      </c>
      <c r="M20" s="4"/>
      <c r="N20" s="12">
        <f t="shared" ref="N20:N22" si="7">IF(H20=0,0,L20/H20)</f>
        <v>-0.18289999665573467</v>
      </c>
      <c r="O20" s="10"/>
      <c r="P20" s="4">
        <f>SUM(OSRRefP16x_0)</f>
        <v>300851.09999999998</v>
      </c>
      <c r="Q20" s="4"/>
      <c r="R20" s="12">
        <f t="shared" ref="R20:R22" si="8">IF(P$12=0,0,P20/P$12)</f>
        <v>0.29610304037116192</v>
      </c>
      <c r="S20" s="4"/>
      <c r="T20" s="4">
        <f>SUM(OSRRefT16x_0)</f>
        <v>315806.52</v>
      </c>
      <c r="U20" s="4"/>
      <c r="V20" s="12">
        <f t="shared" ref="V20:V22" si="9">IF(T$12=0,0,T20/T$12)</f>
        <v>0.32533914566467959</v>
      </c>
      <c r="W20" s="4"/>
      <c r="X20" s="4">
        <f t="shared" ref="X20:X22" si="10">+P20-T20</f>
        <v>-14955.420000000042</v>
      </c>
      <c r="Y20" s="4"/>
      <c r="Z20" s="12">
        <f t="shared" ref="Z20:Z22" si="11">IF(T20=0,0,X20/T20)</f>
        <v>-4.7356273708345352E-2</v>
      </c>
    </row>
    <row r="21" spans="1:26" s="24" customFormat="1" hidden="1" outlineLevel="1" x14ac:dyDescent="0.25">
      <c r="A21" s="50"/>
      <c r="B21" s="11" t="str">
        <f>CONCATENATE("          ", "5053", " - ", "PURCHASES @ COST-FOOD")</f>
        <v xml:space="preserve">          5053 - PURCHASES @ COST-FOOD</v>
      </c>
      <c r="C21" s="11"/>
      <c r="D21" s="2">
        <v>170925.58000000002</v>
      </c>
      <c r="E21" s="2"/>
      <c r="F21" s="21">
        <f t="shared" si="4"/>
        <v>0.33739664702794886</v>
      </c>
      <c r="G21" s="2"/>
      <c r="H21" s="2">
        <v>202084.08000000002</v>
      </c>
      <c r="I21" s="2"/>
      <c r="J21" s="21">
        <f t="shared" si="5"/>
        <v>0.43470512570625525</v>
      </c>
      <c r="K21" s="2"/>
      <c r="L21" s="2">
        <f t="shared" si="6"/>
        <v>-31158.5</v>
      </c>
      <c r="M21" s="2"/>
      <c r="N21" s="21">
        <f t="shared" si="7"/>
        <v>-0.15418582205980796</v>
      </c>
      <c r="O21" s="11"/>
      <c r="P21" s="2">
        <v>325136.05</v>
      </c>
      <c r="Q21" s="2"/>
      <c r="R21" s="21">
        <f t="shared" si="8"/>
        <v>0.32000472306489863</v>
      </c>
      <c r="S21" s="2"/>
      <c r="T21" s="2">
        <v>342357.33</v>
      </c>
      <c r="U21" s="2"/>
      <c r="V21" s="21">
        <f t="shared" si="9"/>
        <v>0.3526913923570697</v>
      </c>
      <c r="W21" s="2"/>
      <c r="X21" s="2">
        <f t="shared" si="10"/>
        <v>-17221.280000000028</v>
      </c>
      <c r="Y21" s="2"/>
      <c r="Z21" s="21">
        <f t="shared" si="11"/>
        <v>-5.0302063052074936E-2</v>
      </c>
    </row>
    <row r="22" spans="1:26" s="24" customFormat="1" hidden="1" outlineLevel="1" x14ac:dyDescent="0.25">
      <c r="A22" s="50"/>
      <c r="B22" s="11" t="str">
        <f>CONCATENATE("          ", "5059", " - ", "PURCHASES @ COST-FOOD")</f>
        <v xml:space="preserve">          5059 - PURCHASES @ COST-FOOD</v>
      </c>
      <c r="C22" s="11"/>
      <c r="D22" s="2">
        <v>-28481.95</v>
      </c>
      <c r="E22" s="2"/>
      <c r="F22" s="21">
        <f t="shared" si="4"/>
        <v>-5.6221628329812819E-2</v>
      </c>
      <c r="G22" s="2"/>
      <c r="H22" s="2">
        <v>-27755.809999999998</v>
      </c>
      <c r="I22" s="2"/>
      <c r="J22" s="21">
        <f t="shared" si="5"/>
        <v>-5.9705805994855879E-2</v>
      </c>
      <c r="K22" s="2"/>
      <c r="L22" s="2">
        <f t="shared" si="6"/>
        <v>-726.14000000000306</v>
      </c>
      <c r="M22" s="2"/>
      <c r="N22" s="21">
        <f t="shared" si="7"/>
        <v>2.6161729742349552E-2</v>
      </c>
      <c r="O22" s="11"/>
      <c r="P22" s="2">
        <v>-24284.95</v>
      </c>
      <c r="Q22" s="2"/>
      <c r="R22" s="21">
        <f t="shared" si="8"/>
        <v>-2.3901682693736701E-2</v>
      </c>
      <c r="S22" s="2"/>
      <c r="T22" s="2">
        <v>-26550.809999999998</v>
      </c>
      <c r="U22" s="2"/>
      <c r="V22" s="21">
        <f t="shared" si="9"/>
        <v>-2.7352246692390107E-2</v>
      </c>
      <c r="W22" s="2"/>
      <c r="X22" s="2">
        <f t="shared" si="10"/>
        <v>2265.8599999999969</v>
      </c>
      <c r="Y22" s="2"/>
      <c r="Z22" s="21">
        <f t="shared" si="11"/>
        <v>-8.5340522567861288E-2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6</v>
      </c>
      <c r="C24" s="26"/>
      <c r="D24" s="20">
        <f>D12-D20</f>
        <v>364157.67</v>
      </c>
      <c r="E24" s="13"/>
      <c r="F24" s="19">
        <f>IF(D$12=0,0,D24/D$12)</f>
        <v>0.71882498130186401</v>
      </c>
      <c r="G24" s="13"/>
      <c r="H24" s="20">
        <f>H12-H20</f>
        <v>290547.95999999996</v>
      </c>
      <c r="I24" s="13"/>
      <c r="J24" s="19">
        <f>IF(H$12=0,0,H24/H$12)</f>
        <v>0.62500068028860067</v>
      </c>
      <c r="K24" s="15"/>
      <c r="L24" s="20">
        <f>+D24-H24</f>
        <v>73609.710000000021</v>
      </c>
      <c r="M24" s="15"/>
      <c r="N24" s="19">
        <f>IF(H24=0,0,L24/H24)</f>
        <v>0.25334788101764688</v>
      </c>
      <c r="O24" s="25"/>
      <c r="P24" s="20">
        <f>P12-P20</f>
        <v>715184.06</v>
      </c>
      <c r="Q24" s="13"/>
      <c r="R24" s="19">
        <f>IF(P$12=0,0,P24/P$12)</f>
        <v>0.70389695962883803</v>
      </c>
      <c r="S24" s="13"/>
      <c r="T24" s="20">
        <f>T12-T20</f>
        <v>654892.9</v>
      </c>
      <c r="U24" s="13"/>
      <c r="V24" s="19">
        <f>IF(T$12=0,0,T24/T$12)</f>
        <v>0.67466085433532041</v>
      </c>
      <c r="W24" s="15"/>
      <c r="X24" s="20">
        <f>+P24-T24</f>
        <v>60291.160000000033</v>
      </c>
      <c r="Y24" s="15"/>
      <c r="Z24" s="19">
        <f>IF(T24=0,0,X24/T24)</f>
        <v>9.2062625812556573E-2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9</v>
      </c>
      <c r="C26" s="10"/>
      <c r="D26" s="22">
        <f>SUM(OSRRefD22x_0)</f>
        <v>370140.71000000008</v>
      </c>
      <c r="E26" s="22"/>
      <c r="F26" s="33">
        <f t="shared" ref="F26:F36" si="12">IF(D$12=0,0,D26/D$12)</f>
        <v>0.73063513654623491</v>
      </c>
      <c r="G26" s="22"/>
      <c r="H26" s="22">
        <f>SUM(OSRRefH22x_0)</f>
        <v>364110.14</v>
      </c>
      <c r="I26" s="22"/>
      <c r="J26" s="33">
        <f t="shared" ref="J26:J36" si="13">IF(H$12=0,0,H26/H$12)</f>
        <v>0.78324103600650874</v>
      </c>
      <c r="K26" s="4"/>
      <c r="L26" s="22">
        <f t="shared" ref="L26:L36" si="14">+D26-H26</f>
        <v>6030.5700000000652</v>
      </c>
      <c r="M26" s="4"/>
      <c r="N26" s="33">
        <f t="shared" ref="N26:N36" si="15">IF(H26=0,0,L26/H26)</f>
        <v>1.6562488482194056E-2</v>
      </c>
      <c r="O26" s="10"/>
      <c r="P26" s="22">
        <f>SUM(OSRRefP22x_0)</f>
        <v>775760.4099999998</v>
      </c>
      <c r="Q26" s="22"/>
      <c r="R26" s="33">
        <f t="shared" ref="R26:R36" si="16">IF(P$12=0,0,P26/P$12)</f>
        <v>0.76351728812219433</v>
      </c>
      <c r="S26" s="22"/>
      <c r="T26" s="22">
        <f>SUM(OSRRefT22x_0)</f>
        <v>699632.75999999989</v>
      </c>
      <c r="U26" s="22"/>
      <c r="V26" s="33">
        <f t="shared" ref="V26:V36" si="17">IF(T$12=0,0,T26/T$12)</f>
        <v>0.72075118783938275</v>
      </c>
      <c r="W26" s="4"/>
      <c r="X26" s="22">
        <f t="shared" ref="X26:X36" si="18">+P26-T26</f>
        <v>76127.649999999907</v>
      </c>
      <c r="Y26" s="4"/>
      <c r="Z26" s="33">
        <f t="shared" ref="Z26:Z36" si="19">IF(T26=0,0,X26/T26)</f>
        <v>0.10881087100609743</v>
      </c>
    </row>
    <row r="27" spans="1:26" s="27" customFormat="1" outlineLevel="1" collapsed="1" x14ac:dyDescent="0.25">
      <c r="A27" s="28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86552.31</v>
      </c>
      <c r="E27" s="1"/>
      <c r="F27" s="5">
        <f t="shared" si="12"/>
        <v>0.17084896939664387</v>
      </c>
      <c r="G27" s="1"/>
      <c r="H27" s="1">
        <f>SUM(OSRRefH22_0x_0)</f>
        <v>90534.209999999992</v>
      </c>
      <c r="I27" s="1"/>
      <c r="J27" s="5">
        <f t="shared" si="13"/>
        <v>0.19474906256230823</v>
      </c>
      <c r="K27" s="1"/>
      <c r="L27" s="1">
        <f t="shared" si="14"/>
        <v>-3981.8999999999942</v>
      </c>
      <c r="M27" s="1"/>
      <c r="N27" s="5">
        <f t="shared" si="15"/>
        <v>-4.3982269243858146E-2</v>
      </c>
      <c r="O27" s="14"/>
      <c r="P27" s="1">
        <f>SUM(OSRRefP22_0x_0)</f>
        <v>187486.28999999998</v>
      </c>
      <c r="Q27" s="1"/>
      <c r="R27" s="5">
        <f t="shared" si="16"/>
        <v>0.18452736419082189</v>
      </c>
      <c r="S27" s="1"/>
      <c r="T27" s="1">
        <f>SUM(OSRRefT22_0x_0)</f>
        <v>160066.44</v>
      </c>
      <c r="U27" s="1"/>
      <c r="V27" s="5">
        <f t="shared" si="17"/>
        <v>0.16489804846076864</v>
      </c>
      <c r="W27" s="1"/>
      <c r="X27" s="1">
        <f t="shared" si="18"/>
        <v>27419.849999999977</v>
      </c>
      <c r="Y27" s="1"/>
      <c r="Z27" s="5">
        <f t="shared" si="19"/>
        <v>0.17130292895874974</v>
      </c>
    </row>
    <row r="28" spans="1:26" s="24" customFormat="1" hidden="1" outlineLevel="2" x14ac:dyDescent="0.25">
      <c r="A28" s="29"/>
      <c r="B28" s="11" t="str">
        <f>CONCATENATE("          ", "6111", " - ", "F.I.C.A.")</f>
        <v xml:space="preserve">          6111 - F.I.C.A.</v>
      </c>
      <c r="C28" s="11"/>
      <c r="D28" s="7">
        <v>12899.09</v>
      </c>
      <c r="E28" s="2"/>
      <c r="F28" s="6">
        <f t="shared" si="12"/>
        <v>2.5462015198144974E-2</v>
      </c>
      <c r="G28" s="2"/>
      <c r="H28" s="7">
        <v>12654.85</v>
      </c>
      <c r="I28" s="2"/>
      <c r="J28" s="6">
        <f t="shared" si="13"/>
        <v>2.7221976912005161E-2</v>
      </c>
      <c r="K28" s="2"/>
      <c r="L28" s="7">
        <f t="shared" si="14"/>
        <v>244.23999999999978</v>
      </c>
      <c r="M28" s="2"/>
      <c r="N28" s="6">
        <f t="shared" si="15"/>
        <v>1.9300110234416037E-2</v>
      </c>
      <c r="O28" s="11"/>
      <c r="P28" s="7">
        <v>26033.929999999997</v>
      </c>
      <c r="Q28" s="2"/>
      <c r="R28" s="6">
        <f t="shared" si="16"/>
        <v>2.5623060131108058E-2</v>
      </c>
      <c r="S28" s="2"/>
      <c r="T28" s="7">
        <v>23952.11</v>
      </c>
      <c r="U28" s="2"/>
      <c r="V28" s="6">
        <f t="shared" si="17"/>
        <v>2.4675104884682015E-2</v>
      </c>
      <c r="W28" s="2"/>
      <c r="X28" s="7">
        <f t="shared" si="18"/>
        <v>2081.8199999999961</v>
      </c>
      <c r="Y28" s="2"/>
      <c r="Z28" s="6">
        <f t="shared" si="19"/>
        <v>8.6915933502309237E-2</v>
      </c>
    </row>
    <row r="29" spans="1:26" s="24" customFormat="1" hidden="1" outlineLevel="2" x14ac:dyDescent="0.25">
      <c r="A29" s="29"/>
      <c r="B29" s="11" t="str">
        <f>CONCATENATE("          ", "6112", " - ", "COMPENSATION INSURANCE")</f>
        <v xml:space="preserve">          6112 - COMPENSATION INSURANCE</v>
      </c>
      <c r="C29" s="11"/>
      <c r="D29" s="7">
        <v>6934.63</v>
      </c>
      <c r="E29" s="2"/>
      <c r="F29" s="6">
        <f t="shared" si="12"/>
        <v>1.3688535738064628E-2</v>
      </c>
      <c r="G29" s="2"/>
      <c r="H29" s="7">
        <v>6203.6</v>
      </c>
      <c r="I29" s="2"/>
      <c r="J29" s="6">
        <f t="shared" si="13"/>
        <v>1.3344627235511698E-2</v>
      </c>
      <c r="K29" s="2"/>
      <c r="L29" s="7">
        <f t="shared" si="14"/>
        <v>731.02999999999975</v>
      </c>
      <c r="M29" s="2"/>
      <c r="N29" s="6">
        <f t="shared" si="15"/>
        <v>0.11783964149848471</v>
      </c>
      <c r="O29" s="11"/>
      <c r="P29" s="7">
        <v>13989.39</v>
      </c>
      <c r="Q29" s="2"/>
      <c r="R29" s="6">
        <f t="shared" si="16"/>
        <v>1.3768608165095389E-2</v>
      </c>
      <c r="S29" s="2"/>
      <c r="T29" s="7">
        <v>13889.86</v>
      </c>
      <c r="U29" s="2"/>
      <c r="V29" s="6">
        <f t="shared" si="17"/>
        <v>1.4309125681768719E-2</v>
      </c>
      <c r="W29" s="2"/>
      <c r="X29" s="7">
        <f t="shared" si="18"/>
        <v>99.529999999998836</v>
      </c>
      <c r="Y29" s="2"/>
      <c r="Z29" s="6">
        <f t="shared" si="19"/>
        <v>7.1656589771242358E-3</v>
      </c>
    </row>
    <row r="30" spans="1:26" s="24" customFormat="1" hidden="1" outlineLevel="2" x14ac:dyDescent="0.25">
      <c r="A30" s="29"/>
      <c r="B30" s="11" t="str">
        <f>CONCATENATE("          ", "6113", " - ", "GROUP INSURANCE")</f>
        <v xml:space="preserve">          6113 - GROUP INSURANCE</v>
      </c>
      <c r="C30" s="11"/>
      <c r="D30" s="7">
        <v>45625.93</v>
      </c>
      <c r="E30" s="2"/>
      <c r="F30" s="6">
        <f t="shared" si="12"/>
        <v>9.00627969174181E-2</v>
      </c>
      <c r="G30" s="2"/>
      <c r="H30" s="7">
        <v>49915.619999999995</v>
      </c>
      <c r="I30" s="2"/>
      <c r="J30" s="6">
        <f t="shared" si="13"/>
        <v>0.10737399931160171</v>
      </c>
      <c r="K30" s="2"/>
      <c r="L30" s="7">
        <f t="shared" si="14"/>
        <v>-4289.6899999999951</v>
      </c>
      <c r="M30" s="2"/>
      <c r="N30" s="6">
        <f t="shared" si="15"/>
        <v>-8.5938830370132543E-2</v>
      </c>
      <c r="O30" s="11"/>
      <c r="P30" s="7">
        <v>90086.96</v>
      </c>
      <c r="Q30" s="2"/>
      <c r="R30" s="6">
        <f t="shared" si="16"/>
        <v>8.8665199342117265E-2</v>
      </c>
      <c r="S30" s="2"/>
      <c r="T30" s="7">
        <v>68271.05</v>
      </c>
      <c r="U30" s="2"/>
      <c r="V30" s="6">
        <f t="shared" si="17"/>
        <v>7.033181291073605E-2</v>
      </c>
      <c r="W30" s="2"/>
      <c r="X30" s="7">
        <f t="shared" si="18"/>
        <v>21815.910000000003</v>
      </c>
      <c r="Y30" s="2"/>
      <c r="Z30" s="6">
        <f t="shared" si="19"/>
        <v>0.31954847625750599</v>
      </c>
    </row>
    <row r="31" spans="1:26" s="24" customFormat="1" hidden="1" outlineLevel="2" x14ac:dyDescent="0.25">
      <c r="A31" s="29"/>
      <c r="B31" s="11" t="str">
        <f>CONCATENATE("          ", "6114", " - ", "STATE UNEMPLOYMENT INSURANCE")</f>
        <v xml:space="preserve">          6114 - STATE UNEMPLOYMENT INSURANCE</v>
      </c>
      <c r="C31" s="11"/>
      <c r="D31" s="7">
        <v>466.53</v>
      </c>
      <c r="E31" s="2"/>
      <c r="F31" s="6">
        <f t="shared" si="12"/>
        <v>9.2090170317367913E-4</v>
      </c>
      <c r="G31" s="2"/>
      <c r="H31" s="7">
        <v>462.24</v>
      </c>
      <c r="I31" s="2"/>
      <c r="J31" s="6">
        <f t="shared" si="13"/>
        <v>9.9432917875796759E-4</v>
      </c>
      <c r="K31" s="2"/>
      <c r="L31" s="7">
        <f t="shared" si="14"/>
        <v>4.2899999999999636</v>
      </c>
      <c r="M31" s="2"/>
      <c r="N31" s="6">
        <f t="shared" si="15"/>
        <v>9.2808930425752074E-3</v>
      </c>
      <c r="O31" s="11"/>
      <c r="P31" s="7">
        <v>940.55</v>
      </c>
      <c r="Q31" s="2"/>
      <c r="R31" s="6">
        <f t="shared" si="16"/>
        <v>9.2570615371223954E-4</v>
      </c>
      <c r="S31" s="2"/>
      <c r="T31" s="7">
        <v>1033.21</v>
      </c>
      <c r="U31" s="2"/>
      <c r="V31" s="6">
        <f t="shared" si="17"/>
        <v>1.0643974630169244E-3</v>
      </c>
      <c r="W31" s="2"/>
      <c r="X31" s="7">
        <f t="shared" si="18"/>
        <v>-92.660000000000082</v>
      </c>
      <c r="Y31" s="2"/>
      <c r="Z31" s="6">
        <f t="shared" si="19"/>
        <v>-8.968167168339454E-2</v>
      </c>
    </row>
    <row r="32" spans="1:26" s="24" customFormat="1" hidden="1" outlineLevel="2" x14ac:dyDescent="0.25">
      <c r="A32" s="29"/>
      <c r="B32" s="11" t="str">
        <f>CONCATENATE("          ", "6115", " - ", "P.E.R.S.")</f>
        <v xml:space="preserve">          6115 - P.E.R.S.</v>
      </c>
      <c r="C32" s="11"/>
      <c r="D32" s="7">
        <v>4215.32</v>
      </c>
      <c r="E32" s="2"/>
      <c r="F32" s="6">
        <f t="shared" si="12"/>
        <v>8.3207840169379748E-3</v>
      </c>
      <c r="G32" s="2"/>
      <c r="H32" s="7">
        <v>3436.12</v>
      </c>
      <c r="I32" s="2"/>
      <c r="J32" s="6">
        <f t="shared" si="13"/>
        <v>7.3914727797547318E-3</v>
      </c>
      <c r="K32" s="2"/>
      <c r="L32" s="7">
        <f t="shared" si="14"/>
        <v>779.19999999999982</v>
      </c>
      <c r="M32" s="2"/>
      <c r="N32" s="6">
        <f t="shared" si="15"/>
        <v>0.22676740044003116</v>
      </c>
      <c r="O32" s="11"/>
      <c r="P32" s="7">
        <v>8177.86</v>
      </c>
      <c r="Q32" s="2"/>
      <c r="R32" s="6">
        <f t="shared" si="16"/>
        <v>8.0487962640977892E-3</v>
      </c>
      <c r="S32" s="2"/>
      <c r="T32" s="7">
        <v>8305.7199999999993</v>
      </c>
      <c r="U32" s="2"/>
      <c r="V32" s="6">
        <f t="shared" si="17"/>
        <v>8.5564283122781699E-3</v>
      </c>
      <c r="W32" s="2"/>
      <c r="X32" s="7">
        <f t="shared" si="18"/>
        <v>-127.85999999999967</v>
      </c>
      <c r="Y32" s="2"/>
      <c r="Z32" s="6">
        <f t="shared" si="19"/>
        <v>-1.5394210255101265E-2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1165.05</v>
      </c>
      <c r="E33" s="2"/>
      <c r="F33" s="6">
        <f t="shared" si="12"/>
        <v>2.2997374858690651E-3</v>
      </c>
      <c r="G33" s="2"/>
      <c r="H33" s="7">
        <v>1342.82</v>
      </c>
      <c r="I33" s="2"/>
      <c r="J33" s="6">
        <f t="shared" si="13"/>
        <v>2.8885537985024528E-3</v>
      </c>
      <c r="K33" s="2"/>
      <c r="L33" s="7">
        <f t="shared" si="14"/>
        <v>-177.76999999999998</v>
      </c>
      <c r="M33" s="2"/>
      <c r="N33" s="6">
        <f t="shared" si="15"/>
        <v>-0.13238557662233211</v>
      </c>
      <c r="O33" s="11"/>
      <c r="P33" s="7">
        <v>2547.31</v>
      </c>
      <c r="Q33" s="2"/>
      <c r="R33" s="6">
        <f t="shared" si="16"/>
        <v>2.5071081201559994E-3</v>
      </c>
      <c r="S33" s="2"/>
      <c r="T33" s="7">
        <v>2618.11</v>
      </c>
      <c r="U33" s="2"/>
      <c r="V33" s="6">
        <f t="shared" si="17"/>
        <v>2.6971376989181678E-3</v>
      </c>
      <c r="W33" s="2"/>
      <c r="X33" s="7">
        <f t="shared" si="18"/>
        <v>-70.800000000000182</v>
      </c>
      <c r="Y33" s="2"/>
      <c r="Z33" s="6">
        <f t="shared" si="19"/>
        <v>-2.7042408454954214E-2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7453.46</v>
      </c>
      <c r="E34" s="2"/>
      <c r="F34" s="6">
        <f t="shared" si="12"/>
        <v>1.4712674444380621E-2</v>
      </c>
      <c r="G34" s="2"/>
      <c r="H34" s="7">
        <v>7740.78</v>
      </c>
      <c r="I34" s="2"/>
      <c r="J34" s="6">
        <f t="shared" si="13"/>
        <v>1.6651270812448295E-2</v>
      </c>
      <c r="K34" s="2"/>
      <c r="L34" s="7">
        <f t="shared" si="14"/>
        <v>-287.31999999999971</v>
      </c>
      <c r="M34" s="2"/>
      <c r="N34" s="6">
        <f t="shared" si="15"/>
        <v>-3.7117706484359421E-2</v>
      </c>
      <c r="O34" s="11"/>
      <c r="P34" s="7">
        <v>18398.12</v>
      </c>
      <c r="Q34" s="2"/>
      <c r="R34" s="6">
        <f t="shared" si="16"/>
        <v>1.8107759184239253E-2</v>
      </c>
      <c r="S34" s="2"/>
      <c r="T34" s="7">
        <v>17270.009999999998</v>
      </c>
      <c r="U34" s="2"/>
      <c r="V34" s="6">
        <f t="shared" si="17"/>
        <v>1.7791305572223373E-2</v>
      </c>
      <c r="W34" s="2"/>
      <c r="X34" s="7">
        <f t="shared" si="18"/>
        <v>1128.1100000000006</v>
      </c>
      <c r="Y34" s="2"/>
      <c r="Z34" s="6">
        <f t="shared" si="19"/>
        <v>6.5321907746434468E-2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4745.12</v>
      </c>
      <c r="E35" s="2"/>
      <c r="F35" s="6">
        <f t="shared" si="12"/>
        <v>9.3665768327084835E-3</v>
      </c>
      <c r="G35" s="2"/>
      <c r="H35" s="7">
        <v>4910.53</v>
      </c>
      <c r="I35" s="2"/>
      <c r="J35" s="6">
        <f t="shared" si="13"/>
        <v>1.0563091169449553E-2</v>
      </c>
      <c r="K35" s="2"/>
      <c r="L35" s="7">
        <f t="shared" si="14"/>
        <v>-165.40999999999985</v>
      </c>
      <c r="M35" s="2"/>
      <c r="N35" s="6">
        <f t="shared" si="15"/>
        <v>-3.3684755006078745E-2</v>
      </c>
      <c r="O35" s="11"/>
      <c r="P35" s="7">
        <v>21174.42</v>
      </c>
      <c r="Q35" s="2"/>
      <c r="R35" s="6">
        <f t="shared" si="16"/>
        <v>2.0840243363231641E-2</v>
      </c>
      <c r="S35" s="2"/>
      <c r="T35" s="7">
        <v>17367.11</v>
      </c>
      <c r="U35" s="2"/>
      <c r="V35" s="6">
        <f t="shared" si="17"/>
        <v>1.7891336537524664E-2</v>
      </c>
      <c r="W35" s="2"/>
      <c r="X35" s="7">
        <f t="shared" si="18"/>
        <v>3807.3099999999977</v>
      </c>
      <c r="Y35" s="2"/>
      <c r="Z35" s="6">
        <f t="shared" si="19"/>
        <v>0.21922530576474714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>
        <v>3047.18</v>
      </c>
      <c r="E36" s="2"/>
      <c r="F36" s="6">
        <f t="shared" si="12"/>
        <v>6.0149470599463522E-3</v>
      </c>
      <c r="G36" s="2"/>
      <c r="H36" s="7">
        <v>3867.65</v>
      </c>
      <c r="I36" s="2"/>
      <c r="J36" s="6">
        <f t="shared" si="13"/>
        <v>8.319741364276682E-3</v>
      </c>
      <c r="K36" s="2"/>
      <c r="L36" s="7">
        <f t="shared" si="14"/>
        <v>-820.47000000000025</v>
      </c>
      <c r="M36" s="2"/>
      <c r="N36" s="6">
        <f t="shared" si="15"/>
        <v>-0.2121365687174383</v>
      </c>
      <c r="O36" s="11"/>
      <c r="P36" s="7">
        <v>6137.75</v>
      </c>
      <c r="Q36" s="2"/>
      <c r="R36" s="6">
        <f t="shared" si="16"/>
        <v>6.0408834670642696E-3</v>
      </c>
      <c r="S36" s="2"/>
      <c r="T36" s="7">
        <v>7359.26</v>
      </c>
      <c r="U36" s="2"/>
      <c r="V36" s="6">
        <f t="shared" si="17"/>
        <v>7.5813993996205337E-3</v>
      </c>
      <c r="W36" s="2"/>
      <c r="X36" s="7">
        <f t="shared" si="18"/>
        <v>-1221.5100000000002</v>
      </c>
      <c r="Y36" s="2"/>
      <c r="Z36" s="6">
        <f t="shared" si="19"/>
        <v>-0.16598272108880516</v>
      </c>
    </row>
    <row r="37" spans="1:26" s="27" customFormat="1" outlineLevel="1" collapsed="1" x14ac:dyDescent="0.25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192867.7</v>
      </c>
      <c r="E37" s="1"/>
      <c r="F37" s="5">
        <f t="shared" ref="F37:F44" si="20">IF(D$12=0,0,D37/D$12)</f>
        <v>0.38070905068739463</v>
      </c>
      <c r="G37" s="1"/>
      <c r="H37" s="1">
        <f>SUM(OSRRefH22_1x_0)</f>
        <v>188650.3</v>
      </c>
      <c r="I37" s="1"/>
      <c r="J37" s="5">
        <f t="shared" ref="J37:J44" si="21">IF(H$12=0,0,H37/H$12)</f>
        <v>0.40580758452631571</v>
      </c>
      <c r="K37" s="1"/>
      <c r="L37" s="1">
        <f t="shared" ref="L37:L44" si="22">+D37-H37</f>
        <v>4217.4000000000233</v>
      </c>
      <c r="M37" s="1"/>
      <c r="N37" s="5">
        <f t="shared" ref="N37:N44" si="23">IF(H37=0,0,L37/H37)</f>
        <v>2.2355649580202225E-2</v>
      </c>
      <c r="O37" s="14"/>
      <c r="P37" s="1">
        <f>SUM(OSRRefP22_1x_0)</f>
        <v>398288.76</v>
      </c>
      <c r="Q37" s="1"/>
      <c r="R37" s="5">
        <f t="shared" ref="R37:R44" si="24">IF(P$12=0,0,P37/P$12)</f>
        <v>0.39200293029229422</v>
      </c>
      <c r="S37" s="1"/>
      <c r="T37" s="1">
        <f>SUM(OSRRefT22_1x_0)</f>
        <v>363780.56</v>
      </c>
      <c r="U37" s="1"/>
      <c r="V37" s="5">
        <f t="shared" ref="V37:V44" si="25">IF(T$12=0,0,T37/T$12)</f>
        <v>0.37476128295203881</v>
      </c>
      <c r="W37" s="1"/>
      <c r="X37" s="1">
        <f t="shared" ref="X37:X44" si="26">+P37-T37</f>
        <v>34508.200000000012</v>
      </c>
      <c r="Y37" s="1"/>
      <c r="Z37" s="5">
        <f t="shared" ref="Z37:Z44" si="27">IF(T37=0,0,X37/T37)</f>
        <v>9.4859934241675839E-2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>
        <v>5294.28</v>
      </c>
      <c r="E38" s="2"/>
      <c r="F38" s="6">
        <f t="shared" si="20"/>
        <v>1.0450585105091519E-2</v>
      </c>
      <c r="G38" s="2"/>
      <c r="H38" s="7">
        <v>6326.24</v>
      </c>
      <c r="I38" s="2"/>
      <c r="J38" s="6">
        <f t="shared" si="21"/>
        <v>1.3608439390415811E-2</v>
      </c>
      <c r="K38" s="2"/>
      <c r="L38" s="7">
        <f t="shared" si="22"/>
        <v>-1031.96</v>
      </c>
      <c r="M38" s="2"/>
      <c r="N38" s="6">
        <f t="shared" si="23"/>
        <v>-0.16312375123295988</v>
      </c>
      <c r="O38" s="11"/>
      <c r="P38" s="7">
        <v>13031.81</v>
      </c>
      <c r="Q38" s="2"/>
      <c r="R38" s="6">
        <f t="shared" si="24"/>
        <v>1.2826140780403701E-2</v>
      </c>
      <c r="S38" s="2"/>
      <c r="T38" s="7">
        <v>16211.04</v>
      </c>
      <c r="U38" s="2"/>
      <c r="V38" s="6">
        <f t="shared" si="25"/>
        <v>1.6700370543128583E-2</v>
      </c>
      <c r="W38" s="2"/>
      <c r="X38" s="7">
        <f t="shared" si="26"/>
        <v>-3179.2300000000014</v>
      </c>
      <c r="Y38" s="2"/>
      <c r="Z38" s="6">
        <f t="shared" si="27"/>
        <v>-0.19611511661188927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37442.700000000004</v>
      </c>
      <c r="E39" s="2"/>
      <c r="F39" s="6">
        <f t="shared" si="20"/>
        <v>7.3909601100510411E-2</v>
      </c>
      <c r="G39" s="2"/>
      <c r="H39" s="7">
        <v>33192.74</v>
      </c>
      <c r="I39" s="2"/>
      <c r="J39" s="6">
        <f t="shared" si="21"/>
        <v>7.1401241573482904E-2</v>
      </c>
      <c r="K39" s="2"/>
      <c r="L39" s="7">
        <f t="shared" si="22"/>
        <v>4249.9600000000064</v>
      </c>
      <c r="M39" s="2"/>
      <c r="N39" s="6">
        <f t="shared" si="23"/>
        <v>0.12803884222875264</v>
      </c>
      <c r="O39" s="11"/>
      <c r="P39" s="7">
        <v>82827.11</v>
      </c>
      <c r="Q39" s="2"/>
      <c r="R39" s="6">
        <f t="shared" si="24"/>
        <v>8.1519924960077164E-2</v>
      </c>
      <c r="S39" s="2"/>
      <c r="T39" s="7">
        <v>73300.739999999991</v>
      </c>
      <c r="U39" s="2"/>
      <c r="V39" s="6">
        <f t="shared" si="25"/>
        <v>7.5513324196691073E-2</v>
      </c>
      <c r="W39" s="2"/>
      <c r="X39" s="7">
        <f t="shared" si="26"/>
        <v>9526.3700000000099</v>
      </c>
      <c r="Y39" s="2"/>
      <c r="Z39" s="6">
        <f t="shared" si="27"/>
        <v>0.12996280801530805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7">
        <v>37745.11</v>
      </c>
      <c r="E40" s="2"/>
      <c r="F40" s="6">
        <f t="shared" si="20"/>
        <v>7.4506539955582429E-2</v>
      </c>
      <c r="G40" s="2"/>
      <c r="H40" s="7">
        <v>50460.85</v>
      </c>
      <c r="I40" s="2"/>
      <c r="J40" s="6">
        <f t="shared" si="21"/>
        <v>0.10854684912584152</v>
      </c>
      <c r="K40" s="2"/>
      <c r="L40" s="7">
        <f t="shared" si="22"/>
        <v>-12715.739999999998</v>
      </c>
      <c r="M40" s="2"/>
      <c r="N40" s="6">
        <f t="shared" si="23"/>
        <v>-0.25199218800317469</v>
      </c>
      <c r="O40" s="11"/>
      <c r="P40" s="7">
        <v>83517.600000000006</v>
      </c>
      <c r="Q40" s="2"/>
      <c r="R40" s="6">
        <f t="shared" si="24"/>
        <v>8.2199517583623788E-2</v>
      </c>
      <c r="S40" s="2"/>
      <c r="T40" s="7">
        <v>99019.42</v>
      </c>
      <c r="U40" s="2"/>
      <c r="V40" s="6">
        <f t="shared" si="25"/>
        <v>0.10200832302959446</v>
      </c>
      <c r="W40" s="2"/>
      <c r="X40" s="7">
        <f t="shared" si="26"/>
        <v>-15501.819999999992</v>
      </c>
      <c r="Y40" s="2"/>
      <c r="Z40" s="6">
        <f t="shared" si="27"/>
        <v>-0.1565533306496846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>
        <v>30349.040000000001</v>
      </c>
      <c r="E41" s="2"/>
      <c r="F41" s="6">
        <f t="shared" si="20"/>
        <v>5.9907149863215908E-2</v>
      </c>
      <c r="G41" s="2"/>
      <c r="H41" s="7">
        <v>24980.129999999997</v>
      </c>
      <c r="I41" s="2"/>
      <c r="J41" s="6">
        <f t="shared" si="21"/>
        <v>5.3735012435460507E-2</v>
      </c>
      <c r="K41" s="2"/>
      <c r="L41" s="7">
        <f t="shared" si="22"/>
        <v>5368.9100000000035</v>
      </c>
      <c r="M41" s="2"/>
      <c r="N41" s="6">
        <f t="shared" si="23"/>
        <v>0.21492722415776075</v>
      </c>
      <c r="O41" s="11"/>
      <c r="P41" s="7">
        <v>64524.450000000004</v>
      </c>
      <c r="Q41" s="2"/>
      <c r="R41" s="6">
        <f t="shared" si="24"/>
        <v>6.3506119217370399E-2</v>
      </c>
      <c r="S41" s="2"/>
      <c r="T41" s="7">
        <v>47831.28</v>
      </c>
      <c r="U41" s="2"/>
      <c r="V41" s="6">
        <f t="shared" si="25"/>
        <v>4.9275068074110931E-2</v>
      </c>
      <c r="W41" s="2"/>
      <c r="X41" s="7">
        <f t="shared" si="26"/>
        <v>16693.170000000006</v>
      </c>
      <c r="Y41" s="2"/>
      <c r="Z41" s="6">
        <f t="shared" si="27"/>
        <v>0.34900111391541278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7">
        <v>4951.3100000000004</v>
      </c>
      <c r="E42" s="2"/>
      <c r="F42" s="6">
        <f t="shared" si="20"/>
        <v>9.7735832892651489E-3</v>
      </c>
      <c r="G42" s="2"/>
      <c r="H42" s="7">
        <v>1229.69</v>
      </c>
      <c r="I42" s="2"/>
      <c r="J42" s="6">
        <f t="shared" si="21"/>
        <v>2.6451987015984882E-3</v>
      </c>
      <c r="K42" s="2"/>
      <c r="L42" s="7">
        <f t="shared" si="22"/>
        <v>3721.6200000000003</v>
      </c>
      <c r="M42" s="2"/>
      <c r="N42" s="6">
        <f t="shared" si="23"/>
        <v>3.0264700859566234</v>
      </c>
      <c r="O42" s="11"/>
      <c r="P42" s="7">
        <v>11275.88</v>
      </c>
      <c r="Q42" s="2"/>
      <c r="R42" s="6">
        <f t="shared" si="24"/>
        <v>1.1097923028569207E-2</v>
      </c>
      <c r="S42" s="2"/>
      <c r="T42" s="7">
        <v>3638.5</v>
      </c>
      <c r="U42" s="2"/>
      <c r="V42" s="6">
        <f t="shared" si="25"/>
        <v>3.7483281899972701E-3</v>
      </c>
      <c r="W42" s="2"/>
      <c r="X42" s="7">
        <f t="shared" si="26"/>
        <v>7637.3799999999992</v>
      </c>
      <c r="Y42" s="2"/>
      <c r="Z42" s="6">
        <f t="shared" si="27"/>
        <v>2.0990463102927026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>
        <v>67318.759999999995</v>
      </c>
      <c r="E43" s="2"/>
      <c r="F43" s="6">
        <f t="shared" si="20"/>
        <v>0.13288311735481137</v>
      </c>
      <c r="G43" s="2"/>
      <c r="H43" s="7">
        <v>64190.02</v>
      </c>
      <c r="I43" s="2"/>
      <c r="J43" s="6">
        <f t="shared" si="21"/>
        <v>0.13807980674770143</v>
      </c>
      <c r="K43" s="2"/>
      <c r="L43" s="7">
        <f t="shared" si="22"/>
        <v>3128.739999999998</v>
      </c>
      <c r="M43" s="2"/>
      <c r="N43" s="6">
        <f t="shared" si="23"/>
        <v>4.8741844916078823E-2</v>
      </c>
      <c r="O43" s="11"/>
      <c r="P43" s="7">
        <v>124075.41</v>
      </c>
      <c r="Q43" s="2"/>
      <c r="R43" s="6">
        <f t="shared" si="24"/>
        <v>0.12211724050966898</v>
      </c>
      <c r="S43" s="2"/>
      <c r="T43" s="7">
        <v>111612.2</v>
      </c>
      <c r="U43" s="2"/>
      <c r="V43" s="6">
        <f t="shared" si="25"/>
        <v>0.11498121632750125</v>
      </c>
      <c r="W43" s="2"/>
      <c r="X43" s="7">
        <f t="shared" si="26"/>
        <v>12463.210000000006</v>
      </c>
      <c r="Y43" s="2"/>
      <c r="Z43" s="6">
        <f t="shared" si="27"/>
        <v>0.11166530182184391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>
        <v>9766.5</v>
      </c>
      <c r="E44" s="2"/>
      <c r="F44" s="6">
        <f t="shared" si="20"/>
        <v>1.9278474018917836E-2</v>
      </c>
      <c r="G44" s="2"/>
      <c r="H44" s="7">
        <v>8270.6299999999992</v>
      </c>
      <c r="I44" s="2"/>
      <c r="J44" s="6">
        <f t="shared" si="21"/>
        <v>1.7791036551815093E-2</v>
      </c>
      <c r="K44" s="2"/>
      <c r="L44" s="7">
        <f t="shared" si="22"/>
        <v>1495.8700000000008</v>
      </c>
      <c r="M44" s="2"/>
      <c r="N44" s="6">
        <f t="shared" si="23"/>
        <v>0.18086530288502822</v>
      </c>
      <c r="O44" s="11"/>
      <c r="P44" s="7">
        <v>19036.5</v>
      </c>
      <c r="Q44" s="2"/>
      <c r="R44" s="6">
        <f t="shared" si="24"/>
        <v>1.8736064212580988E-2</v>
      </c>
      <c r="S44" s="2"/>
      <c r="T44" s="7">
        <v>12167.38</v>
      </c>
      <c r="U44" s="2"/>
      <c r="V44" s="6">
        <f t="shared" si="25"/>
        <v>1.2534652591015247E-2</v>
      </c>
      <c r="W44" s="2"/>
      <c r="X44" s="7">
        <f t="shared" si="26"/>
        <v>6869.1200000000008</v>
      </c>
      <c r="Y44" s="2"/>
      <c r="Z44" s="6">
        <f t="shared" si="27"/>
        <v>0.5645521057121583</v>
      </c>
    </row>
    <row r="45" spans="1:26" s="27" customFormat="1" outlineLevel="1" collapsed="1" x14ac:dyDescent="0.25">
      <c r="A45" s="28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5519.13</v>
      </c>
      <c r="E45" s="1"/>
      <c r="F45" s="5">
        <f t="shared" ref="F45:F65" si="28">IF(D$12=0,0,D45/D$12)</f>
        <v>1.0894425261048482E-2</v>
      </c>
      <c r="G45" s="1"/>
      <c r="H45" s="1">
        <f>SUM(OSRRefH22_2x_0)</f>
        <v>2164.77</v>
      </c>
      <c r="I45" s="1"/>
      <c r="J45" s="5">
        <f t="shared" ref="J45:J65" si="29">IF(H$12=0,0,H45/H$12)</f>
        <v>4.6566588272323583E-3</v>
      </c>
      <c r="K45" s="1"/>
      <c r="L45" s="1">
        <f t="shared" ref="L45:L65" si="30">+D45-H45</f>
        <v>3354.36</v>
      </c>
      <c r="M45" s="1"/>
      <c r="N45" s="5">
        <f t="shared" ref="N45:N65" si="31">IF(H45=0,0,L45/H45)</f>
        <v>1.5495225820756939</v>
      </c>
      <c r="O45" s="14"/>
      <c r="P45" s="1">
        <f>SUM(OSRRefP22_2x_0)</f>
        <v>6787.2</v>
      </c>
      <c r="Q45" s="1"/>
      <c r="R45" s="5">
        <f t="shared" ref="R45:R65" si="32">IF(P$12=0,0,P45/P$12)</f>
        <v>6.6800837876516E-3</v>
      </c>
      <c r="S45" s="1"/>
      <c r="T45" s="1">
        <f>SUM(OSRRefT22_2x_0)</f>
        <v>5159.7299999999996</v>
      </c>
      <c r="U45" s="1"/>
      <c r="V45" s="5">
        <f t="shared" ref="V45:V65" si="33">IF(T$12=0,0,T45/T$12)</f>
        <v>5.3154765457673805E-3</v>
      </c>
      <c r="W45" s="1"/>
      <c r="X45" s="1">
        <f t="shared" ref="X45:X65" si="34">+P45-T45</f>
        <v>1627.4700000000003</v>
      </c>
      <c r="Y45" s="1"/>
      <c r="Z45" s="5">
        <f t="shared" ref="Z45:Z65" si="35">IF(T45=0,0,X45/T45)</f>
        <v>0.31541766720351655</v>
      </c>
    </row>
    <row r="46" spans="1:26" s="24" customFormat="1" hidden="1" outlineLevel="2" x14ac:dyDescent="0.25">
      <c r="A46" s="29"/>
      <c r="B46" s="11" t="str">
        <f>CONCATENATE("          ", "6362", " - ", "ADVERTISING EXPENSE")</f>
        <v xml:space="preserve">          6362 - ADVERTISING EXPENSE</v>
      </c>
      <c r="C46" s="11"/>
      <c r="D46" s="7">
        <v>5519.13</v>
      </c>
      <c r="E46" s="2"/>
      <c r="F46" s="6">
        <f t="shared" si="28"/>
        <v>1.0894425261048482E-2</v>
      </c>
      <c r="G46" s="2"/>
      <c r="H46" s="7">
        <v>2164.77</v>
      </c>
      <c r="I46" s="2"/>
      <c r="J46" s="6">
        <f t="shared" si="29"/>
        <v>4.6566588272323583E-3</v>
      </c>
      <c r="K46" s="2"/>
      <c r="L46" s="7">
        <f t="shared" si="30"/>
        <v>3354.36</v>
      </c>
      <c r="M46" s="2"/>
      <c r="N46" s="6">
        <f t="shared" si="31"/>
        <v>1.5495225820756939</v>
      </c>
      <c r="O46" s="11"/>
      <c r="P46" s="7">
        <v>6787.2</v>
      </c>
      <c r="Q46" s="2"/>
      <c r="R46" s="6">
        <f t="shared" si="32"/>
        <v>6.6800837876516E-3</v>
      </c>
      <c r="S46" s="2"/>
      <c r="T46" s="7">
        <v>5159.7299999999996</v>
      </c>
      <c r="U46" s="2"/>
      <c r="V46" s="6">
        <f t="shared" si="33"/>
        <v>5.3154765457673805E-3</v>
      </c>
      <c r="W46" s="2"/>
      <c r="X46" s="7">
        <f t="shared" si="34"/>
        <v>1627.4700000000003</v>
      </c>
      <c r="Y46" s="2"/>
      <c r="Z46" s="6">
        <f t="shared" si="35"/>
        <v>0.31541766720351655</v>
      </c>
    </row>
    <row r="47" spans="1:26" s="27" customFormat="1" outlineLevel="1" collapsed="1" x14ac:dyDescent="0.25">
      <c r="A47" s="28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-0.28999999999999998</v>
      </c>
      <c r="E47" s="1"/>
      <c r="F47" s="5">
        <f t="shared" si="28"/>
        <v>-5.7244227363806605E-7</v>
      </c>
      <c r="G47" s="1"/>
      <c r="H47" s="1">
        <f>SUM(OSRRefH22_3x_0)</f>
        <v>-7.05</v>
      </c>
      <c r="I47" s="1"/>
      <c r="J47" s="5">
        <f t="shared" si="29"/>
        <v>-1.516532690862684E-5</v>
      </c>
      <c r="K47" s="1"/>
      <c r="L47" s="1">
        <f t="shared" si="30"/>
        <v>6.76</v>
      </c>
      <c r="M47" s="1"/>
      <c r="N47" s="5">
        <f t="shared" si="31"/>
        <v>-0.9588652482269503</v>
      </c>
      <c r="O47" s="14"/>
      <c r="P47" s="1">
        <f>SUM(OSRRefP22_3x_0)</f>
        <v>-2.39</v>
      </c>
      <c r="Q47" s="1"/>
      <c r="R47" s="5">
        <f t="shared" si="32"/>
        <v>-2.3522808009911782E-6</v>
      </c>
      <c r="S47" s="1"/>
      <c r="T47" s="1">
        <f>SUM(OSRRefT22_3x_0)</f>
        <v>-6.03</v>
      </c>
      <c r="U47" s="1"/>
      <c r="V47" s="5">
        <f t="shared" si="33"/>
        <v>-6.2120156618616298E-6</v>
      </c>
      <c r="W47" s="1"/>
      <c r="X47" s="1">
        <f t="shared" si="34"/>
        <v>3.64</v>
      </c>
      <c r="Y47" s="1"/>
      <c r="Z47" s="5">
        <f t="shared" si="35"/>
        <v>-0.60364842454394696</v>
      </c>
    </row>
    <row r="48" spans="1:26" s="24" customFormat="1" hidden="1" outlineLevel="2" x14ac:dyDescent="0.25">
      <c r="A48" s="29"/>
      <c r="B48" s="11" t="str">
        <f>CONCATENATE("          ", "6272", " - ", "CASH (OVER/SHORT)")</f>
        <v xml:space="preserve">          6272 - CASH (OVER/SHORT)</v>
      </c>
      <c r="C48" s="11"/>
      <c r="D48" s="7">
        <v>-0.28999999999999998</v>
      </c>
      <c r="E48" s="2"/>
      <c r="F48" s="6">
        <f t="shared" si="28"/>
        <v>-5.7244227363806605E-7</v>
      </c>
      <c r="G48" s="2"/>
      <c r="H48" s="7">
        <v>-7.05</v>
      </c>
      <c r="I48" s="2"/>
      <c r="J48" s="6">
        <f t="shared" si="29"/>
        <v>-1.516532690862684E-5</v>
      </c>
      <c r="K48" s="2"/>
      <c r="L48" s="7">
        <f t="shared" si="30"/>
        <v>6.76</v>
      </c>
      <c r="M48" s="2"/>
      <c r="N48" s="6">
        <f t="shared" si="31"/>
        <v>-0.9588652482269503</v>
      </c>
      <c r="O48" s="11"/>
      <c r="P48" s="7">
        <v>-2.39</v>
      </c>
      <c r="Q48" s="2"/>
      <c r="R48" s="6">
        <f t="shared" si="32"/>
        <v>-2.3522808009911782E-6</v>
      </c>
      <c r="S48" s="2"/>
      <c r="T48" s="7">
        <v>-6.03</v>
      </c>
      <c r="U48" s="2"/>
      <c r="V48" s="6">
        <f t="shared" si="33"/>
        <v>-6.2120156618616298E-6</v>
      </c>
      <c r="W48" s="2"/>
      <c r="X48" s="7">
        <f t="shared" si="34"/>
        <v>3.64</v>
      </c>
      <c r="Y48" s="2"/>
      <c r="Z48" s="6">
        <f t="shared" si="35"/>
        <v>-0.60364842454394696</v>
      </c>
    </row>
    <row r="49" spans="1:26" s="27" customFormat="1" outlineLevel="1" collapsed="1" x14ac:dyDescent="0.25">
      <c r="A49" s="28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187.39</v>
      </c>
      <c r="E49" s="1"/>
      <c r="F49" s="5">
        <f t="shared" si="28"/>
        <v>3.6989640571392137E-4</v>
      </c>
      <c r="G49" s="1"/>
      <c r="H49" s="1">
        <f>SUM(OSRRefH22_4x_0)</f>
        <v>229.62</v>
      </c>
      <c r="I49" s="1"/>
      <c r="J49" s="5">
        <f t="shared" si="29"/>
        <v>4.9393792407927595E-4</v>
      </c>
      <c r="K49" s="1"/>
      <c r="L49" s="1">
        <f t="shared" si="30"/>
        <v>-42.230000000000018</v>
      </c>
      <c r="M49" s="1"/>
      <c r="N49" s="5">
        <f t="shared" si="31"/>
        <v>-0.18391255117150082</v>
      </c>
      <c r="O49" s="14"/>
      <c r="P49" s="1">
        <f>SUM(OSRRefP22_4x_0)</f>
        <v>560.77</v>
      </c>
      <c r="Q49" s="1"/>
      <c r="R49" s="5">
        <f t="shared" si="32"/>
        <v>5.5191987647356614E-4</v>
      </c>
      <c r="S49" s="1"/>
      <c r="T49" s="1">
        <f>SUM(OSRRefT22_4x_0)</f>
        <v>646.65</v>
      </c>
      <c r="U49" s="1"/>
      <c r="V49" s="5">
        <f t="shared" si="33"/>
        <v>6.6616914224590753E-4</v>
      </c>
      <c r="W49" s="1"/>
      <c r="X49" s="1">
        <f t="shared" si="34"/>
        <v>-85.88</v>
      </c>
      <c r="Y49" s="1"/>
      <c r="Z49" s="5">
        <f t="shared" si="35"/>
        <v>-0.13280754658625221</v>
      </c>
    </row>
    <row r="50" spans="1:26" s="24" customFormat="1" hidden="1" outlineLevel="2" x14ac:dyDescent="0.25">
      <c r="A50" s="29"/>
      <c r="B50" s="11" t="str">
        <f>CONCATENATE("          ", "6381", " - ", "BANK/CREDIT CARD FEES")</f>
        <v xml:space="preserve">          6381 - BANK/CREDIT CARD FEES</v>
      </c>
      <c r="C50" s="11"/>
      <c r="D50" s="7">
        <v>187.39</v>
      </c>
      <c r="E50" s="2"/>
      <c r="F50" s="6">
        <f t="shared" si="28"/>
        <v>3.6989640571392137E-4</v>
      </c>
      <c r="G50" s="2"/>
      <c r="H50" s="7">
        <v>229.62</v>
      </c>
      <c r="I50" s="2"/>
      <c r="J50" s="6">
        <f t="shared" si="29"/>
        <v>4.9393792407927595E-4</v>
      </c>
      <c r="K50" s="2"/>
      <c r="L50" s="7">
        <f t="shared" si="30"/>
        <v>-42.230000000000018</v>
      </c>
      <c r="M50" s="2"/>
      <c r="N50" s="6">
        <f t="shared" si="31"/>
        <v>-0.18391255117150082</v>
      </c>
      <c r="O50" s="11"/>
      <c r="P50" s="7">
        <v>560.77</v>
      </c>
      <c r="Q50" s="2"/>
      <c r="R50" s="6">
        <f t="shared" si="32"/>
        <v>5.5191987647356614E-4</v>
      </c>
      <c r="S50" s="2"/>
      <c r="T50" s="7">
        <v>646.65</v>
      </c>
      <c r="U50" s="2"/>
      <c r="V50" s="6">
        <f t="shared" si="33"/>
        <v>6.6616914224590753E-4</v>
      </c>
      <c r="W50" s="2"/>
      <c r="X50" s="7">
        <f t="shared" si="34"/>
        <v>-85.88</v>
      </c>
      <c r="Y50" s="2"/>
      <c r="Z50" s="6">
        <f t="shared" si="35"/>
        <v>-0.13280754658625221</v>
      </c>
    </row>
    <row r="51" spans="1:26" s="27" customFormat="1" outlineLevel="1" collapsed="1" x14ac:dyDescent="0.25">
      <c r="A51" s="28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SUM(OSRRefD22_5x_0)</f>
        <v>7780.75</v>
      </c>
      <c r="E51" s="1"/>
      <c r="F51" s="5">
        <f t="shared" si="28"/>
        <v>1.5358724898653043E-2</v>
      </c>
      <c r="G51" s="1"/>
      <c r="H51" s="1">
        <f>SUM(OSRRefH22_5x_0)</f>
        <v>6554.6</v>
      </c>
      <c r="I51" s="1"/>
      <c r="J51" s="5">
        <f t="shared" si="29"/>
        <v>1.4099666915643332E-2</v>
      </c>
      <c r="K51" s="1"/>
      <c r="L51" s="1">
        <f t="shared" si="30"/>
        <v>1226.1499999999996</v>
      </c>
      <c r="M51" s="1"/>
      <c r="N51" s="5">
        <f t="shared" si="31"/>
        <v>0.18706709791596735</v>
      </c>
      <c r="O51" s="14"/>
      <c r="P51" s="1">
        <f>SUM(OSRRefP22_5x_0)</f>
        <v>7780.75</v>
      </c>
      <c r="Q51" s="1"/>
      <c r="R51" s="5">
        <f t="shared" si="32"/>
        <v>7.6579534905071587E-3</v>
      </c>
      <c r="S51" s="1"/>
      <c r="T51" s="1">
        <f>SUM(OSRRefT22_5x_0)</f>
        <v>6554.6</v>
      </c>
      <c r="U51" s="1"/>
      <c r="V51" s="5">
        <f t="shared" si="33"/>
        <v>6.7524507225934062E-3</v>
      </c>
      <c r="W51" s="1"/>
      <c r="X51" s="1">
        <f t="shared" si="34"/>
        <v>1226.1499999999996</v>
      </c>
      <c r="Y51" s="1"/>
      <c r="Z51" s="5">
        <f t="shared" si="35"/>
        <v>0.18706709791596735</v>
      </c>
    </row>
    <row r="52" spans="1:26" s="24" customFormat="1" hidden="1" outlineLevel="2" x14ac:dyDescent="0.25">
      <c r="A52" s="29"/>
      <c r="B52" s="11" t="str">
        <f>CONCATENATE("          ", "6399", " - ", "DONATION-ON CAMPUS")</f>
        <v xml:space="preserve">          6399 - DONATION-ON CAMPUS</v>
      </c>
      <c r="C52" s="11"/>
      <c r="D52" s="7">
        <v>7780.75</v>
      </c>
      <c r="E52" s="2"/>
      <c r="F52" s="6">
        <f t="shared" si="28"/>
        <v>1.5358724898653043E-2</v>
      </c>
      <c r="G52" s="2"/>
      <c r="H52" s="7">
        <v>6554.6</v>
      </c>
      <c r="I52" s="2"/>
      <c r="J52" s="6">
        <f t="shared" si="29"/>
        <v>1.4099666915643332E-2</v>
      </c>
      <c r="K52" s="2"/>
      <c r="L52" s="7">
        <f t="shared" si="30"/>
        <v>1226.1499999999996</v>
      </c>
      <c r="M52" s="2"/>
      <c r="N52" s="6">
        <f t="shared" si="31"/>
        <v>0.18706709791596735</v>
      </c>
      <c r="O52" s="11"/>
      <c r="P52" s="7">
        <v>7780.75</v>
      </c>
      <c r="Q52" s="2"/>
      <c r="R52" s="6">
        <f t="shared" si="32"/>
        <v>7.6579534905071587E-3</v>
      </c>
      <c r="S52" s="2"/>
      <c r="T52" s="7">
        <v>6554.6</v>
      </c>
      <c r="U52" s="2"/>
      <c r="V52" s="6">
        <f t="shared" si="33"/>
        <v>6.7524507225934062E-3</v>
      </c>
      <c r="W52" s="2"/>
      <c r="X52" s="7">
        <f t="shared" si="34"/>
        <v>1226.1499999999996</v>
      </c>
      <c r="Y52" s="2"/>
      <c r="Z52" s="6">
        <f t="shared" si="35"/>
        <v>0.18706709791596735</v>
      </c>
    </row>
    <row r="53" spans="1:26" s="27" customFormat="1" outlineLevel="1" collapsed="1" x14ac:dyDescent="0.25">
      <c r="A53" s="28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SUM(OSRRefD22_6x_0)</f>
        <v>113.06</v>
      </c>
      <c r="E53" s="1"/>
      <c r="F53" s="5">
        <f t="shared" si="28"/>
        <v>2.2317352916386121E-4</v>
      </c>
      <c r="G53" s="1"/>
      <c r="H53" s="1">
        <f>SUM(OSRRefH22_6x_0)</f>
        <v>65</v>
      </c>
      <c r="I53" s="1"/>
      <c r="J53" s="5">
        <f t="shared" si="29"/>
        <v>1.3982216298733967E-4</v>
      </c>
      <c r="K53" s="1"/>
      <c r="L53" s="1">
        <f t="shared" si="30"/>
        <v>48.06</v>
      </c>
      <c r="M53" s="1"/>
      <c r="N53" s="5">
        <f t="shared" si="31"/>
        <v>0.73938461538461542</v>
      </c>
      <c r="O53" s="14"/>
      <c r="P53" s="1">
        <f>SUM(OSRRefP22_6x_0)</f>
        <v>113.06</v>
      </c>
      <c r="Q53" s="1"/>
      <c r="R53" s="5">
        <f t="shared" si="32"/>
        <v>1.1127567671969147E-4</v>
      </c>
      <c r="S53" s="1"/>
      <c r="T53" s="1">
        <f>SUM(OSRRefT22_6x_0)</f>
        <v>143.11000000000001</v>
      </c>
      <c r="U53" s="1"/>
      <c r="V53" s="5">
        <f t="shared" si="33"/>
        <v>1.4742977800481224E-4</v>
      </c>
      <c r="W53" s="1"/>
      <c r="X53" s="1">
        <f t="shared" si="34"/>
        <v>-30.050000000000011</v>
      </c>
      <c r="Y53" s="1"/>
      <c r="Z53" s="5">
        <f t="shared" si="35"/>
        <v>-0.20997833834113624</v>
      </c>
    </row>
    <row r="54" spans="1:26" s="24" customFormat="1" hidden="1" outlineLevel="2" x14ac:dyDescent="0.25">
      <c r="A54" s="29"/>
      <c r="B54" s="11" t="str">
        <f>CONCATENATE("          ", "6277", " - ", "EMPLOYEE APPRECIATION")</f>
        <v xml:space="preserve">          6277 - EMPLOYEE APPRECIATION</v>
      </c>
      <c r="C54" s="11"/>
      <c r="D54" s="7">
        <v>113.06</v>
      </c>
      <c r="E54" s="2"/>
      <c r="F54" s="6">
        <f t="shared" si="28"/>
        <v>2.2317352916386121E-4</v>
      </c>
      <c r="G54" s="2"/>
      <c r="H54" s="7">
        <v>65</v>
      </c>
      <c r="I54" s="2"/>
      <c r="J54" s="6">
        <f t="shared" si="29"/>
        <v>1.3982216298733967E-4</v>
      </c>
      <c r="K54" s="2"/>
      <c r="L54" s="7">
        <f t="shared" si="30"/>
        <v>48.06</v>
      </c>
      <c r="M54" s="2"/>
      <c r="N54" s="6">
        <f t="shared" si="31"/>
        <v>0.73938461538461542</v>
      </c>
      <c r="O54" s="11"/>
      <c r="P54" s="7">
        <v>113.06</v>
      </c>
      <c r="Q54" s="2"/>
      <c r="R54" s="6">
        <f t="shared" si="32"/>
        <v>1.1127567671969147E-4</v>
      </c>
      <c r="S54" s="2"/>
      <c r="T54" s="7">
        <v>143.11000000000001</v>
      </c>
      <c r="U54" s="2"/>
      <c r="V54" s="6">
        <f t="shared" si="33"/>
        <v>1.4742977800481224E-4</v>
      </c>
      <c r="W54" s="2"/>
      <c r="X54" s="7">
        <f t="shared" si="34"/>
        <v>-30.050000000000011</v>
      </c>
      <c r="Y54" s="2"/>
      <c r="Z54" s="6">
        <f t="shared" si="35"/>
        <v>-0.20997833834113624</v>
      </c>
    </row>
    <row r="55" spans="1:26" s="27" customFormat="1" outlineLevel="1" collapsed="1" x14ac:dyDescent="0.25">
      <c r="A55" s="28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SUM(OSRRefD22_7x_0)</f>
        <v>2449.44</v>
      </c>
      <c r="E55" s="1"/>
      <c r="F55" s="5">
        <f t="shared" si="28"/>
        <v>4.8350448370345677E-3</v>
      </c>
      <c r="G55" s="1"/>
      <c r="H55" s="1">
        <f>SUM(OSRRefH22_7x_0)</f>
        <v>596.79999999999995</v>
      </c>
      <c r="I55" s="1"/>
      <c r="J55" s="5">
        <f t="shared" si="29"/>
        <v>1.2837825672437585E-3</v>
      </c>
      <c r="K55" s="1"/>
      <c r="L55" s="1">
        <f t="shared" si="30"/>
        <v>1852.64</v>
      </c>
      <c r="M55" s="1"/>
      <c r="N55" s="5">
        <f t="shared" si="31"/>
        <v>3.1042895442359253</v>
      </c>
      <c r="O55" s="14"/>
      <c r="P55" s="1">
        <f>SUM(OSRRefP22_7x_0)</f>
        <v>2701.07</v>
      </c>
      <c r="Q55" s="1"/>
      <c r="R55" s="5">
        <f t="shared" si="32"/>
        <v>2.6584414657461262E-3</v>
      </c>
      <c r="S55" s="1"/>
      <c r="T55" s="1">
        <f>SUM(OSRRefT22_7x_0)</f>
        <v>914.33</v>
      </c>
      <c r="U55" s="1"/>
      <c r="V55" s="5">
        <f t="shared" si="33"/>
        <v>9.4192906801159927E-4</v>
      </c>
      <c r="W55" s="1"/>
      <c r="X55" s="1">
        <f t="shared" si="34"/>
        <v>1786.7400000000002</v>
      </c>
      <c r="Y55" s="1"/>
      <c r="Z55" s="5">
        <f t="shared" si="35"/>
        <v>1.9541522207518076</v>
      </c>
    </row>
    <row r="56" spans="1:26" s="24" customFormat="1" hidden="1" outlineLevel="2" x14ac:dyDescent="0.25">
      <c r="A56" s="29"/>
      <c r="B56" s="11" t="str">
        <f>CONCATENATE("          ", "6351", " - ", "EQUIPMENT RENTAL")</f>
        <v xml:space="preserve">          6351 - EQUIPMENT RENTAL</v>
      </c>
      <c r="C56" s="11"/>
      <c r="D56" s="7">
        <v>2449.44</v>
      </c>
      <c r="E56" s="2"/>
      <c r="F56" s="6">
        <f t="shared" si="28"/>
        <v>4.8350448370345677E-3</v>
      </c>
      <c r="G56" s="2"/>
      <c r="H56" s="7">
        <v>596.79999999999995</v>
      </c>
      <c r="I56" s="2"/>
      <c r="J56" s="6">
        <f t="shared" si="29"/>
        <v>1.2837825672437585E-3</v>
      </c>
      <c r="K56" s="2"/>
      <c r="L56" s="7">
        <f t="shared" si="30"/>
        <v>1852.64</v>
      </c>
      <c r="M56" s="2"/>
      <c r="N56" s="6">
        <f t="shared" si="31"/>
        <v>3.1042895442359253</v>
      </c>
      <c r="O56" s="11"/>
      <c r="P56" s="7">
        <v>2701.07</v>
      </c>
      <c r="Q56" s="2"/>
      <c r="R56" s="6">
        <f t="shared" si="32"/>
        <v>2.6584414657461262E-3</v>
      </c>
      <c r="S56" s="2"/>
      <c r="T56" s="7">
        <v>914.33</v>
      </c>
      <c r="U56" s="2"/>
      <c r="V56" s="6">
        <f t="shared" si="33"/>
        <v>9.4192906801159927E-4</v>
      </c>
      <c r="W56" s="2"/>
      <c r="X56" s="7">
        <f t="shared" si="34"/>
        <v>1786.7400000000002</v>
      </c>
      <c r="Y56" s="2"/>
      <c r="Z56" s="6">
        <f t="shared" si="35"/>
        <v>1.9541522207518076</v>
      </c>
    </row>
    <row r="57" spans="1:26" s="27" customFormat="1" outlineLevel="1" collapsed="1" x14ac:dyDescent="0.25">
      <c r="A57" s="28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SUM(OSRRefD22_8x_0)</f>
        <v>485</v>
      </c>
      <c r="E57" s="1"/>
      <c r="F57" s="5">
        <f t="shared" si="28"/>
        <v>9.5736035418780016E-4</v>
      </c>
      <c r="G57" s="1"/>
      <c r="H57" s="1">
        <f>SUM(OSRRefH22_8x_0)</f>
        <v>343.27</v>
      </c>
      <c r="I57" s="1"/>
      <c r="J57" s="5">
        <f t="shared" si="29"/>
        <v>7.3841159828713979E-4</v>
      </c>
      <c r="K57" s="1"/>
      <c r="L57" s="1">
        <f t="shared" si="30"/>
        <v>141.73000000000002</v>
      </c>
      <c r="M57" s="1"/>
      <c r="N57" s="5">
        <f t="shared" si="31"/>
        <v>0.41288198793952291</v>
      </c>
      <c r="O57" s="14"/>
      <c r="P57" s="1">
        <f>SUM(OSRRefP22_8x_0)</f>
        <v>6110.86</v>
      </c>
      <c r="Q57" s="1"/>
      <c r="R57" s="5">
        <f t="shared" si="32"/>
        <v>6.0144178475083476E-3</v>
      </c>
      <c r="S57" s="1"/>
      <c r="T57" s="1">
        <f>SUM(OSRRefT22_8x_0)</f>
        <v>7028.27</v>
      </c>
      <c r="U57" s="1"/>
      <c r="V57" s="5">
        <f t="shared" si="33"/>
        <v>7.2404184603303877E-3</v>
      </c>
      <c r="W57" s="1"/>
      <c r="X57" s="1">
        <f t="shared" si="34"/>
        <v>-917.41000000000076</v>
      </c>
      <c r="Y57" s="1"/>
      <c r="Z57" s="5">
        <f t="shared" si="35"/>
        <v>-0.13053141100156948</v>
      </c>
    </row>
    <row r="58" spans="1:26" s="24" customFormat="1" hidden="1" outlineLevel="2" x14ac:dyDescent="0.25">
      <c r="A58" s="29"/>
      <c r="B58" s="11" t="str">
        <f>CONCATENATE("          ", "6279", " - ", "GENERAL EXPENSE")</f>
        <v xml:space="preserve">          6279 - GENERAL EXPENSE</v>
      </c>
      <c r="C58" s="11"/>
      <c r="D58" s="7">
        <v>485</v>
      </c>
      <c r="E58" s="2"/>
      <c r="F58" s="6">
        <f t="shared" si="28"/>
        <v>9.5736035418780016E-4</v>
      </c>
      <c r="G58" s="2"/>
      <c r="H58" s="7">
        <v>343.27</v>
      </c>
      <c r="I58" s="2"/>
      <c r="J58" s="6">
        <f t="shared" si="29"/>
        <v>7.3841159828713979E-4</v>
      </c>
      <c r="K58" s="2"/>
      <c r="L58" s="7">
        <f t="shared" si="30"/>
        <v>141.73000000000002</v>
      </c>
      <c r="M58" s="2"/>
      <c r="N58" s="6">
        <f t="shared" si="31"/>
        <v>0.41288198793952291</v>
      </c>
      <c r="O58" s="11"/>
      <c r="P58" s="7">
        <v>6110.86</v>
      </c>
      <c r="Q58" s="2"/>
      <c r="R58" s="6">
        <f t="shared" si="32"/>
        <v>6.0144178475083476E-3</v>
      </c>
      <c r="S58" s="2"/>
      <c r="T58" s="7">
        <v>7028.27</v>
      </c>
      <c r="U58" s="2"/>
      <c r="V58" s="6">
        <f t="shared" si="33"/>
        <v>7.2404184603303877E-3</v>
      </c>
      <c r="W58" s="2"/>
      <c r="X58" s="7">
        <f t="shared" si="34"/>
        <v>-917.41000000000076</v>
      </c>
      <c r="Y58" s="2"/>
      <c r="Z58" s="6">
        <f t="shared" si="35"/>
        <v>-0.13053141100156948</v>
      </c>
    </row>
    <row r="59" spans="1:26" s="27" customFormat="1" outlineLevel="1" collapsed="1" x14ac:dyDescent="0.25">
      <c r="A59" s="28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SUM(OSRRefD22_9x_0)</f>
        <v>5.9</v>
      </c>
      <c r="E59" s="1"/>
      <c r="F59" s="5">
        <f t="shared" si="28"/>
        <v>1.1646239360222725E-5</v>
      </c>
      <c r="G59" s="1"/>
      <c r="H59" s="1">
        <f>SUM(OSRRefH22_9x_0)</f>
        <v>4.93</v>
      </c>
      <c r="I59" s="1"/>
      <c r="J59" s="5">
        <f t="shared" si="29"/>
        <v>1.0604973285039762E-5</v>
      </c>
      <c r="K59" s="1"/>
      <c r="L59" s="1">
        <f t="shared" si="30"/>
        <v>0.97000000000000064</v>
      </c>
      <c r="M59" s="1"/>
      <c r="N59" s="5">
        <f t="shared" si="31"/>
        <v>0.19675456389452348</v>
      </c>
      <c r="O59" s="14"/>
      <c r="P59" s="1">
        <f>SUM(OSRRefP22_9x_0)</f>
        <v>11.8</v>
      </c>
      <c r="Q59" s="1"/>
      <c r="R59" s="5">
        <f t="shared" si="32"/>
        <v>1.1613771318701215E-5</v>
      </c>
      <c r="S59" s="1"/>
      <c r="T59" s="1">
        <f>SUM(OSRRefT22_9x_0)</f>
        <v>9.86</v>
      </c>
      <c r="U59" s="1"/>
      <c r="V59" s="5">
        <f t="shared" si="33"/>
        <v>1.0157624282911386E-5</v>
      </c>
      <c r="W59" s="1"/>
      <c r="X59" s="1">
        <f t="shared" si="34"/>
        <v>1.9400000000000013</v>
      </c>
      <c r="Y59" s="1"/>
      <c r="Z59" s="5">
        <f t="shared" si="35"/>
        <v>0.19675456389452348</v>
      </c>
    </row>
    <row r="60" spans="1:26" s="24" customFormat="1" hidden="1" outlineLevel="2" x14ac:dyDescent="0.25">
      <c r="A60" s="29"/>
      <c r="B60" s="11" t="str">
        <f>CONCATENATE("          ", "6314", " - ", "LIABILITY INSURANCE")</f>
        <v xml:space="preserve">          6314 - LIABILITY INSURANCE</v>
      </c>
      <c r="C60" s="11"/>
      <c r="D60" s="7">
        <v>5.9</v>
      </c>
      <c r="E60" s="2"/>
      <c r="F60" s="6">
        <f t="shared" si="28"/>
        <v>1.1646239360222725E-5</v>
      </c>
      <c r="G60" s="2"/>
      <c r="H60" s="7">
        <v>4.93</v>
      </c>
      <c r="I60" s="2"/>
      <c r="J60" s="6">
        <f t="shared" si="29"/>
        <v>1.0604973285039762E-5</v>
      </c>
      <c r="K60" s="2"/>
      <c r="L60" s="7">
        <f t="shared" si="30"/>
        <v>0.97000000000000064</v>
      </c>
      <c r="M60" s="2"/>
      <c r="N60" s="6">
        <f t="shared" si="31"/>
        <v>0.19675456389452348</v>
      </c>
      <c r="O60" s="11"/>
      <c r="P60" s="7">
        <v>11.8</v>
      </c>
      <c r="Q60" s="2"/>
      <c r="R60" s="6">
        <f t="shared" si="32"/>
        <v>1.1613771318701215E-5</v>
      </c>
      <c r="S60" s="2"/>
      <c r="T60" s="7">
        <v>9.86</v>
      </c>
      <c r="U60" s="2"/>
      <c r="V60" s="6">
        <f t="shared" si="33"/>
        <v>1.0157624282911386E-5</v>
      </c>
      <c r="W60" s="2"/>
      <c r="X60" s="7">
        <f t="shared" si="34"/>
        <v>1.9400000000000013</v>
      </c>
      <c r="Y60" s="2"/>
      <c r="Z60" s="6">
        <f t="shared" si="35"/>
        <v>0.19675456389452348</v>
      </c>
    </row>
    <row r="61" spans="1:26" s="27" customFormat="1" outlineLevel="1" collapsed="1" x14ac:dyDescent="0.25">
      <c r="A61" s="28"/>
      <c r="B61" s="14" t="str">
        <f>CONCATENATE("     ","R/H Commissions                                   ")</f>
        <v xml:space="preserve">     R/H Commissions                                   </v>
      </c>
      <c r="C61" s="14"/>
      <c r="D61" s="1">
        <f>SUM(OSRRefD22_10x_0)</f>
        <v>32320.179999999997</v>
      </c>
      <c r="E61" s="1"/>
      <c r="F61" s="5">
        <f t="shared" si="28"/>
        <v>6.3798059736522583E-2</v>
      </c>
      <c r="G61" s="1"/>
      <c r="H61" s="1">
        <f>SUM(OSRRefH22_10x_0)</f>
        <v>36735.14</v>
      </c>
      <c r="I61" s="1"/>
      <c r="J61" s="5">
        <f t="shared" si="29"/>
        <v>7.9021334345272934E-2</v>
      </c>
      <c r="K61" s="1"/>
      <c r="L61" s="1">
        <f t="shared" si="30"/>
        <v>-4414.9600000000028</v>
      </c>
      <c r="M61" s="1"/>
      <c r="N61" s="5">
        <f t="shared" si="31"/>
        <v>-0.12018356265962245</v>
      </c>
      <c r="O61" s="14"/>
      <c r="P61" s="1">
        <f>SUM(OSRRefP22_10x_0)</f>
        <v>72032.83</v>
      </c>
      <c r="Q61" s="1"/>
      <c r="R61" s="5">
        <f t="shared" si="32"/>
        <v>7.0896001276176304E-2</v>
      </c>
      <c r="S61" s="1"/>
      <c r="T61" s="1">
        <f>SUM(OSRRefT22_10x_0)</f>
        <v>77201</v>
      </c>
      <c r="U61" s="1"/>
      <c r="V61" s="5">
        <f t="shared" si="33"/>
        <v>7.9531313617144217E-2</v>
      </c>
      <c r="W61" s="1"/>
      <c r="X61" s="1">
        <f t="shared" si="34"/>
        <v>-5168.1699999999983</v>
      </c>
      <c r="Y61" s="1"/>
      <c r="Z61" s="5">
        <f t="shared" si="35"/>
        <v>-6.6944340099221483E-2</v>
      </c>
    </row>
    <row r="62" spans="1:26" s="24" customFormat="1" hidden="1" outlineLevel="2" x14ac:dyDescent="0.25">
      <c r="A62" s="29"/>
      <c r="B62" s="11" t="str">
        <f>CONCATENATE("          ", "6387", " - ", "COMMISSION DUE HOUSING")</f>
        <v xml:space="preserve">          6387 - COMMISSION DUE HOUSING</v>
      </c>
      <c r="C62" s="11"/>
      <c r="D62" s="7">
        <v>32320.179999999997</v>
      </c>
      <c r="E62" s="2"/>
      <c r="F62" s="6">
        <f t="shared" si="28"/>
        <v>6.3798059736522583E-2</v>
      </c>
      <c r="G62" s="2"/>
      <c r="H62" s="7">
        <v>36735.14</v>
      </c>
      <c r="I62" s="2"/>
      <c r="J62" s="6">
        <f t="shared" si="29"/>
        <v>7.9021334345272934E-2</v>
      </c>
      <c r="K62" s="2"/>
      <c r="L62" s="7">
        <f t="shared" si="30"/>
        <v>-4414.9600000000028</v>
      </c>
      <c r="M62" s="2"/>
      <c r="N62" s="6">
        <f t="shared" si="31"/>
        <v>-0.12018356265962245</v>
      </c>
      <c r="O62" s="11"/>
      <c r="P62" s="7">
        <v>72032.83</v>
      </c>
      <c r="Q62" s="2"/>
      <c r="R62" s="6">
        <f t="shared" si="32"/>
        <v>7.0896001276176304E-2</v>
      </c>
      <c r="S62" s="2"/>
      <c r="T62" s="7">
        <v>77201</v>
      </c>
      <c r="U62" s="2"/>
      <c r="V62" s="6">
        <f t="shared" si="33"/>
        <v>7.9531313617144217E-2</v>
      </c>
      <c r="W62" s="2"/>
      <c r="X62" s="7">
        <f t="shared" si="34"/>
        <v>-5168.1699999999983</v>
      </c>
      <c r="Y62" s="2"/>
      <c r="Z62" s="6">
        <f t="shared" si="35"/>
        <v>-6.6944340099221483E-2</v>
      </c>
    </row>
    <row r="63" spans="1:26" s="27" customFormat="1" outlineLevel="1" collapsed="1" x14ac:dyDescent="0.25">
      <c r="A63" s="28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SUM(OSRRefD22_11x_0)</f>
        <v>20.39</v>
      </c>
      <c r="E63" s="1"/>
      <c r="F63" s="5">
        <f t="shared" si="28"/>
        <v>4.0248613653379886E-5</v>
      </c>
      <c r="G63" s="1"/>
      <c r="H63" s="1">
        <f>SUM(OSRRefH22_11x_0)</f>
        <v>1767.9499999999998</v>
      </c>
      <c r="I63" s="1"/>
      <c r="J63" s="5">
        <f t="shared" si="29"/>
        <v>3.8030552777456482E-3</v>
      </c>
      <c r="K63" s="1"/>
      <c r="L63" s="1">
        <f t="shared" si="30"/>
        <v>-1747.5599999999997</v>
      </c>
      <c r="M63" s="1"/>
      <c r="N63" s="5">
        <f t="shared" si="31"/>
        <v>-0.98846686840691189</v>
      </c>
      <c r="O63" s="14"/>
      <c r="P63" s="1">
        <f>SUM(OSRRefP22_11x_0)</f>
        <v>29.21</v>
      </c>
      <c r="Q63" s="1"/>
      <c r="R63" s="5">
        <f t="shared" si="32"/>
        <v>2.8749005103327329E-5</v>
      </c>
      <c r="S63" s="1"/>
      <c r="T63" s="1">
        <f>SUM(OSRRefT22_11x_0)</f>
        <v>1840.1699999999998</v>
      </c>
      <c r="U63" s="1"/>
      <c r="V63" s="5">
        <f t="shared" si="33"/>
        <v>1.8957155655867186E-3</v>
      </c>
      <c r="W63" s="1"/>
      <c r="X63" s="1">
        <f t="shared" si="34"/>
        <v>-1810.9599999999998</v>
      </c>
      <c r="Y63" s="1"/>
      <c r="Z63" s="5">
        <f t="shared" si="35"/>
        <v>-0.98412646657645764</v>
      </c>
    </row>
    <row r="64" spans="1:26" s="24" customFormat="1" hidden="1" outlineLevel="2" x14ac:dyDescent="0.25">
      <c r="A64" s="29"/>
      <c r="B64" s="11" t="str">
        <f>CONCATENATE("          ", "6373", " - ", "MAINTENANCE CONTRACTS")</f>
        <v xml:space="preserve">          6373 - MAINTENANCE CONTRACTS</v>
      </c>
      <c r="C64" s="11"/>
      <c r="D64" s="7">
        <v>20.39</v>
      </c>
      <c r="E64" s="2"/>
      <c r="F64" s="6">
        <f t="shared" si="28"/>
        <v>4.0248613653379886E-5</v>
      </c>
      <c r="G64" s="2"/>
      <c r="H64" s="7">
        <v>16.84</v>
      </c>
      <c r="I64" s="2"/>
      <c r="J64" s="6">
        <f t="shared" si="29"/>
        <v>3.6224695764719998E-5</v>
      </c>
      <c r="K64" s="2"/>
      <c r="L64" s="7">
        <f t="shared" si="30"/>
        <v>3.5500000000000007</v>
      </c>
      <c r="M64" s="2"/>
      <c r="N64" s="6">
        <f t="shared" si="31"/>
        <v>0.2108076009501188</v>
      </c>
      <c r="O64" s="11"/>
      <c r="P64" s="7">
        <v>29.21</v>
      </c>
      <c r="Q64" s="2"/>
      <c r="R64" s="6">
        <f t="shared" si="32"/>
        <v>2.8749005103327329E-5</v>
      </c>
      <c r="S64" s="2"/>
      <c r="T64" s="7">
        <v>31.57</v>
      </c>
      <c r="U64" s="2"/>
      <c r="V64" s="6">
        <f t="shared" si="33"/>
        <v>3.2522941035650355E-5</v>
      </c>
      <c r="W64" s="2"/>
      <c r="X64" s="7">
        <f t="shared" si="34"/>
        <v>-2.3599999999999994</v>
      </c>
      <c r="Y64" s="2"/>
      <c r="Z64" s="6">
        <f t="shared" si="35"/>
        <v>-7.4754513778904005E-2</v>
      </c>
    </row>
    <row r="65" spans="1:26" s="24" customFormat="1" hidden="1" outlineLevel="2" x14ac:dyDescent="0.25">
      <c r="A65" s="29"/>
      <c r="B65" s="11" t="str">
        <f>CONCATENATE("          ", "6375", " - ", "OUTSIDE REPAIRS &amp; MAINTENANCE")</f>
        <v xml:space="preserve">          6375 - OUTSIDE REPAIRS &amp; MAINTENANCE</v>
      </c>
      <c r="C65" s="11"/>
      <c r="D65" s="7"/>
      <c r="E65" s="2"/>
      <c r="F65" s="6">
        <f t="shared" si="28"/>
        <v>0</v>
      </c>
      <c r="G65" s="2"/>
      <c r="H65" s="7">
        <v>1751.11</v>
      </c>
      <c r="I65" s="2"/>
      <c r="J65" s="6">
        <f t="shared" si="29"/>
        <v>3.7668305819809284E-3</v>
      </c>
      <c r="K65" s="2"/>
      <c r="L65" s="7">
        <f t="shared" si="30"/>
        <v>-1751.11</v>
      </c>
      <c r="M65" s="2"/>
      <c r="N65" s="6">
        <f t="shared" si="31"/>
        <v>-1</v>
      </c>
      <c r="O65" s="11"/>
      <c r="P65" s="7"/>
      <c r="Q65" s="2"/>
      <c r="R65" s="6">
        <f t="shared" si="32"/>
        <v>0</v>
      </c>
      <c r="S65" s="2"/>
      <c r="T65" s="7">
        <v>1808.6</v>
      </c>
      <c r="U65" s="2"/>
      <c r="V65" s="6">
        <f t="shared" si="33"/>
        <v>1.8631926245510685E-3</v>
      </c>
      <c r="W65" s="2"/>
      <c r="X65" s="7">
        <f t="shared" si="34"/>
        <v>-1808.6</v>
      </c>
      <c r="Y65" s="2"/>
      <c r="Z65" s="6">
        <f t="shared" si="35"/>
        <v>-1</v>
      </c>
    </row>
    <row r="66" spans="1:26" s="27" customFormat="1" outlineLevel="1" collapsed="1" x14ac:dyDescent="0.25">
      <c r="A66" s="28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SUM(OSRRefD22_12x_0)</f>
        <v>18115.54</v>
      </c>
      <c r="E66" s="1"/>
      <c r="F66" s="5">
        <f t="shared" ref="F66:F69" si="36">IF(D$12=0,0,D66/D$12)</f>
        <v>3.5758968640625284E-2</v>
      </c>
      <c r="G66" s="1"/>
      <c r="H66" s="1">
        <f>SUM(OSRRefH22_12x_0)</f>
        <v>10397.32</v>
      </c>
      <c r="I66" s="1"/>
      <c r="J66" s="5">
        <f t="shared" ref="J66:J69" si="37">IF(H$12=0,0,H66/H$12)</f>
        <v>2.2365781102638867E-2</v>
      </c>
      <c r="K66" s="1"/>
      <c r="L66" s="1">
        <f t="shared" ref="L66:L69" si="38">+D66-H66</f>
        <v>7718.2200000000012</v>
      </c>
      <c r="M66" s="1"/>
      <c r="N66" s="5">
        <f t="shared" ref="N66:N69" si="39">IF(H66=0,0,L66/H66)</f>
        <v>0.74232783063327867</v>
      </c>
      <c r="O66" s="14"/>
      <c r="P66" s="1">
        <f>SUM(OSRRefP22_12x_0)</f>
        <v>37677.18</v>
      </c>
      <c r="Q66" s="1"/>
      <c r="R66" s="5">
        <f t="shared" ref="R66:R69" si="40">IF(P$12=0,0,P66/P$12)</f>
        <v>3.7082555292673139E-2</v>
      </c>
      <c r="S66" s="1"/>
      <c r="T66" s="1">
        <f>SUM(OSRRefT22_12x_0)</f>
        <v>22299.239999999998</v>
      </c>
      <c r="U66" s="1"/>
      <c r="V66" s="5">
        <f t="shared" ref="V66:V69" si="41">IF(T$12=0,0,T66/T$12)</f>
        <v>2.2972342973069867E-2</v>
      </c>
      <c r="W66" s="1"/>
      <c r="X66" s="1">
        <f t="shared" ref="X66:X69" si="42">+P66-T66</f>
        <v>15377.940000000002</v>
      </c>
      <c r="Y66" s="1"/>
      <c r="Z66" s="5">
        <f t="shared" ref="Z66:Z69" si="43">IF(T66=0,0,X66/T66)</f>
        <v>0.68961722462290209</v>
      </c>
    </row>
    <row r="67" spans="1:26" s="24" customFormat="1" hidden="1" outlineLevel="2" x14ac:dyDescent="0.25">
      <c r="A67" s="29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1658.3</v>
      </c>
      <c r="E67" s="2"/>
      <c r="F67" s="6">
        <f t="shared" si="36"/>
        <v>3.2733828357724309E-3</v>
      </c>
      <c r="G67" s="2"/>
      <c r="H67" s="7">
        <v>1508.3</v>
      </c>
      <c r="I67" s="2"/>
      <c r="J67" s="6">
        <f t="shared" si="37"/>
        <v>3.2445195143662219E-3</v>
      </c>
      <c r="K67" s="2"/>
      <c r="L67" s="7">
        <f t="shared" si="38"/>
        <v>150</v>
      </c>
      <c r="M67" s="2"/>
      <c r="N67" s="6">
        <f t="shared" si="39"/>
        <v>9.9449711595836376E-2</v>
      </c>
      <c r="O67" s="11"/>
      <c r="P67" s="7">
        <v>3166.6</v>
      </c>
      <c r="Q67" s="2"/>
      <c r="R67" s="6">
        <f t="shared" si="40"/>
        <v>3.1166244286270563E-3</v>
      </c>
      <c r="S67" s="2"/>
      <c r="T67" s="7">
        <v>3016.6</v>
      </c>
      <c r="U67" s="2"/>
      <c r="V67" s="6">
        <f t="shared" si="41"/>
        <v>3.1076561269604958E-3</v>
      </c>
      <c r="W67" s="2"/>
      <c r="X67" s="7">
        <f t="shared" si="42"/>
        <v>150</v>
      </c>
      <c r="Y67" s="2"/>
      <c r="Z67" s="6">
        <f t="shared" si="43"/>
        <v>4.9724855797918188E-2</v>
      </c>
    </row>
    <row r="68" spans="1:26" s="24" customFormat="1" hidden="1" outlineLevel="2" x14ac:dyDescent="0.25">
      <c r="A68" s="29"/>
      <c r="B68" s="11" t="str">
        <f>CONCATENATE("          ", "6285", " - ", "JANITORIAL SERVICES")</f>
        <v xml:space="preserve">          6285 - JANITORIAL SERVICES</v>
      </c>
      <c r="C68" s="11"/>
      <c r="D68" s="7">
        <v>11660.97</v>
      </c>
      <c r="E68" s="2"/>
      <c r="F68" s="6">
        <f t="shared" si="36"/>
        <v>2.3018041998707859E-2</v>
      </c>
      <c r="G68" s="2"/>
      <c r="H68" s="7">
        <v>5347.21</v>
      </c>
      <c r="I68" s="2"/>
      <c r="J68" s="6">
        <f t="shared" si="37"/>
        <v>1.1502437971500501E-2</v>
      </c>
      <c r="K68" s="2"/>
      <c r="L68" s="7">
        <f t="shared" si="38"/>
        <v>6313.7599999999993</v>
      </c>
      <c r="M68" s="2"/>
      <c r="N68" s="6">
        <f t="shared" si="39"/>
        <v>1.1807578157581242</v>
      </c>
      <c r="O68" s="11"/>
      <c r="P68" s="7">
        <v>24671.98</v>
      </c>
      <c r="Q68" s="2"/>
      <c r="R68" s="6">
        <f t="shared" si="40"/>
        <v>2.4282604550811018E-2</v>
      </c>
      <c r="S68" s="2"/>
      <c r="T68" s="7">
        <v>12844.05</v>
      </c>
      <c r="U68" s="2"/>
      <c r="V68" s="6">
        <f t="shared" si="41"/>
        <v>1.3231747887518052E-2</v>
      </c>
      <c r="W68" s="2"/>
      <c r="X68" s="7">
        <f t="shared" si="42"/>
        <v>11827.93</v>
      </c>
      <c r="Y68" s="2"/>
      <c r="Z68" s="6">
        <f t="shared" si="43"/>
        <v>0.92088788193755089</v>
      </c>
    </row>
    <row r="69" spans="1:26" s="24" customFormat="1" hidden="1" outlineLevel="2" x14ac:dyDescent="0.25">
      <c r="A69" s="29"/>
      <c r="B69" s="11" t="str">
        <f>CONCATENATE("          ", "6286", " - ", "LAUNDRY EXPENSE")</f>
        <v xml:space="preserve">          6286 - LAUNDRY EXPENSE</v>
      </c>
      <c r="C69" s="11"/>
      <c r="D69" s="7">
        <v>4796.2700000000004</v>
      </c>
      <c r="E69" s="2"/>
      <c r="F69" s="6">
        <f t="shared" si="36"/>
        <v>9.4675438061449912E-3</v>
      </c>
      <c r="G69" s="2"/>
      <c r="H69" s="7">
        <v>3541.81</v>
      </c>
      <c r="I69" s="2"/>
      <c r="J69" s="6">
        <f t="shared" si="37"/>
        <v>7.6188236167721458E-3</v>
      </c>
      <c r="K69" s="2"/>
      <c r="L69" s="7">
        <f t="shared" si="38"/>
        <v>1254.4600000000005</v>
      </c>
      <c r="M69" s="2"/>
      <c r="N69" s="6">
        <f t="shared" si="39"/>
        <v>0.35418613646694785</v>
      </c>
      <c r="O69" s="11"/>
      <c r="P69" s="7">
        <v>9838.6</v>
      </c>
      <c r="Q69" s="2"/>
      <c r="R69" s="6">
        <f t="shared" si="40"/>
        <v>9.6833263132350654E-3</v>
      </c>
      <c r="S69" s="2"/>
      <c r="T69" s="7">
        <v>6438.59</v>
      </c>
      <c r="U69" s="2"/>
      <c r="V69" s="6">
        <f t="shared" si="41"/>
        <v>6.6329389585913215E-3</v>
      </c>
      <c r="W69" s="2"/>
      <c r="X69" s="7">
        <f t="shared" si="42"/>
        <v>3400.01</v>
      </c>
      <c r="Y69" s="2"/>
      <c r="Z69" s="6">
        <f t="shared" si="43"/>
        <v>0.52806748061299136</v>
      </c>
    </row>
    <row r="70" spans="1:26" s="27" customFormat="1" outlineLevel="1" collapsed="1" x14ac:dyDescent="0.25">
      <c r="A70" s="28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SUM(OSRRefD22_13x_0)</f>
        <v>22655.909999999996</v>
      </c>
      <c r="E70" s="1"/>
      <c r="F70" s="5">
        <f t="shared" ref="F70:F77" si="44">IF(D$12=0,0,D70/D$12)</f>
        <v>4.472138148875654E-2</v>
      </c>
      <c r="G70" s="1"/>
      <c r="H70" s="1">
        <f>SUM(OSRRefH22_13x_0)</f>
        <v>24681.769999999997</v>
      </c>
      <c r="I70" s="1"/>
      <c r="J70" s="5">
        <f t="shared" ref="J70:J77" si="45">IF(H$12=0,0,H70/H$12)</f>
        <v>5.309320719624662E-2</v>
      </c>
      <c r="K70" s="1"/>
      <c r="L70" s="1">
        <f t="shared" ref="L70:L77" si="46">+D70-H70</f>
        <v>-2025.8600000000006</v>
      </c>
      <c r="M70" s="1"/>
      <c r="N70" s="5">
        <f t="shared" ref="N70:N77" si="47">IF(H70=0,0,L70/H70)</f>
        <v>-8.2079202585552041E-2</v>
      </c>
      <c r="O70" s="14"/>
      <c r="P70" s="1">
        <f>SUM(OSRRefP22_13x_0)</f>
        <v>50774.19</v>
      </c>
      <c r="Q70" s="1"/>
      <c r="R70" s="5">
        <f t="shared" ref="R70:R77" si="48">IF(P$12=0,0,P70/P$12)</f>
        <v>4.9972867080702206E-2</v>
      </c>
      <c r="S70" s="1"/>
      <c r="T70" s="1">
        <f>SUM(OSRRefT22_13x_0)</f>
        <v>46845.279999999992</v>
      </c>
      <c r="U70" s="1"/>
      <c r="V70" s="5">
        <f t="shared" ref="V70:V77" si="49">IF(T$12=0,0,T70/T$12)</f>
        <v>4.8259305645819782E-2</v>
      </c>
      <c r="W70" s="1"/>
      <c r="X70" s="1">
        <f t="shared" ref="X70:X77" si="50">+P70-T70</f>
        <v>3928.9100000000108</v>
      </c>
      <c r="Y70" s="1"/>
      <c r="Z70" s="5">
        <f t="shared" ref="Z70:Z77" si="51">IF(T70=0,0,X70/T70)</f>
        <v>8.3869922434021346E-2</v>
      </c>
    </row>
    <row r="71" spans="1:26" s="24" customFormat="1" hidden="1" outlineLevel="2" x14ac:dyDescent="0.25">
      <c r="A71" s="29"/>
      <c r="B71" s="11" t="str">
        <f>CONCATENATE("          ", "6237", " - ", "JANITORIAL SUPPLIES")</f>
        <v xml:space="preserve">          6237 - JANITORIAL SUPPLIES</v>
      </c>
      <c r="C71" s="11"/>
      <c r="D71" s="7">
        <v>8681.9599999999991</v>
      </c>
      <c r="E71" s="2"/>
      <c r="F71" s="6">
        <f t="shared" si="44"/>
        <v>1.7137658351843943E-2</v>
      </c>
      <c r="G71" s="2"/>
      <c r="H71" s="7">
        <v>9853.5</v>
      </c>
      <c r="I71" s="2"/>
      <c r="J71" s="6">
        <f t="shared" si="45"/>
        <v>2.1195964353780791E-2</v>
      </c>
      <c r="K71" s="2"/>
      <c r="L71" s="7">
        <f t="shared" si="46"/>
        <v>-1171.5400000000009</v>
      </c>
      <c r="M71" s="2"/>
      <c r="N71" s="6">
        <f t="shared" si="47"/>
        <v>-0.11889582381894767</v>
      </c>
      <c r="O71" s="11"/>
      <c r="P71" s="7">
        <v>15933.409999999998</v>
      </c>
      <c r="Q71" s="2"/>
      <c r="R71" s="6">
        <f t="shared" si="48"/>
        <v>1.568194746331416E-2</v>
      </c>
      <c r="S71" s="2"/>
      <c r="T71" s="7">
        <v>15230.489999999998</v>
      </c>
      <c r="U71" s="2"/>
      <c r="V71" s="6">
        <f t="shared" si="49"/>
        <v>1.5690222623188543E-2</v>
      </c>
      <c r="W71" s="2"/>
      <c r="X71" s="7">
        <f t="shared" si="50"/>
        <v>702.92000000000007</v>
      </c>
      <c r="Y71" s="2"/>
      <c r="Z71" s="6">
        <f t="shared" si="51"/>
        <v>4.6152159254232807E-2</v>
      </c>
    </row>
    <row r="72" spans="1:26" s="24" customFormat="1" hidden="1" outlineLevel="2" x14ac:dyDescent="0.25">
      <c r="A72" s="29"/>
      <c r="B72" s="11" t="str">
        <f>CONCATENATE("          ", "6239", " - ", "KITCHEN SUPPLIES")</f>
        <v xml:space="preserve">          6239 - KITCHEN SUPPLIES</v>
      </c>
      <c r="C72" s="11"/>
      <c r="D72" s="7">
        <v>4959.72</v>
      </c>
      <c r="E72" s="2"/>
      <c r="F72" s="6">
        <f t="shared" si="44"/>
        <v>9.7901841152006532E-3</v>
      </c>
      <c r="G72" s="2"/>
      <c r="H72" s="7">
        <v>5440.62</v>
      </c>
      <c r="I72" s="2"/>
      <c r="J72" s="6">
        <f t="shared" si="45"/>
        <v>1.1703373175264306E-2</v>
      </c>
      <c r="K72" s="2"/>
      <c r="L72" s="7">
        <f t="shared" si="46"/>
        <v>-480.89999999999964</v>
      </c>
      <c r="M72" s="2"/>
      <c r="N72" s="6">
        <f t="shared" si="47"/>
        <v>-8.8390661358448058E-2</v>
      </c>
      <c r="O72" s="11"/>
      <c r="P72" s="7">
        <v>5792.69</v>
      </c>
      <c r="Q72" s="2"/>
      <c r="R72" s="6">
        <f t="shared" si="48"/>
        <v>5.7012692356040113E-3</v>
      </c>
      <c r="S72" s="2"/>
      <c r="T72" s="7">
        <v>6155.35</v>
      </c>
      <c r="U72" s="2"/>
      <c r="V72" s="6">
        <f t="shared" si="49"/>
        <v>6.3411493539369786E-3</v>
      </c>
      <c r="W72" s="2"/>
      <c r="X72" s="7">
        <f t="shared" si="50"/>
        <v>-362.66000000000076</v>
      </c>
      <c r="Y72" s="2"/>
      <c r="Z72" s="6">
        <f t="shared" si="51"/>
        <v>-5.8917851949929857E-2</v>
      </c>
    </row>
    <row r="73" spans="1:26" s="24" customFormat="1" hidden="1" outlineLevel="2" x14ac:dyDescent="0.25">
      <c r="A73" s="29"/>
      <c r="B73" s="11" t="str">
        <f>CONCATENATE("          ", "6241", " - ", "OFFICE EXPENSE")</f>
        <v xml:space="preserve">          6241 - OFFICE EXPENSE</v>
      </c>
      <c r="C73" s="11"/>
      <c r="D73" s="7">
        <v>1032.6400000000001</v>
      </c>
      <c r="E73" s="2"/>
      <c r="F73" s="6">
        <f t="shared" si="44"/>
        <v>2.038368239481423E-3</v>
      </c>
      <c r="G73" s="2"/>
      <c r="H73" s="7">
        <v>2561.23</v>
      </c>
      <c r="I73" s="2"/>
      <c r="J73" s="6">
        <f t="shared" si="45"/>
        <v>5.5094879770471381E-3</v>
      </c>
      <c r="K73" s="2"/>
      <c r="L73" s="7">
        <f t="shared" si="46"/>
        <v>-1528.59</v>
      </c>
      <c r="M73" s="2"/>
      <c r="N73" s="6">
        <f t="shared" si="47"/>
        <v>-0.59681871600754322</v>
      </c>
      <c r="O73" s="11"/>
      <c r="P73" s="7">
        <v>21882.62</v>
      </c>
      <c r="Q73" s="2"/>
      <c r="R73" s="6">
        <f t="shared" si="48"/>
        <v>2.1537266485935385E-2</v>
      </c>
      <c r="S73" s="2"/>
      <c r="T73" s="7">
        <v>3885.44</v>
      </c>
      <c r="U73" s="2"/>
      <c r="V73" s="6">
        <f t="shared" si="49"/>
        <v>4.0027220784782172E-3</v>
      </c>
      <c r="W73" s="2"/>
      <c r="X73" s="7">
        <f t="shared" si="50"/>
        <v>17997.18</v>
      </c>
      <c r="Y73" s="2"/>
      <c r="Z73" s="6">
        <f t="shared" si="51"/>
        <v>4.6319541673529896</v>
      </c>
    </row>
    <row r="74" spans="1:26" s="24" customFormat="1" hidden="1" outlineLevel="2" x14ac:dyDescent="0.25">
      <c r="A74" s="29"/>
      <c r="B74" s="11" t="str">
        <f>CONCATENATE("          ", "6243", " - ", "PAPER SUPPLIES")</f>
        <v xml:space="preserve">          6243 - PAPER SUPPLIES</v>
      </c>
      <c r="C74" s="11"/>
      <c r="D74" s="7">
        <v>5324.74</v>
      </c>
      <c r="E74" s="2"/>
      <c r="F74" s="6">
        <f t="shared" si="44"/>
        <v>1.0510711283212262E-2</v>
      </c>
      <c r="G74" s="2"/>
      <c r="H74" s="7">
        <v>6846.42</v>
      </c>
      <c r="I74" s="2"/>
      <c r="J74" s="6">
        <f t="shared" si="45"/>
        <v>1.4727403894150493E-2</v>
      </c>
      <c r="K74" s="2"/>
      <c r="L74" s="7">
        <f t="shared" si="46"/>
        <v>-1521.6800000000003</v>
      </c>
      <c r="M74" s="2"/>
      <c r="N74" s="6">
        <f t="shared" si="47"/>
        <v>-0.22225922452902397</v>
      </c>
      <c r="O74" s="11"/>
      <c r="P74" s="7">
        <v>9921.8700000000008</v>
      </c>
      <c r="Q74" s="2"/>
      <c r="R74" s="6">
        <f t="shared" si="48"/>
        <v>9.7652821384645785E-3</v>
      </c>
      <c r="S74" s="2"/>
      <c r="T74" s="7">
        <v>11780.79</v>
      </c>
      <c r="U74" s="2"/>
      <c r="V74" s="6">
        <f t="shared" si="49"/>
        <v>1.2136393364693677E-2</v>
      </c>
      <c r="W74" s="2"/>
      <c r="X74" s="7">
        <f t="shared" si="50"/>
        <v>-1858.92</v>
      </c>
      <c r="Y74" s="2"/>
      <c r="Z74" s="6">
        <f t="shared" si="51"/>
        <v>-0.15779247401914473</v>
      </c>
    </row>
    <row r="75" spans="1:26" s="24" customFormat="1" hidden="1" outlineLevel="2" x14ac:dyDescent="0.25">
      <c r="A75" s="29"/>
      <c r="B75" s="11" t="str">
        <f>CONCATENATE("          ", "6245", " - ", "PRINTING")</f>
        <v xml:space="preserve">          6245 - PRINTING</v>
      </c>
      <c r="C75" s="11"/>
      <c r="D75" s="7">
        <v>1323</v>
      </c>
      <c r="E75" s="2"/>
      <c r="F75" s="6">
        <f t="shared" si="44"/>
        <v>2.6115211311143497E-3</v>
      </c>
      <c r="G75" s="2"/>
      <c r="H75" s="7"/>
      <c r="I75" s="2"/>
      <c r="J75" s="6">
        <f t="shared" si="45"/>
        <v>0</v>
      </c>
      <c r="K75" s="2"/>
      <c r="L75" s="7">
        <f t="shared" si="46"/>
        <v>1323</v>
      </c>
      <c r="M75" s="2"/>
      <c r="N75" s="6">
        <f t="shared" si="47"/>
        <v>0</v>
      </c>
      <c r="O75" s="11"/>
      <c r="P75" s="7">
        <v>1323</v>
      </c>
      <c r="Q75" s="2"/>
      <c r="R75" s="6">
        <f t="shared" si="48"/>
        <v>1.3021202927662463E-3</v>
      </c>
      <c r="S75" s="2"/>
      <c r="T75" s="7">
        <v>306.79000000000002</v>
      </c>
      <c r="U75" s="2"/>
      <c r="V75" s="6">
        <f t="shared" si="49"/>
        <v>3.1605046184121551E-4</v>
      </c>
      <c r="W75" s="2"/>
      <c r="X75" s="7">
        <f t="shared" si="50"/>
        <v>1016.21</v>
      </c>
      <c r="Y75" s="2"/>
      <c r="Z75" s="6">
        <f t="shared" si="51"/>
        <v>3.3123961015678476</v>
      </c>
    </row>
    <row r="76" spans="1:26" s="24" customFormat="1" hidden="1" outlineLevel="2" x14ac:dyDescent="0.25">
      <c r="A76" s="29"/>
      <c r="B76" s="11" t="str">
        <f>CONCATENATE("          ", "6247", " - ", "STORE SUPPLIES")</f>
        <v xml:space="preserve">          6247 - STORE SUPPLIES</v>
      </c>
      <c r="C76" s="11"/>
      <c r="D76" s="7">
        <v>220.25</v>
      </c>
      <c r="E76" s="2"/>
      <c r="F76" s="6">
        <f t="shared" si="44"/>
        <v>4.3476003713373811E-4</v>
      </c>
      <c r="G76" s="2"/>
      <c r="H76" s="7">
        <v>-20</v>
      </c>
      <c r="I76" s="2"/>
      <c r="J76" s="6">
        <f t="shared" si="45"/>
        <v>-4.3022203996104516E-5</v>
      </c>
      <c r="K76" s="2"/>
      <c r="L76" s="7">
        <f t="shared" si="46"/>
        <v>240.25</v>
      </c>
      <c r="M76" s="2"/>
      <c r="N76" s="6">
        <f t="shared" si="47"/>
        <v>-12.012499999999999</v>
      </c>
      <c r="O76" s="11"/>
      <c r="P76" s="7">
        <v>376.35</v>
      </c>
      <c r="Q76" s="2"/>
      <c r="R76" s="6">
        <f t="shared" si="48"/>
        <v>3.7041040981298324E-4</v>
      </c>
      <c r="S76" s="2"/>
      <c r="T76" s="7">
        <v>-20</v>
      </c>
      <c r="U76" s="2"/>
      <c r="V76" s="6">
        <f t="shared" si="49"/>
        <v>-2.0603700371017013E-5</v>
      </c>
      <c r="W76" s="2"/>
      <c r="X76" s="7">
        <f t="shared" si="50"/>
        <v>396.35</v>
      </c>
      <c r="Y76" s="2"/>
      <c r="Z76" s="6">
        <f t="shared" si="51"/>
        <v>-19.817500000000003</v>
      </c>
    </row>
    <row r="77" spans="1:26" s="24" customFormat="1" hidden="1" outlineLevel="2" x14ac:dyDescent="0.25">
      <c r="A77" s="29"/>
      <c r="B77" s="11" t="str">
        <f>CONCATENATE("          ", "6248", " - ", "UNIFORMS")</f>
        <v xml:space="preserve">          6248 - UNIFORMS</v>
      </c>
      <c r="C77" s="11"/>
      <c r="D77" s="7">
        <v>1113.5999999999999</v>
      </c>
      <c r="E77" s="2"/>
      <c r="F77" s="6">
        <f t="shared" si="44"/>
        <v>2.1981783307701737E-3</v>
      </c>
      <c r="G77" s="2"/>
      <c r="H77" s="7"/>
      <c r="I77" s="2"/>
      <c r="J77" s="6">
        <f t="shared" si="45"/>
        <v>0</v>
      </c>
      <c r="K77" s="2"/>
      <c r="L77" s="7">
        <f t="shared" si="46"/>
        <v>1113.5999999999999</v>
      </c>
      <c r="M77" s="2"/>
      <c r="N77" s="6">
        <f t="shared" si="47"/>
        <v>0</v>
      </c>
      <c r="O77" s="11"/>
      <c r="P77" s="7">
        <v>-4455.75</v>
      </c>
      <c r="Q77" s="2"/>
      <c r="R77" s="6">
        <f t="shared" si="48"/>
        <v>-4.3854289451951646E-3</v>
      </c>
      <c r="S77" s="2"/>
      <c r="T77" s="7">
        <v>9506.42</v>
      </c>
      <c r="U77" s="2"/>
      <c r="V77" s="6">
        <f t="shared" si="49"/>
        <v>9.7933714640521773E-3</v>
      </c>
      <c r="W77" s="2"/>
      <c r="X77" s="7">
        <f t="shared" si="50"/>
        <v>-13962.17</v>
      </c>
      <c r="Y77" s="2"/>
      <c r="Z77" s="6">
        <f t="shared" si="51"/>
        <v>-1.4687095667980166</v>
      </c>
    </row>
    <row r="78" spans="1:26" s="27" customFormat="1" outlineLevel="1" collapsed="1" x14ac:dyDescent="0.25">
      <c r="A78" s="28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SUM(OSRRefD22_14x_0)</f>
        <v>758.5</v>
      </c>
      <c r="E78" s="1"/>
      <c r="F78" s="5">
        <f t="shared" ref="F78:F84" si="52">IF(D$12=0,0,D78/D$12)</f>
        <v>1.4972326363947349E-3</v>
      </c>
      <c r="G78" s="1"/>
      <c r="H78" s="1">
        <f>SUM(OSRRefH22_14x_0)</f>
        <v>791.05</v>
      </c>
      <c r="I78" s="1"/>
      <c r="J78" s="5">
        <f t="shared" ref="J78:J84" si="53">IF(H$12=0,0,H78/H$12)</f>
        <v>1.7016357235559237E-3</v>
      </c>
      <c r="K78" s="1"/>
      <c r="L78" s="1">
        <f t="shared" ref="L78:L84" si="54">+D78-H78</f>
        <v>-32.549999999999955</v>
      </c>
      <c r="M78" s="1"/>
      <c r="N78" s="5">
        <f t="shared" ref="N78:N84" si="55">IF(H78=0,0,L78/H78)</f>
        <v>-4.1147841476518496E-2</v>
      </c>
      <c r="O78" s="14"/>
      <c r="P78" s="1">
        <f>SUM(OSRRefP22_14x_0)</f>
        <v>324.14999999999998</v>
      </c>
      <c r="Q78" s="1"/>
      <c r="R78" s="5">
        <f t="shared" ref="R78:R84" si="56">IF(P$12=0,0,P78/P$12)</f>
        <v>3.1903423499635581E-4</v>
      </c>
      <c r="S78" s="1"/>
      <c r="T78" s="1">
        <f>SUM(OSRRefT22_14x_0)</f>
        <v>1000.35</v>
      </c>
      <c r="U78" s="1"/>
      <c r="V78" s="5">
        <f t="shared" ref="V78:V84" si="57">IF(T$12=0,0,T78/T$12)</f>
        <v>1.0305455833073435E-3</v>
      </c>
      <c r="W78" s="1"/>
      <c r="X78" s="1">
        <f t="shared" ref="X78:X84" si="58">+P78-T78</f>
        <v>-676.2</v>
      </c>
      <c r="Y78" s="1"/>
      <c r="Z78" s="5">
        <f t="shared" ref="Z78:Z84" si="59">IF(T78=0,0,X78/T78)</f>
        <v>-0.67596341280551808</v>
      </c>
    </row>
    <row r="79" spans="1:26" s="24" customFormat="1" hidden="1" outlineLevel="2" x14ac:dyDescent="0.25">
      <c r="A79" s="29"/>
      <c r="B79" s="11" t="str">
        <f>CONCATENATE("          ", "6309", " - ", "TELEPHONE")</f>
        <v xml:space="preserve">          6309 - TELEPHONE</v>
      </c>
      <c r="C79" s="11"/>
      <c r="D79" s="7">
        <v>758.5</v>
      </c>
      <c r="E79" s="2"/>
      <c r="F79" s="6">
        <f t="shared" si="52"/>
        <v>1.4972326363947349E-3</v>
      </c>
      <c r="G79" s="2"/>
      <c r="H79" s="7">
        <v>791.05</v>
      </c>
      <c r="I79" s="2"/>
      <c r="J79" s="6">
        <f t="shared" si="53"/>
        <v>1.7016357235559237E-3</v>
      </c>
      <c r="K79" s="2"/>
      <c r="L79" s="7">
        <f t="shared" si="54"/>
        <v>-32.549999999999955</v>
      </c>
      <c r="M79" s="2"/>
      <c r="N79" s="6">
        <f t="shared" si="55"/>
        <v>-4.1147841476518496E-2</v>
      </c>
      <c r="O79" s="11"/>
      <c r="P79" s="7">
        <v>324.14999999999998</v>
      </c>
      <c r="Q79" s="2"/>
      <c r="R79" s="6">
        <f t="shared" si="56"/>
        <v>3.1903423499635581E-4</v>
      </c>
      <c r="S79" s="2"/>
      <c r="T79" s="7">
        <v>1000.35</v>
      </c>
      <c r="U79" s="2"/>
      <c r="V79" s="6">
        <f t="shared" si="57"/>
        <v>1.0305455833073435E-3</v>
      </c>
      <c r="W79" s="2"/>
      <c r="X79" s="7">
        <f t="shared" si="58"/>
        <v>-676.2</v>
      </c>
      <c r="Y79" s="2"/>
      <c r="Z79" s="6">
        <f t="shared" si="59"/>
        <v>-0.67596341280551808</v>
      </c>
    </row>
    <row r="80" spans="1:26" s="27" customFormat="1" outlineLevel="1" collapsed="1" x14ac:dyDescent="0.25">
      <c r="A80" s="28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SUM(OSRRefD22_15x_0)</f>
        <v>189.9</v>
      </c>
      <c r="E80" s="1"/>
      <c r="F80" s="5">
        <f t="shared" si="52"/>
        <v>3.7485099228920261E-4</v>
      </c>
      <c r="G80" s="1"/>
      <c r="H80" s="1">
        <f>SUM(OSRRefH22_15x_0)</f>
        <v>229.3</v>
      </c>
      <c r="I80" s="1"/>
      <c r="J80" s="5">
        <f t="shared" si="53"/>
        <v>4.9324956881533822E-4</v>
      </c>
      <c r="K80" s="1"/>
      <c r="L80" s="1">
        <f t="shared" si="54"/>
        <v>-39.400000000000006</v>
      </c>
      <c r="M80" s="1"/>
      <c r="N80" s="5">
        <f t="shared" si="55"/>
        <v>-0.17182730047972092</v>
      </c>
      <c r="O80" s="14"/>
      <c r="P80" s="1">
        <f>SUM(OSRRefP22_15x_0)</f>
        <v>3396.27</v>
      </c>
      <c r="Q80" s="1"/>
      <c r="R80" s="5">
        <f t="shared" si="56"/>
        <v>3.3426697556411334E-3</v>
      </c>
      <c r="S80" s="1"/>
      <c r="T80" s="1">
        <f>SUM(OSRRefT22_15x_0)</f>
        <v>4934.87</v>
      </c>
      <c r="U80" s="1"/>
      <c r="V80" s="5">
        <f t="shared" si="57"/>
        <v>5.0838291424960365E-3</v>
      </c>
      <c r="W80" s="1"/>
      <c r="X80" s="1">
        <f t="shared" si="58"/>
        <v>-1538.6</v>
      </c>
      <c r="Y80" s="1"/>
      <c r="Z80" s="5">
        <f t="shared" si="59"/>
        <v>-0.31178126272829881</v>
      </c>
    </row>
    <row r="81" spans="1:26" s="24" customFormat="1" hidden="1" outlineLevel="2" x14ac:dyDescent="0.25">
      <c r="A81" s="29"/>
      <c r="B81" s="11" t="str">
        <f>CONCATENATE("          ", "6376", " - ", "TRAINING")</f>
        <v xml:space="preserve">          6376 - TRAINING</v>
      </c>
      <c r="C81" s="11"/>
      <c r="D81" s="7">
        <v>189.9</v>
      </c>
      <c r="E81" s="2"/>
      <c r="F81" s="6">
        <f t="shared" si="52"/>
        <v>3.7485099228920261E-4</v>
      </c>
      <c r="G81" s="2"/>
      <c r="H81" s="7">
        <v>229.3</v>
      </c>
      <c r="I81" s="2"/>
      <c r="J81" s="6">
        <f t="shared" si="53"/>
        <v>4.9324956881533822E-4</v>
      </c>
      <c r="K81" s="2"/>
      <c r="L81" s="7">
        <f t="shared" si="54"/>
        <v>-39.400000000000006</v>
      </c>
      <c r="M81" s="2"/>
      <c r="N81" s="6">
        <f t="shared" si="55"/>
        <v>-0.17182730047972092</v>
      </c>
      <c r="O81" s="11"/>
      <c r="P81" s="7">
        <v>3396.27</v>
      </c>
      <c r="Q81" s="2"/>
      <c r="R81" s="6">
        <f t="shared" si="56"/>
        <v>3.3426697556411334E-3</v>
      </c>
      <c r="S81" s="2"/>
      <c r="T81" s="7">
        <v>4934.87</v>
      </c>
      <c r="U81" s="2"/>
      <c r="V81" s="6">
        <f t="shared" si="57"/>
        <v>5.0838291424960365E-3</v>
      </c>
      <c r="W81" s="2"/>
      <c r="X81" s="7">
        <f t="shared" si="58"/>
        <v>-1538.6</v>
      </c>
      <c r="Y81" s="2"/>
      <c r="Z81" s="6">
        <f t="shared" si="59"/>
        <v>-0.31178126272829881</v>
      </c>
    </row>
    <row r="82" spans="1:26" s="27" customFormat="1" outlineLevel="1" collapsed="1" x14ac:dyDescent="0.25">
      <c r="A82" s="28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SUM(OSRRefD22_16x_0)</f>
        <v>119.9</v>
      </c>
      <c r="E82" s="1"/>
      <c r="F82" s="5">
        <f t="shared" si="52"/>
        <v>2.3667527106622114E-4</v>
      </c>
      <c r="G82" s="1"/>
      <c r="H82" s="1">
        <f>SUM(OSRRefH22_16x_0)</f>
        <v>371.16</v>
      </c>
      <c r="I82" s="1"/>
      <c r="J82" s="5">
        <f t="shared" si="53"/>
        <v>7.9840606175970758E-4</v>
      </c>
      <c r="K82" s="1"/>
      <c r="L82" s="1">
        <f t="shared" si="54"/>
        <v>-251.26000000000002</v>
      </c>
      <c r="M82" s="1"/>
      <c r="N82" s="5">
        <f t="shared" si="55"/>
        <v>-0.67695872400043111</v>
      </c>
      <c r="O82" s="14"/>
      <c r="P82" s="1">
        <f>SUM(OSRRefP22_16x_0)</f>
        <v>1688.41</v>
      </c>
      <c r="Q82" s="1"/>
      <c r="R82" s="5">
        <f t="shared" si="56"/>
        <v>1.661763358661722E-3</v>
      </c>
      <c r="S82" s="1"/>
      <c r="T82" s="1">
        <f>SUM(OSRRefT22_16x_0)</f>
        <v>1214.33</v>
      </c>
      <c r="U82" s="1"/>
      <c r="V82" s="5">
        <f t="shared" si="57"/>
        <v>1.2509845735768543E-3</v>
      </c>
      <c r="W82" s="1"/>
      <c r="X82" s="1">
        <f t="shared" si="58"/>
        <v>474.08000000000015</v>
      </c>
      <c r="Y82" s="1"/>
      <c r="Z82" s="5">
        <f t="shared" si="59"/>
        <v>0.3904045852445383</v>
      </c>
    </row>
    <row r="83" spans="1:26" s="24" customFormat="1" hidden="1" outlineLevel="2" x14ac:dyDescent="0.25">
      <c r="A83" s="29"/>
      <c r="B83" s="11" t="str">
        <f>CONCATENATE("          ", "6292", " - ", "TRAVEL/CONFERENCE")</f>
        <v xml:space="preserve">          6292 - TRAVEL/CONFERENCE</v>
      </c>
      <c r="C83" s="11"/>
      <c r="D83" s="7">
        <v>119.9</v>
      </c>
      <c r="E83" s="2"/>
      <c r="F83" s="6">
        <f t="shared" si="52"/>
        <v>2.3667527106622114E-4</v>
      </c>
      <c r="G83" s="2"/>
      <c r="H83" s="7">
        <v>202.33</v>
      </c>
      <c r="I83" s="2"/>
      <c r="J83" s="6">
        <f t="shared" si="53"/>
        <v>4.3523412672659135E-4</v>
      </c>
      <c r="K83" s="2"/>
      <c r="L83" s="7">
        <f t="shared" si="54"/>
        <v>-82.43</v>
      </c>
      <c r="M83" s="2"/>
      <c r="N83" s="6">
        <f t="shared" si="55"/>
        <v>-0.40740374635496468</v>
      </c>
      <c r="O83" s="11"/>
      <c r="P83" s="7">
        <v>1688.41</v>
      </c>
      <c r="Q83" s="2"/>
      <c r="R83" s="6">
        <f t="shared" si="56"/>
        <v>1.661763358661722E-3</v>
      </c>
      <c r="S83" s="2"/>
      <c r="T83" s="7">
        <v>987.5</v>
      </c>
      <c r="U83" s="2"/>
      <c r="V83" s="6">
        <f t="shared" si="57"/>
        <v>1.017307705818965E-3</v>
      </c>
      <c r="W83" s="2"/>
      <c r="X83" s="7">
        <f t="shared" si="58"/>
        <v>700.91000000000008</v>
      </c>
      <c r="Y83" s="2"/>
      <c r="Z83" s="6">
        <f t="shared" si="59"/>
        <v>0.70978227848101272</v>
      </c>
    </row>
    <row r="84" spans="1:26" s="24" customFormat="1" hidden="1" outlineLevel="2" x14ac:dyDescent="0.25">
      <c r="A84" s="29"/>
      <c r="B84" s="11" t="str">
        <f>CONCATENATE("          ", "6294", " - ", "TRAVEL OPERATIONAL")</f>
        <v xml:space="preserve">          6294 - TRAVEL OPERATIONAL</v>
      </c>
      <c r="C84" s="11"/>
      <c r="D84" s="7"/>
      <c r="E84" s="2"/>
      <c r="F84" s="6">
        <f t="shared" si="52"/>
        <v>0</v>
      </c>
      <c r="G84" s="2"/>
      <c r="H84" s="7">
        <v>168.83</v>
      </c>
      <c r="I84" s="2"/>
      <c r="J84" s="6">
        <f t="shared" si="53"/>
        <v>3.6317193503311628E-4</v>
      </c>
      <c r="K84" s="2"/>
      <c r="L84" s="7">
        <f t="shared" si="54"/>
        <v>-168.83</v>
      </c>
      <c r="M84" s="2"/>
      <c r="N84" s="6">
        <f t="shared" si="55"/>
        <v>-1</v>
      </c>
      <c r="O84" s="11"/>
      <c r="P84" s="7"/>
      <c r="Q84" s="2"/>
      <c r="R84" s="6">
        <f t="shared" si="56"/>
        <v>0</v>
      </c>
      <c r="S84" s="2"/>
      <c r="T84" s="7">
        <v>226.83</v>
      </c>
      <c r="U84" s="2"/>
      <c r="V84" s="6">
        <f t="shared" si="57"/>
        <v>2.3367686775788946E-4</v>
      </c>
      <c r="W84" s="2"/>
      <c r="X84" s="7">
        <f t="shared" si="58"/>
        <v>-226.83</v>
      </c>
      <c r="Y84" s="2"/>
      <c r="Z84" s="6">
        <f t="shared" si="59"/>
        <v>-1</v>
      </c>
    </row>
    <row r="85" spans="1:26" s="62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6" t="s">
        <v>3</v>
      </c>
      <c r="C88" s="26"/>
      <c r="D88" s="20">
        <f>+D24-D26+D86</f>
        <v>-5983.0400000000955</v>
      </c>
      <c r="E88" s="13"/>
      <c r="F88" s="19">
        <f>IF(D$12=0,0,D88/D$12)</f>
        <v>-1.181015524437086E-2</v>
      </c>
      <c r="G88" s="13"/>
      <c r="H88" s="20">
        <f>+H24-H26+H86</f>
        <v>-73562.180000000051</v>
      </c>
      <c r="I88" s="13"/>
      <c r="J88" s="19">
        <f>IF(H$12=0,0,H88/H$12)</f>
        <v>-0.15824035571790809</v>
      </c>
      <c r="K88" s="15"/>
      <c r="L88" s="20">
        <f>+D88-H88</f>
        <v>67579.139999999956</v>
      </c>
      <c r="M88" s="15"/>
      <c r="N88" s="19">
        <f>IF(H88=0,0,L88/H88)</f>
        <v>-0.91866690193248635</v>
      </c>
      <c r="O88" s="25"/>
      <c r="P88" s="20">
        <f>+P24-P26+P86</f>
        <v>-60576.349999999744</v>
      </c>
      <c r="Q88" s="13"/>
      <c r="R88" s="19">
        <f>IF(P$12=0,0,P88/P$12)</f>
        <v>-5.9620328493356217E-2</v>
      </c>
      <c r="S88" s="13"/>
      <c r="T88" s="20">
        <f>+T24-T26+T86</f>
        <v>-44739.85999999987</v>
      </c>
      <c r="U88" s="13"/>
      <c r="V88" s="19">
        <f>IF(T$12=0,0,T88/T$12)</f>
        <v>-4.6090333504062324E-2</v>
      </c>
      <c r="W88" s="15"/>
      <c r="X88" s="20">
        <f>+P88-T88</f>
        <v>-15836.489999999874</v>
      </c>
      <c r="Y88" s="15"/>
      <c r="Z88" s="19">
        <f>IF(T88=0,0,X88/T88)</f>
        <v>0.35396825112997493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1"/>
      <c r="B90" s="10" t="s">
        <v>13</v>
      </c>
      <c r="C90" s="10"/>
      <c r="D90" s="4">
        <v>20754.710000000003</v>
      </c>
      <c r="E90" s="4"/>
      <c r="F90" s="12">
        <f>IF(D$12=0,0,D90/D$12)</f>
        <v>4.0968528900340376E-2</v>
      </c>
      <c r="G90" s="4"/>
      <c r="H90" s="4">
        <v>-4741.99</v>
      </c>
      <c r="I90" s="4"/>
      <c r="J90" s="12">
        <f>IF(H$12=0,0,H90/H$12)</f>
        <v>-1.0200543056374382E-2</v>
      </c>
      <c r="K90" s="4"/>
      <c r="L90" s="4">
        <f>+D90-H90</f>
        <v>25496.700000000004</v>
      </c>
      <c r="M90" s="4"/>
      <c r="N90" s="12">
        <f>IF(H90=0,0,L90/H90)</f>
        <v>-5.3767932872064268</v>
      </c>
      <c r="O90" s="10"/>
      <c r="P90" s="4">
        <v>126681.01999999999</v>
      </c>
      <c r="Q90" s="4"/>
      <c r="R90" s="12">
        <f>IF(P$12=0,0,P90/P$12)</f>
        <v>0.12468172853388261</v>
      </c>
      <c r="S90" s="4"/>
      <c r="T90" s="4">
        <v>99103.83</v>
      </c>
      <c r="U90" s="4"/>
      <c r="V90" s="12">
        <f>IF(T$12=0,0,T90/T$12)</f>
        <v>0.10209528094701036</v>
      </c>
      <c r="W90" s="4"/>
      <c r="X90" s="4">
        <f>+P90-T90</f>
        <v>27577.189999999988</v>
      </c>
      <c r="Y90" s="4"/>
      <c r="Z90" s="12">
        <f>IF(T90=0,0,X90/T90)</f>
        <v>0.27826563312437053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4</v>
      </c>
      <c r="C92" s="26"/>
      <c r="D92" s="31">
        <f>+D88-D90</f>
        <v>-26737.750000000098</v>
      </c>
      <c r="E92" s="13"/>
      <c r="F92" s="36">
        <f>IF(D$12=0,0,D92/D$12)</f>
        <v>-5.2778684144711235E-2</v>
      </c>
      <c r="G92" s="13"/>
      <c r="H92" s="31">
        <f>+H88-H90</f>
        <v>-68820.190000000046</v>
      </c>
      <c r="I92" s="13"/>
      <c r="J92" s="36">
        <f>IF(H$12=0,0,H92/H$12)</f>
        <v>-0.14803981266153368</v>
      </c>
      <c r="K92" s="15"/>
      <c r="L92" s="31">
        <f>D92-H92</f>
        <v>42082.439999999944</v>
      </c>
      <c r="M92" s="15"/>
      <c r="N92" s="36">
        <f>IF(H92=0,0,L92/H92)</f>
        <v>-0.61148392644658367</v>
      </c>
      <c r="O92" s="25"/>
      <c r="P92" s="31">
        <f>+P88-P90</f>
        <v>-187257.36999999973</v>
      </c>
      <c r="Q92" s="13"/>
      <c r="R92" s="36">
        <f>IF(P$12=0,0,P92/P$12)</f>
        <v>-0.18430205702723884</v>
      </c>
      <c r="S92" s="13"/>
      <c r="T92" s="31">
        <f>+T88-T90</f>
        <v>-143843.68999999989</v>
      </c>
      <c r="U92" s="13"/>
      <c r="V92" s="36">
        <f>IF(T$12=0,0,T92/T$12)</f>
        <v>-0.1481856144510727</v>
      </c>
      <c r="W92" s="15"/>
      <c r="X92" s="31">
        <f>P92-T92</f>
        <v>-43413.679999999847</v>
      </c>
      <c r="Y92" s="15"/>
      <c r="Z92" s="36">
        <f>IF(T92=0,0,X92/T92)</f>
        <v>0.30181150108148563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5</v>
      </c>
      <c r="C95" s="26"/>
      <c r="D95" s="32">
        <f>SUM(D92:D94)</f>
        <v>-26737.750000000098</v>
      </c>
      <c r="E95" s="13"/>
      <c r="F95" s="30">
        <f>IF(D$12=0,0,D95/D$12)</f>
        <v>-5.2778684144711235E-2</v>
      </c>
      <c r="G95" s="13"/>
      <c r="H95" s="32">
        <f>SUM(H92:H94)</f>
        <v>-68820.190000000046</v>
      </c>
      <c r="I95" s="13"/>
      <c r="J95" s="30">
        <f>IF(H$12=0,0,H95/H$12)</f>
        <v>-0.14803981266153368</v>
      </c>
      <c r="K95" s="15"/>
      <c r="L95" s="32">
        <f>+D95-H95</f>
        <v>42082.439999999944</v>
      </c>
      <c r="M95" s="15"/>
      <c r="N95" s="30">
        <f>IF(H95=0,0,L95/H95)</f>
        <v>-0.61148392644658367</v>
      </c>
      <c r="O95" s="25"/>
      <c r="P95" s="32">
        <f>SUM(P92:P94)</f>
        <v>-187257.36999999973</v>
      </c>
      <c r="Q95" s="13"/>
      <c r="R95" s="30">
        <f>IF(P$12=0,0,P95/P$12)</f>
        <v>-0.18430205702723884</v>
      </c>
      <c r="S95" s="13"/>
      <c r="T95" s="32">
        <f>SUM(T92:T94)</f>
        <v>-143843.68999999989</v>
      </c>
      <c r="U95" s="13"/>
      <c r="V95" s="30">
        <f>IF(T$12=0,0,T95/T$12)</f>
        <v>-0.1481856144510727</v>
      </c>
      <c r="W95" s="15"/>
      <c r="X95" s="32">
        <f>+P95-T95</f>
        <v>-43413.679999999847</v>
      </c>
      <c r="Y95" s="15"/>
      <c r="Z95" s="30">
        <f>IF(T95=0,0,X95/T95)</f>
        <v>0.30181150108148563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7">
        <v>43732.709347881944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60" t="s">
        <v>313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A99" s="9"/>
      <c r="B99" s="56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25"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","430", " - ", "Res Hall Management")</f>
        <v>Department 430 - Res Hall Management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11117.11</v>
      </c>
      <c r="E18" s="22"/>
      <c r="F18" s="33">
        <f t="shared" ref="F18:F27" si="0">IF(D$12=0,0,D18/D$12)</f>
        <v>0</v>
      </c>
      <c r="G18" s="22"/>
      <c r="H18" s="22">
        <f>SUM(OSRRefH22x_0)</f>
        <v>12686.55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-1569.4399999999987</v>
      </c>
      <c r="M18" s="4"/>
      <c r="N18" s="33">
        <f t="shared" ref="N18:N27" si="3">IF(H18=0,0,L18/H18)</f>
        <v>-0.12370896737095576</v>
      </c>
      <c r="O18" s="10"/>
      <c r="P18" s="22">
        <f>SUM(OSRRefP22x_0)</f>
        <v>26034.37</v>
      </c>
      <c r="Q18" s="22"/>
      <c r="R18" s="33">
        <f t="shared" ref="R18:R27" si="4">IF(P$12=0,0,P18/P$12)</f>
        <v>0</v>
      </c>
      <c r="S18" s="22"/>
      <c r="T18" s="22">
        <f>SUM(OSRRefT22x_0)</f>
        <v>30442.280000000006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-4407.9100000000071</v>
      </c>
      <c r="Y18" s="4"/>
      <c r="Z18" s="33">
        <f t="shared" ref="Z18:Z27" si="7">IF(T18=0,0,X18/T18)</f>
        <v>-0.14479565919504078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5537.42</v>
      </c>
      <c r="E19" s="1"/>
      <c r="F19" s="5">
        <f t="shared" si="0"/>
        <v>0</v>
      </c>
      <c r="G19" s="1"/>
      <c r="H19" s="1">
        <f>SUM(OSRRefH22_0x_0)</f>
        <v>5468.7</v>
      </c>
      <c r="I19" s="1"/>
      <c r="J19" s="5">
        <f t="shared" si="1"/>
        <v>0</v>
      </c>
      <c r="K19" s="1"/>
      <c r="L19" s="1">
        <f t="shared" si="2"/>
        <v>68.720000000000255</v>
      </c>
      <c r="M19" s="1"/>
      <c r="N19" s="5">
        <f t="shared" si="3"/>
        <v>1.2566057746813733E-2</v>
      </c>
      <c r="O19" s="14"/>
      <c r="P19" s="1">
        <f>SUM(OSRRefP22_0x_0)</f>
        <v>11599.640000000001</v>
      </c>
      <c r="Q19" s="1"/>
      <c r="R19" s="5">
        <f t="shared" si="4"/>
        <v>0</v>
      </c>
      <c r="S19" s="1"/>
      <c r="T19" s="1">
        <f>SUM(OSRRefT22_0x_0)</f>
        <v>9528.9700000000012</v>
      </c>
      <c r="U19" s="1"/>
      <c r="V19" s="5">
        <f t="shared" si="5"/>
        <v>0</v>
      </c>
      <c r="W19" s="1"/>
      <c r="X19" s="1">
        <f t="shared" si="6"/>
        <v>2070.67</v>
      </c>
      <c r="Y19" s="1"/>
      <c r="Z19" s="5">
        <f t="shared" si="7"/>
        <v>0.21730260458370629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623.1</v>
      </c>
      <c r="E20" s="2"/>
      <c r="F20" s="6">
        <f t="shared" si="0"/>
        <v>0</v>
      </c>
      <c r="G20" s="2"/>
      <c r="H20" s="7">
        <v>604.94000000000005</v>
      </c>
      <c r="I20" s="2"/>
      <c r="J20" s="6">
        <f t="shared" si="1"/>
        <v>0</v>
      </c>
      <c r="K20" s="2"/>
      <c r="L20" s="7">
        <f t="shared" si="2"/>
        <v>18.159999999999968</v>
      </c>
      <c r="M20" s="2"/>
      <c r="N20" s="6">
        <f t="shared" si="3"/>
        <v>3.0019506066717307E-2</v>
      </c>
      <c r="O20" s="11"/>
      <c r="P20" s="7">
        <v>1246.2</v>
      </c>
      <c r="Q20" s="2"/>
      <c r="R20" s="6">
        <f t="shared" si="4"/>
        <v>0</v>
      </c>
      <c r="S20" s="2"/>
      <c r="T20" s="7">
        <v>1209.8800000000001</v>
      </c>
      <c r="U20" s="2"/>
      <c r="V20" s="6">
        <f t="shared" si="5"/>
        <v>0</v>
      </c>
      <c r="W20" s="2"/>
      <c r="X20" s="7">
        <f t="shared" si="6"/>
        <v>36.319999999999936</v>
      </c>
      <c r="Y20" s="2"/>
      <c r="Z20" s="6">
        <f t="shared" si="7"/>
        <v>3.0019506066717307E-2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316.02999999999997</v>
      </c>
      <c r="E21" s="2"/>
      <c r="F21" s="6">
        <f t="shared" si="0"/>
        <v>0</v>
      </c>
      <c r="G21" s="2"/>
      <c r="H21" s="7">
        <v>276.77</v>
      </c>
      <c r="I21" s="2"/>
      <c r="J21" s="6">
        <f t="shared" si="1"/>
        <v>0</v>
      </c>
      <c r="K21" s="2"/>
      <c r="L21" s="7">
        <f t="shared" si="2"/>
        <v>39.259999999999991</v>
      </c>
      <c r="M21" s="2"/>
      <c r="N21" s="6">
        <f t="shared" si="3"/>
        <v>0.14185063410051665</v>
      </c>
      <c r="O21" s="11"/>
      <c r="P21" s="7">
        <v>632.05999999999995</v>
      </c>
      <c r="Q21" s="2"/>
      <c r="R21" s="6">
        <f t="shared" si="4"/>
        <v>0</v>
      </c>
      <c r="S21" s="2"/>
      <c r="T21" s="7">
        <v>687.9</v>
      </c>
      <c r="U21" s="2"/>
      <c r="V21" s="6">
        <f t="shared" si="5"/>
        <v>0</v>
      </c>
      <c r="W21" s="2"/>
      <c r="X21" s="7">
        <f t="shared" si="6"/>
        <v>-55.840000000000032</v>
      </c>
      <c r="Y21" s="2"/>
      <c r="Z21" s="6">
        <f t="shared" si="7"/>
        <v>-8.1174589329844504E-2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2730.6</v>
      </c>
      <c r="E22" s="2"/>
      <c r="F22" s="6">
        <f t="shared" si="0"/>
        <v>0</v>
      </c>
      <c r="G22" s="2"/>
      <c r="H22" s="7">
        <v>2797.72</v>
      </c>
      <c r="I22" s="2"/>
      <c r="J22" s="6">
        <f t="shared" si="1"/>
        <v>0</v>
      </c>
      <c r="K22" s="2"/>
      <c r="L22" s="7">
        <f t="shared" si="2"/>
        <v>-67.119999999999891</v>
      </c>
      <c r="M22" s="2"/>
      <c r="N22" s="6">
        <f t="shared" si="3"/>
        <v>-2.3990964070743283E-2</v>
      </c>
      <c r="O22" s="11"/>
      <c r="P22" s="7">
        <v>5461.2</v>
      </c>
      <c r="Q22" s="2"/>
      <c r="R22" s="6">
        <f t="shared" si="4"/>
        <v>0</v>
      </c>
      <c r="S22" s="2"/>
      <c r="T22" s="7">
        <v>3847.99</v>
      </c>
      <c r="U22" s="2"/>
      <c r="V22" s="6">
        <f t="shared" si="5"/>
        <v>0</v>
      </c>
      <c r="W22" s="2"/>
      <c r="X22" s="7">
        <f t="shared" si="6"/>
        <v>1613.21</v>
      </c>
      <c r="Y22" s="2"/>
      <c r="Z22" s="6">
        <f t="shared" si="7"/>
        <v>0.41923445747000387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21.18</v>
      </c>
      <c r="E23" s="2"/>
      <c r="F23" s="6">
        <f t="shared" si="0"/>
        <v>0</v>
      </c>
      <c r="G23" s="2"/>
      <c r="H23" s="7">
        <v>20.56</v>
      </c>
      <c r="I23" s="2"/>
      <c r="J23" s="6">
        <f t="shared" si="1"/>
        <v>0</v>
      </c>
      <c r="K23" s="2"/>
      <c r="L23" s="7">
        <f t="shared" si="2"/>
        <v>0.62000000000000099</v>
      </c>
      <c r="M23" s="2"/>
      <c r="N23" s="6">
        <f t="shared" si="3"/>
        <v>3.0155642023346352E-2</v>
      </c>
      <c r="O23" s="11"/>
      <c r="P23" s="7">
        <v>42.36</v>
      </c>
      <c r="Q23" s="2"/>
      <c r="R23" s="6">
        <f t="shared" si="4"/>
        <v>0</v>
      </c>
      <c r="S23" s="2"/>
      <c r="T23" s="7">
        <v>51.1</v>
      </c>
      <c r="U23" s="2"/>
      <c r="V23" s="6">
        <f t="shared" si="5"/>
        <v>0</v>
      </c>
      <c r="W23" s="2"/>
      <c r="X23" s="7">
        <f t="shared" si="6"/>
        <v>-8.740000000000002</v>
      </c>
      <c r="Y23" s="2"/>
      <c r="Z23" s="6">
        <f t="shared" si="7"/>
        <v>-0.17103718199608614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568.92999999999995</v>
      </c>
      <c r="E24" s="2"/>
      <c r="F24" s="6">
        <f t="shared" si="0"/>
        <v>0</v>
      </c>
      <c r="G24" s="2"/>
      <c r="H24" s="7">
        <v>541.04999999999995</v>
      </c>
      <c r="I24" s="2"/>
      <c r="J24" s="6">
        <f t="shared" si="1"/>
        <v>0</v>
      </c>
      <c r="K24" s="2"/>
      <c r="L24" s="7">
        <f t="shared" si="2"/>
        <v>27.879999999999995</v>
      </c>
      <c r="M24" s="2"/>
      <c r="N24" s="6">
        <f t="shared" si="3"/>
        <v>5.1529433508917838E-2</v>
      </c>
      <c r="O24" s="11"/>
      <c r="P24" s="7">
        <v>1137.8599999999999</v>
      </c>
      <c r="Q24" s="2"/>
      <c r="R24" s="6">
        <f t="shared" si="4"/>
        <v>0</v>
      </c>
      <c r="S24" s="2"/>
      <c r="T24" s="7">
        <v>1344.75</v>
      </c>
      <c r="U24" s="2"/>
      <c r="V24" s="6">
        <f t="shared" si="5"/>
        <v>0</v>
      </c>
      <c r="W24" s="2"/>
      <c r="X24" s="7">
        <f t="shared" si="6"/>
        <v>-206.8900000000001</v>
      </c>
      <c r="Y24" s="2"/>
      <c r="Z24" s="6">
        <f t="shared" si="7"/>
        <v>-0.15385015802193724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752.4</v>
      </c>
      <c r="E25" s="2"/>
      <c r="F25" s="6">
        <f t="shared" si="0"/>
        <v>0</v>
      </c>
      <c r="G25" s="2"/>
      <c r="H25" s="7">
        <v>730.48</v>
      </c>
      <c r="I25" s="2"/>
      <c r="J25" s="6">
        <f t="shared" si="1"/>
        <v>0</v>
      </c>
      <c r="K25" s="2"/>
      <c r="L25" s="7">
        <f t="shared" si="2"/>
        <v>21.919999999999959</v>
      </c>
      <c r="M25" s="2"/>
      <c r="N25" s="6">
        <f t="shared" si="3"/>
        <v>3.0007666192092813E-2</v>
      </c>
      <c r="O25" s="11"/>
      <c r="P25" s="7">
        <v>1845.25</v>
      </c>
      <c r="Q25" s="2"/>
      <c r="R25" s="6">
        <f t="shared" si="4"/>
        <v>0</v>
      </c>
      <c r="S25" s="2"/>
      <c r="T25" s="7">
        <v>1283.25</v>
      </c>
      <c r="U25" s="2"/>
      <c r="V25" s="6">
        <f t="shared" si="5"/>
        <v>0</v>
      </c>
      <c r="W25" s="2"/>
      <c r="X25" s="7">
        <f t="shared" si="6"/>
        <v>562</v>
      </c>
      <c r="Y25" s="2"/>
      <c r="Z25" s="6">
        <f t="shared" si="7"/>
        <v>0.43795051626729009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375.68</v>
      </c>
      <c r="E26" s="2"/>
      <c r="F26" s="6">
        <f t="shared" si="0"/>
        <v>0</v>
      </c>
      <c r="G26" s="2"/>
      <c r="H26" s="7">
        <v>364.74</v>
      </c>
      <c r="I26" s="2"/>
      <c r="J26" s="6">
        <f t="shared" si="1"/>
        <v>0</v>
      </c>
      <c r="K26" s="2"/>
      <c r="L26" s="7">
        <f t="shared" si="2"/>
        <v>10.939999999999998</v>
      </c>
      <c r="M26" s="2"/>
      <c r="N26" s="6">
        <f t="shared" si="3"/>
        <v>2.9993968306190704E-2</v>
      </c>
      <c r="O26" s="11"/>
      <c r="P26" s="7">
        <v>981.86</v>
      </c>
      <c r="Q26" s="2"/>
      <c r="R26" s="6">
        <f t="shared" si="4"/>
        <v>0</v>
      </c>
      <c r="S26" s="2"/>
      <c r="T26" s="7">
        <v>849.7</v>
      </c>
      <c r="U26" s="2"/>
      <c r="V26" s="6">
        <f t="shared" si="5"/>
        <v>0</v>
      </c>
      <c r="W26" s="2"/>
      <c r="X26" s="7">
        <f t="shared" si="6"/>
        <v>132.15999999999997</v>
      </c>
      <c r="Y26" s="2"/>
      <c r="Z26" s="6">
        <f t="shared" si="7"/>
        <v>0.15553724844062605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149.5</v>
      </c>
      <c r="E27" s="2"/>
      <c r="F27" s="6">
        <f t="shared" si="0"/>
        <v>0</v>
      </c>
      <c r="G27" s="2"/>
      <c r="H27" s="7">
        <v>132.44</v>
      </c>
      <c r="I27" s="2"/>
      <c r="J27" s="6">
        <f t="shared" si="1"/>
        <v>0</v>
      </c>
      <c r="K27" s="2"/>
      <c r="L27" s="7">
        <f t="shared" si="2"/>
        <v>17.060000000000002</v>
      </c>
      <c r="M27" s="2"/>
      <c r="N27" s="6">
        <f t="shared" si="3"/>
        <v>0.12881304741769861</v>
      </c>
      <c r="O27" s="11"/>
      <c r="P27" s="7">
        <v>252.85</v>
      </c>
      <c r="Q27" s="2"/>
      <c r="R27" s="6">
        <f t="shared" si="4"/>
        <v>0</v>
      </c>
      <c r="S27" s="2"/>
      <c r="T27" s="7">
        <v>254.4</v>
      </c>
      <c r="U27" s="2"/>
      <c r="V27" s="6">
        <f t="shared" si="5"/>
        <v>0</v>
      </c>
      <c r="W27" s="2"/>
      <c r="X27" s="7">
        <f t="shared" si="6"/>
        <v>-1.5500000000000114</v>
      </c>
      <c r="Y27" s="2"/>
      <c r="Z27" s="6">
        <f t="shared" si="7"/>
        <v>-6.0927672955975289E-3</v>
      </c>
    </row>
    <row r="28" spans="1:26" s="27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5294.28</v>
      </c>
      <c r="E28" s="1"/>
      <c r="F28" s="5">
        <f t="shared" ref="F28:F36" si="8">IF(D$12=0,0,D28/D$12)</f>
        <v>0</v>
      </c>
      <c r="G28" s="1"/>
      <c r="H28" s="1">
        <f>SUM(OSRRefH22_1x_0)</f>
        <v>6326.24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-1031.96</v>
      </c>
      <c r="M28" s="1"/>
      <c r="N28" s="5">
        <f t="shared" ref="N28:N36" si="11">IF(H28=0,0,L28/H28)</f>
        <v>-0.16312375123295988</v>
      </c>
      <c r="O28" s="14"/>
      <c r="P28" s="1">
        <f>SUM(OSRRefP22_1x_0)</f>
        <v>13031.81</v>
      </c>
      <c r="Q28" s="1"/>
      <c r="R28" s="5">
        <f t="shared" ref="R28:R36" si="12">IF(P$12=0,0,P28/P$12)</f>
        <v>0</v>
      </c>
      <c r="S28" s="1"/>
      <c r="T28" s="1">
        <f>SUM(OSRRefT22_1x_0)</f>
        <v>16211.04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-3179.2300000000014</v>
      </c>
      <c r="Y28" s="1"/>
      <c r="Z28" s="5">
        <f t="shared" ref="Z28:Z36" si="15">IF(T28=0,0,X28/T28)</f>
        <v>-0.19611511661188927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>
        <v>5294.28</v>
      </c>
      <c r="E29" s="2"/>
      <c r="F29" s="6">
        <f t="shared" si="8"/>
        <v>0</v>
      </c>
      <c r="G29" s="2"/>
      <c r="H29" s="7">
        <v>6326.24</v>
      </c>
      <c r="I29" s="2"/>
      <c r="J29" s="6">
        <f t="shared" si="9"/>
        <v>0</v>
      </c>
      <c r="K29" s="2"/>
      <c r="L29" s="7">
        <f t="shared" si="10"/>
        <v>-1031.96</v>
      </c>
      <c r="M29" s="2"/>
      <c r="N29" s="6">
        <f t="shared" si="11"/>
        <v>-0.16312375123295988</v>
      </c>
      <c r="O29" s="11"/>
      <c r="P29" s="7">
        <v>13031.81</v>
      </c>
      <c r="Q29" s="2"/>
      <c r="R29" s="6">
        <f t="shared" si="12"/>
        <v>0</v>
      </c>
      <c r="S29" s="2"/>
      <c r="T29" s="7">
        <v>16211.04</v>
      </c>
      <c r="U29" s="2"/>
      <c r="V29" s="6">
        <f t="shared" si="13"/>
        <v>0</v>
      </c>
      <c r="W29" s="2"/>
      <c r="X29" s="7">
        <f t="shared" si="14"/>
        <v>-3179.2300000000014</v>
      </c>
      <c r="Y29" s="2"/>
      <c r="Z29" s="6">
        <f t="shared" si="15"/>
        <v>-0.19611511661188927</v>
      </c>
    </row>
    <row r="30" spans="1:26" s="27" customFormat="1" outlineLevel="1" collapsed="1" x14ac:dyDescent="0.25">
      <c r="A30" s="28"/>
      <c r="B30" s="14" t="str">
        <f>CONCATENATE("     ","Employees' Appreciation                           ")</f>
        <v xml:space="preserve">     Employees' Appreciation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40.9</v>
      </c>
      <c r="U30" s="1"/>
      <c r="V30" s="5">
        <f t="shared" si="13"/>
        <v>0</v>
      </c>
      <c r="W30" s="1"/>
      <c r="X30" s="1">
        <f t="shared" si="14"/>
        <v>-40.9</v>
      </c>
      <c r="Y30" s="1"/>
      <c r="Z30" s="5">
        <f t="shared" si="15"/>
        <v>-1</v>
      </c>
    </row>
    <row r="31" spans="1:26" s="24" customFormat="1" hidden="1" outlineLevel="2" x14ac:dyDescent="0.25">
      <c r="A31" s="29"/>
      <c r="B31" s="11" t="str">
        <f>CONCATENATE("          ", "6277", " - ", "EMPLOYEE APPRECIATION")</f>
        <v xml:space="preserve">          6277 - EMPLOYEE APPRECIATION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40.9</v>
      </c>
      <c r="U31" s="2"/>
      <c r="V31" s="6">
        <f t="shared" si="13"/>
        <v>0</v>
      </c>
      <c r="W31" s="2"/>
      <c r="X31" s="7">
        <f t="shared" si="14"/>
        <v>-40.9</v>
      </c>
      <c r="Y31" s="2"/>
      <c r="Z31" s="6">
        <f t="shared" si="15"/>
        <v>-1</v>
      </c>
    </row>
    <row r="32" spans="1:26" s="27" customFormat="1" outlineLevel="1" collapsed="1" x14ac:dyDescent="0.25">
      <c r="A32" s="28"/>
      <c r="B32" s="14" t="str">
        <f>CONCATENATE("     ","General                                           ")</f>
        <v xml:space="preserve">     General                                           </v>
      </c>
      <c r="C32" s="14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303.27</v>
      </c>
      <c r="I32" s="1"/>
      <c r="J32" s="5">
        <f t="shared" si="9"/>
        <v>0</v>
      </c>
      <c r="K32" s="1"/>
      <c r="L32" s="1">
        <f t="shared" si="10"/>
        <v>-303.27</v>
      </c>
      <c r="M32" s="1"/>
      <c r="N32" s="5">
        <f t="shared" si="11"/>
        <v>-1</v>
      </c>
      <c r="O32" s="14"/>
      <c r="P32" s="1">
        <f>SUM(OSRRefP22_3x_0)</f>
        <v>127.55</v>
      </c>
      <c r="Q32" s="1"/>
      <c r="R32" s="5">
        <f t="shared" si="12"/>
        <v>0</v>
      </c>
      <c r="S32" s="1"/>
      <c r="T32" s="1">
        <f>SUM(OSRRefT22_3x_0)</f>
        <v>303.27</v>
      </c>
      <c r="U32" s="1"/>
      <c r="V32" s="5">
        <f t="shared" si="13"/>
        <v>0</v>
      </c>
      <c r="W32" s="1"/>
      <c r="X32" s="1">
        <f t="shared" si="14"/>
        <v>-175.71999999999997</v>
      </c>
      <c r="Y32" s="1"/>
      <c r="Z32" s="5">
        <f t="shared" si="15"/>
        <v>-0.57941768061463372</v>
      </c>
    </row>
    <row r="33" spans="1:26" s="24" customFormat="1" hidden="1" outlineLevel="2" x14ac:dyDescent="0.25">
      <c r="A33" s="29"/>
      <c r="B33" s="11" t="str">
        <f>CONCATENATE("          ", "6279", " - ", "GENERAL EXPENSE")</f>
        <v xml:space="preserve">          6279 - GENERAL EXPENSE</v>
      </c>
      <c r="C33" s="11"/>
      <c r="D33" s="7"/>
      <c r="E33" s="2"/>
      <c r="F33" s="6">
        <f t="shared" si="8"/>
        <v>0</v>
      </c>
      <c r="G33" s="2"/>
      <c r="H33" s="7">
        <v>303.27</v>
      </c>
      <c r="I33" s="2"/>
      <c r="J33" s="6">
        <f t="shared" si="9"/>
        <v>0</v>
      </c>
      <c r="K33" s="2"/>
      <c r="L33" s="7">
        <f t="shared" si="10"/>
        <v>-303.27</v>
      </c>
      <c r="M33" s="2"/>
      <c r="N33" s="6">
        <f t="shared" si="11"/>
        <v>-1</v>
      </c>
      <c r="O33" s="11"/>
      <c r="P33" s="7">
        <v>127.55</v>
      </c>
      <c r="Q33" s="2"/>
      <c r="R33" s="6">
        <f t="shared" si="12"/>
        <v>0</v>
      </c>
      <c r="S33" s="2"/>
      <c r="T33" s="7">
        <v>303.27</v>
      </c>
      <c r="U33" s="2"/>
      <c r="V33" s="6">
        <f t="shared" si="13"/>
        <v>0</v>
      </c>
      <c r="W33" s="2"/>
      <c r="X33" s="7">
        <f t="shared" si="14"/>
        <v>-175.71999999999997</v>
      </c>
      <c r="Y33" s="2"/>
      <c r="Z33" s="6">
        <f t="shared" si="15"/>
        <v>-0.57941768061463372</v>
      </c>
    </row>
    <row r="34" spans="1:26" s="27" customFormat="1" outlineLevel="1" collapsed="1" x14ac:dyDescent="0.25">
      <c r="A34" s="28"/>
      <c r="B34" s="14" t="str">
        <f>CONCATENATE("     ","Supplies                                          ")</f>
        <v xml:space="preserve">     Supplies                                          </v>
      </c>
      <c r="C34" s="14"/>
      <c r="D34" s="1">
        <f>SUM(OSRRefD22_4x_0)</f>
        <v>115.51</v>
      </c>
      <c r="E34" s="1"/>
      <c r="F34" s="5">
        <f t="shared" si="8"/>
        <v>0</v>
      </c>
      <c r="G34" s="1"/>
      <c r="H34" s="1">
        <f>SUM(OSRRefH22_4x_0)</f>
        <v>309.76</v>
      </c>
      <c r="I34" s="1"/>
      <c r="J34" s="5">
        <f t="shared" si="9"/>
        <v>0</v>
      </c>
      <c r="K34" s="1"/>
      <c r="L34" s="1">
        <f t="shared" si="10"/>
        <v>-194.25</v>
      </c>
      <c r="M34" s="1"/>
      <c r="N34" s="5">
        <f t="shared" si="11"/>
        <v>-0.62709839876033058</v>
      </c>
      <c r="O34" s="14"/>
      <c r="P34" s="1">
        <f>SUM(OSRRefP22_4x_0)</f>
        <v>734.35</v>
      </c>
      <c r="Q34" s="1"/>
      <c r="R34" s="5">
        <f t="shared" si="12"/>
        <v>0</v>
      </c>
      <c r="S34" s="1"/>
      <c r="T34" s="1">
        <f>SUM(OSRRefT22_4x_0)</f>
        <v>641.74</v>
      </c>
      <c r="U34" s="1"/>
      <c r="V34" s="5">
        <f t="shared" si="13"/>
        <v>0</v>
      </c>
      <c r="W34" s="1"/>
      <c r="X34" s="1">
        <f t="shared" si="14"/>
        <v>92.610000000000014</v>
      </c>
      <c r="Y34" s="1"/>
      <c r="Z34" s="5">
        <f t="shared" si="15"/>
        <v>0.14431078006669371</v>
      </c>
    </row>
    <row r="35" spans="1:26" s="24" customFormat="1" hidden="1" outlineLevel="2" x14ac:dyDescent="0.25">
      <c r="A35" s="29"/>
      <c r="B35" s="11" t="str">
        <f>CONCATENATE("          ", "6241", " - ", "OFFICE EXPENSE")</f>
        <v xml:space="preserve">          6241 - OFFICE EXPENSE</v>
      </c>
      <c r="C35" s="11"/>
      <c r="D35" s="7">
        <v>115.51</v>
      </c>
      <c r="E35" s="2"/>
      <c r="F35" s="6">
        <f t="shared" si="8"/>
        <v>0</v>
      </c>
      <c r="G35" s="2"/>
      <c r="H35" s="7">
        <v>309.76</v>
      </c>
      <c r="I35" s="2"/>
      <c r="J35" s="6">
        <f t="shared" si="9"/>
        <v>0</v>
      </c>
      <c r="K35" s="2"/>
      <c r="L35" s="7">
        <f t="shared" si="10"/>
        <v>-194.25</v>
      </c>
      <c r="M35" s="2"/>
      <c r="N35" s="6">
        <f t="shared" si="11"/>
        <v>-0.62709839876033058</v>
      </c>
      <c r="O35" s="11"/>
      <c r="P35" s="7">
        <v>734.35</v>
      </c>
      <c r="Q35" s="2"/>
      <c r="R35" s="6">
        <f t="shared" si="12"/>
        <v>0</v>
      </c>
      <c r="S35" s="2"/>
      <c r="T35" s="7">
        <v>334.95</v>
      </c>
      <c r="U35" s="2"/>
      <c r="V35" s="6">
        <f t="shared" si="13"/>
        <v>0</v>
      </c>
      <c r="W35" s="2"/>
      <c r="X35" s="7">
        <f t="shared" si="14"/>
        <v>399.40000000000003</v>
      </c>
      <c r="Y35" s="2"/>
      <c r="Z35" s="6">
        <f t="shared" si="15"/>
        <v>1.1924167786236752</v>
      </c>
    </row>
    <row r="36" spans="1:26" s="24" customFormat="1" hidden="1" outlineLevel="2" x14ac:dyDescent="0.25">
      <c r="A36" s="29"/>
      <c r="B36" s="11" t="str">
        <f>CONCATENATE("          ", "6245", " - ", "PRINTING")</f>
        <v xml:space="preserve">          6245 - PRINTING</v>
      </c>
      <c r="C36" s="11"/>
      <c r="D36" s="7"/>
      <c r="E36" s="2"/>
      <c r="F36" s="6">
        <f t="shared" si="8"/>
        <v>0</v>
      </c>
      <c r="G36" s="2"/>
      <c r="H36" s="7"/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306.79000000000002</v>
      </c>
      <c r="U36" s="2"/>
      <c r="V36" s="6">
        <f t="shared" si="13"/>
        <v>0</v>
      </c>
      <c r="W36" s="2"/>
      <c r="X36" s="7">
        <f t="shared" si="14"/>
        <v>-306.79000000000002</v>
      </c>
      <c r="Y36" s="2"/>
      <c r="Z36" s="6">
        <f t="shared" si="15"/>
        <v>-1</v>
      </c>
    </row>
    <row r="37" spans="1:26" s="27" customFormat="1" outlineLevel="1" collapsed="1" x14ac:dyDescent="0.25">
      <c r="A37" s="28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50</v>
      </c>
      <c r="E37" s="1"/>
      <c r="F37" s="5">
        <f t="shared" ref="F37:F42" si="16">IF(D$12=0,0,D37/D$12)</f>
        <v>0</v>
      </c>
      <c r="G37" s="1"/>
      <c r="H37" s="1">
        <f>SUM(OSRRefH22_5x_0)</f>
        <v>50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0</v>
      </c>
      <c r="M37" s="1"/>
      <c r="N37" s="5">
        <f t="shared" ref="N37:N42" si="19">IF(H37=0,0,L37/H37)</f>
        <v>0</v>
      </c>
      <c r="O37" s="14"/>
      <c r="P37" s="1">
        <f>SUM(OSRRefP22_5x_0)</f>
        <v>-900</v>
      </c>
      <c r="Q37" s="1"/>
      <c r="R37" s="5">
        <f t="shared" ref="R37:R42" si="20">IF(P$12=0,0,P37/P$12)</f>
        <v>0</v>
      </c>
      <c r="S37" s="1"/>
      <c r="T37" s="1">
        <f>SUM(OSRRefT22_5x_0)</f>
        <v>10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-910</v>
      </c>
      <c r="Y37" s="1"/>
      <c r="Z37" s="5">
        <f t="shared" ref="Z37:Z42" si="23">IF(T37=0,0,X37/T37)</f>
        <v>-91</v>
      </c>
    </row>
    <row r="38" spans="1:26" s="24" customFormat="1" hidden="1" outlineLevel="2" x14ac:dyDescent="0.25">
      <c r="A38" s="29"/>
      <c r="B38" s="11" t="str">
        <f>CONCATENATE("          ", "6309", " - ", "TELEPHONE")</f>
        <v xml:space="preserve">          6309 - TELEPHONE</v>
      </c>
      <c r="C38" s="11"/>
      <c r="D38" s="7">
        <v>50</v>
      </c>
      <c r="E38" s="2"/>
      <c r="F38" s="6">
        <f t="shared" si="16"/>
        <v>0</v>
      </c>
      <c r="G38" s="2"/>
      <c r="H38" s="7">
        <v>50</v>
      </c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>
        <v>-900</v>
      </c>
      <c r="Q38" s="2"/>
      <c r="R38" s="6">
        <f t="shared" si="20"/>
        <v>0</v>
      </c>
      <c r="S38" s="2"/>
      <c r="T38" s="7">
        <v>10</v>
      </c>
      <c r="U38" s="2"/>
      <c r="V38" s="6">
        <f t="shared" si="21"/>
        <v>0</v>
      </c>
      <c r="W38" s="2"/>
      <c r="X38" s="7">
        <f t="shared" si="22"/>
        <v>-910</v>
      </c>
      <c r="Y38" s="2"/>
      <c r="Z38" s="6">
        <f t="shared" si="23"/>
        <v>-91</v>
      </c>
    </row>
    <row r="39" spans="1:26" s="27" customFormat="1" outlineLevel="1" collapsed="1" x14ac:dyDescent="0.25">
      <c r="A39" s="28"/>
      <c r="B39" s="14" t="str">
        <f>CONCATENATE("     ","Training                                          ")</f>
        <v xml:space="preserve">     Training                                          </v>
      </c>
      <c r="C39" s="14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26.25</v>
      </c>
      <c r="I39" s="1"/>
      <c r="J39" s="5">
        <f t="shared" si="17"/>
        <v>0</v>
      </c>
      <c r="K39" s="1"/>
      <c r="L39" s="1">
        <f t="shared" si="18"/>
        <v>-26.25</v>
      </c>
      <c r="M39" s="1"/>
      <c r="N39" s="5">
        <f t="shared" si="19"/>
        <v>-1</v>
      </c>
      <c r="O39" s="14"/>
      <c r="P39" s="1">
        <f>SUM(OSRRefP22_6x_0)</f>
        <v>1321.12</v>
      </c>
      <c r="Q39" s="1"/>
      <c r="R39" s="5">
        <f t="shared" si="20"/>
        <v>0</v>
      </c>
      <c r="S39" s="1"/>
      <c r="T39" s="1">
        <f>SUM(OSRRefT22_6x_0)</f>
        <v>2718.86</v>
      </c>
      <c r="U39" s="1"/>
      <c r="V39" s="5">
        <f t="shared" si="21"/>
        <v>0</v>
      </c>
      <c r="W39" s="1"/>
      <c r="X39" s="1">
        <f t="shared" si="22"/>
        <v>-1397.7400000000002</v>
      </c>
      <c r="Y39" s="1"/>
      <c r="Z39" s="5">
        <f t="shared" si="23"/>
        <v>-0.51409046438580885</v>
      </c>
    </row>
    <row r="40" spans="1:26" s="24" customFormat="1" hidden="1" outlineLevel="2" x14ac:dyDescent="0.25">
      <c r="A40" s="29"/>
      <c r="B40" s="11" t="str">
        <f>CONCATENATE("          ", "6376", " - ", "TRAINING")</f>
        <v xml:space="preserve">          6376 - TRAINING</v>
      </c>
      <c r="C40" s="11"/>
      <c r="D40" s="7"/>
      <c r="E40" s="2"/>
      <c r="F40" s="6">
        <f t="shared" si="16"/>
        <v>0</v>
      </c>
      <c r="G40" s="2"/>
      <c r="H40" s="7">
        <v>26.25</v>
      </c>
      <c r="I40" s="2"/>
      <c r="J40" s="6">
        <f t="shared" si="17"/>
        <v>0</v>
      </c>
      <c r="K40" s="2"/>
      <c r="L40" s="7">
        <f t="shared" si="18"/>
        <v>-26.25</v>
      </c>
      <c r="M40" s="2"/>
      <c r="N40" s="6">
        <f t="shared" si="19"/>
        <v>-1</v>
      </c>
      <c r="O40" s="11"/>
      <c r="P40" s="7">
        <v>1321.12</v>
      </c>
      <c r="Q40" s="2"/>
      <c r="R40" s="6">
        <f t="shared" si="20"/>
        <v>0</v>
      </c>
      <c r="S40" s="2"/>
      <c r="T40" s="7">
        <v>2718.86</v>
      </c>
      <c r="U40" s="2"/>
      <c r="V40" s="6">
        <f t="shared" si="21"/>
        <v>0</v>
      </c>
      <c r="W40" s="2"/>
      <c r="X40" s="7">
        <f t="shared" si="22"/>
        <v>-1397.7400000000002</v>
      </c>
      <c r="Y40" s="2"/>
      <c r="Z40" s="6">
        <f t="shared" si="23"/>
        <v>-0.51409046438580885</v>
      </c>
    </row>
    <row r="41" spans="1:26" s="27" customFormat="1" outlineLevel="1" collapsed="1" x14ac:dyDescent="0.25">
      <c r="A41" s="28"/>
      <c r="B41" s="14" t="str">
        <f>CONCATENATE("     ","Travel                                            ")</f>
        <v xml:space="preserve">     Travel                                            </v>
      </c>
      <c r="C41" s="14"/>
      <c r="D41" s="1">
        <f>SUM(OSRRefD22_7x_0)</f>
        <v>119.9</v>
      </c>
      <c r="E41" s="1"/>
      <c r="F41" s="5">
        <f t="shared" si="16"/>
        <v>0</v>
      </c>
      <c r="G41" s="1"/>
      <c r="H41" s="1">
        <f>SUM(OSRRefH22_7x_0)</f>
        <v>202.33</v>
      </c>
      <c r="I41" s="1"/>
      <c r="J41" s="5">
        <f t="shared" si="17"/>
        <v>0</v>
      </c>
      <c r="K41" s="1"/>
      <c r="L41" s="1">
        <f t="shared" si="18"/>
        <v>-82.43</v>
      </c>
      <c r="M41" s="1"/>
      <c r="N41" s="5">
        <f t="shared" si="19"/>
        <v>-0.40740374635496468</v>
      </c>
      <c r="O41" s="14"/>
      <c r="P41" s="1">
        <f>SUM(OSRRefP22_7x_0)</f>
        <v>119.9</v>
      </c>
      <c r="Q41" s="1"/>
      <c r="R41" s="5">
        <f t="shared" si="20"/>
        <v>0</v>
      </c>
      <c r="S41" s="1"/>
      <c r="T41" s="1">
        <f>SUM(OSRRefT22_7x_0)</f>
        <v>987.5</v>
      </c>
      <c r="U41" s="1"/>
      <c r="V41" s="5">
        <f t="shared" si="21"/>
        <v>0</v>
      </c>
      <c r="W41" s="1"/>
      <c r="X41" s="1">
        <f t="shared" si="22"/>
        <v>-867.6</v>
      </c>
      <c r="Y41" s="1"/>
      <c r="Z41" s="5">
        <f t="shared" si="23"/>
        <v>-0.87858227848101267</v>
      </c>
    </row>
    <row r="42" spans="1:26" s="24" customFormat="1" hidden="1" outlineLevel="2" x14ac:dyDescent="0.25">
      <c r="A42" s="29"/>
      <c r="B42" s="11" t="str">
        <f>CONCATENATE("          ", "6292", " - ", "TRAVEL/CONFERENCE")</f>
        <v xml:space="preserve">          6292 - TRAVEL/CONFERENCE</v>
      </c>
      <c r="C42" s="11"/>
      <c r="D42" s="7">
        <v>119.9</v>
      </c>
      <c r="E42" s="2"/>
      <c r="F42" s="6">
        <f t="shared" si="16"/>
        <v>0</v>
      </c>
      <c r="G42" s="2"/>
      <c r="H42" s="7">
        <v>202.33</v>
      </c>
      <c r="I42" s="2"/>
      <c r="J42" s="6">
        <f t="shared" si="17"/>
        <v>0</v>
      </c>
      <c r="K42" s="2"/>
      <c r="L42" s="7">
        <f t="shared" si="18"/>
        <v>-82.43</v>
      </c>
      <c r="M42" s="2"/>
      <c r="N42" s="6">
        <f t="shared" si="19"/>
        <v>-0.40740374635496468</v>
      </c>
      <c r="O42" s="11"/>
      <c r="P42" s="7">
        <v>119.9</v>
      </c>
      <c r="Q42" s="2"/>
      <c r="R42" s="6">
        <f t="shared" si="20"/>
        <v>0</v>
      </c>
      <c r="S42" s="2"/>
      <c r="T42" s="7">
        <v>987.5</v>
      </c>
      <c r="U42" s="2"/>
      <c r="V42" s="6">
        <f t="shared" si="21"/>
        <v>0</v>
      </c>
      <c r="W42" s="2"/>
      <c r="X42" s="7">
        <f t="shared" si="22"/>
        <v>-867.6</v>
      </c>
      <c r="Y42" s="2"/>
      <c r="Z42" s="6">
        <f t="shared" si="23"/>
        <v>-0.87858227848101267</v>
      </c>
    </row>
    <row r="43" spans="1:26" s="62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5" t="s">
        <v>0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6" t="s">
        <v>3</v>
      </c>
      <c r="C46" s="26"/>
      <c r="D46" s="20">
        <f>+D16-D18+D44</f>
        <v>-11117.11</v>
      </c>
      <c r="E46" s="13"/>
      <c r="F46" s="19">
        <f>IF(D$12=0,0,D46/D$12)</f>
        <v>0</v>
      </c>
      <c r="G46" s="13"/>
      <c r="H46" s="20">
        <f>+H16-H18+H44</f>
        <v>-12686.55</v>
      </c>
      <c r="I46" s="13"/>
      <c r="J46" s="19">
        <f>IF(H$12=0,0,H46/H$12)</f>
        <v>0</v>
      </c>
      <c r="K46" s="15"/>
      <c r="L46" s="20">
        <f>+D46-H46</f>
        <v>1569.4399999999987</v>
      </c>
      <c r="M46" s="15"/>
      <c r="N46" s="19">
        <f>IF(H46=0,0,L46/H46)</f>
        <v>-0.12370896737095576</v>
      </c>
      <c r="O46" s="25"/>
      <c r="P46" s="20">
        <f>+P16-P18+P44</f>
        <v>-26034.37</v>
      </c>
      <c r="Q46" s="13"/>
      <c r="R46" s="19">
        <f>IF(P$12=0,0,P46/P$12)</f>
        <v>0</v>
      </c>
      <c r="S46" s="13"/>
      <c r="T46" s="20">
        <f>+T16-T18+T44</f>
        <v>-30442.280000000006</v>
      </c>
      <c r="U46" s="13"/>
      <c r="V46" s="19">
        <f>IF(T$12=0,0,T46/T$12)</f>
        <v>0</v>
      </c>
      <c r="W46" s="15"/>
      <c r="X46" s="20">
        <f>+P46-T46</f>
        <v>4407.9100000000071</v>
      </c>
      <c r="Y46" s="15"/>
      <c r="Z46" s="19">
        <f>IF(T46=0,0,X46/T46)</f>
        <v>-0.14479565919504078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6" t="s">
        <v>4</v>
      </c>
      <c r="C50" s="26"/>
      <c r="D50" s="31">
        <f>+D46-D48</f>
        <v>-11117.11</v>
      </c>
      <c r="E50" s="13"/>
      <c r="F50" s="36">
        <f>IF(D$12=0,0,D50/D$12)</f>
        <v>0</v>
      </c>
      <c r="G50" s="13"/>
      <c r="H50" s="31">
        <f>+H46-H48</f>
        <v>-12686.55</v>
      </c>
      <c r="I50" s="13"/>
      <c r="J50" s="36">
        <f>IF(H$12=0,0,H50/H$12)</f>
        <v>0</v>
      </c>
      <c r="K50" s="15"/>
      <c r="L50" s="31">
        <f>D50-H50</f>
        <v>1569.4399999999987</v>
      </c>
      <c r="M50" s="15"/>
      <c r="N50" s="36">
        <f>IF(H50=0,0,L50/H50)</f>
        <v>-0.12370896737095576</v>
      </c>
      <c r="O50" s="25"/>
      <c r="P50" s="31">
        <f>+P46-P48</f>
        <v>-26034.37</v>
      </c>
      <c r="Q50" s="13"/>
      <c r="R50" s="36">
        <f>IF(P$12=0,0,P50/P$12)</f>
        <v>0</v>
      </c>
      <c r="S50" s="13"/>
      <c r="T50" s="31">
        <f>+T46-T48</f>
        <v>-30442.280000000006</v>
      </c>
      <c r="U50" s="13"/>
      <c r="V50" s="36">
        <f>IF(T$12=0,0,T50/T$12)</f>
        <v>0</v>
      </c>
      <c r="W50" s="15"/>
      <c r="X50" s="31">
        <f>P50-T50</f>
        <v>4407.9100000000071</v>
      </c>
      <c r="Y50" s="15"/>
      <c r="Z50" s="36">
        <f>IF(T50=0,0,X50/T50)</f>
        <v>-0.14479565919504078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6" t="s">
        <v>5</v>
      </c>
      <c r="C53" s="26"/>
      <c r="D53" s="32">
        <f>SUM(D50:D52)</f>
        <v>-11117.11</v>
      </c>
      <c r="E53" s="13"/>
      <c r="F53" s="30">
        <f>IF(D$12=0,0,D53/D$12)</f>
        <v>0</v>
      </c>
      <c r="G53" s="13"/>
      <c r="H53" s="32">
        <f>SUM(H50:H52)</f>
        <v>-12686.55</v>
      </c>
      <c r="I53" s="13"/>
      <c r="J53" s="30">
        <f>IF(H$12=0,0,H53/H$12)</f>
        <v>0</v>
      </c>
      <c r="K53" s="15"/>
      <c r="L53" s="32">
        <f>+D53-H53</f>
        <v>1569.4399999999987</v>
      </c>
      <c r="M53" s="15"/>
      <c r="N53" s="30">
        <f>IF(H53=0,0,L53/H53)</f>
        <v>-0.12370896737095576</v>
      </c>
      <c r="O53" s="25"/>
      <c r="P53" s="32">
        <f>SUM(P50:P52)</f>
        <v>-26034.37</v>
      </c>
      <c r="Q53" s="13"/>
      <c r="R53" s="30">
        <f>IF(P$12=0,0,P53/P$12)</f>
        <v>0</v>
      </c>
      <c r="S53" s="13"/>
      <c r="T53" s="32">
        <f>SUM(T50:T52)</f>
        <v>-30442.280000000006</v>
      </c>
      <c r="U53" s="13"/>
      <c r="V53" s="30">
        <f>IF(T$12=0,0,T53/T$12)</f>
        <v>0</v>
      </c>
      <c r="W53" s="15"/>
      <c r="X53" s="32">
        <f>+P53-T53</f>
        <v>4407.9100000000071</v>
      </c>
      <c r="Y53" s="15"/>
      <c r="Z53" s="30">
        <f>IF(T53=0,0,X53/T53)</f>
        <v>-0.14479565919504078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57">
        <v>43732.710188738427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60" t="s">
        <v>313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56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","433", " - ", "Hillside Dining Hall")</f>
        <v>Department 433 - Hillside Dining Hall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241985.54</v>
      </c>
      <c r="E12" s="4"/>
      <c r="F12" s="12"/>
      <c r="G12" s="4"/>
      <c r="H12" s="4">
        <f>SUM(OSRRefH13x_0)</f>
        <v>214005.05000000002</v>
      </c>
      <c r="I12" s="4"/>
      <c r="J12" s="12"/>
      <c r="K12" s="4"/>
      <c r="L12" s="4">
        <f t="shared" ref="L12:L16" si="0">+D12-H12</f>
        <v>27980.489999999991</v>
      </c>
      <c r="M12" s="4"/>
      <c r="N12" s="12">
        <f t="shared" ref="N12:N16" si="1">IF(H12=0,0,L12/H12)</f>
        <v>0.13074686788933246</v>
      </c>
      <c r="O12" s="10"/>
      <c r="P12" s="4">
        <f>SUM(OSRRefP13x_0)</f>
        <v>488485.16</v>
      </c>
      <c r="Q12" s="4"/>
      <c r="R12" s="12"/>
      <c r="S12" s="4"/>
      <c r="T12" s="4">
        <f>SUM(OSRRefT13x_0)</f>
        <v>498024.76000000007</v>
      </c>
      <c r="U12" s="4"/>
      <c r="V12" s="12"/>
      <c r="W12" s="4"/>
      <c r="X12" s="4">
        <f t="shared" ref="X12:X16" si="2">+P12-T12</f>
        <v>-9539.6000000000931</v>
      </c>
      <c r="Y12" s="4"/>
      <c r="Z12" s="12">
        <f t="shared" ref="Z12:Z16" si="3">IF(T12=0,0,X12/T12)</f>
        <v>-1.9154870934529625E-2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2">
        <f>--75.32</f>
        <v>75.319999999999993</v>
      </c>
      <c r="E13" s="2"/>
      <c r="F13" s="21"/>
      <c r="G13" s="2"/>
      <c r="H13" s="2">
        <f>--486.73</f>
        <v>486.73</v>
      </c>
      <c r="I13" s="2"/>
      <c r="J13" s="21"/>
      <c r="K13" s="2"/>
      <c r="L13" s="2">
        <f t="shared" si="0"/>
        <v>-411.41</v>
      </c>
      <c r="M13" s="2"/>
      <c r="N13" s="21">
        <f t="shared" si="1"/>
        <v>-0.84525301501859351</v>
      </c>
      <c r="O13" s="11"/>
      <c r="P13" s="2">
        <f>--733.97</f>
        <v>733.97</v>
      </c>
      <c r="Q13" s="2"/>
      <c r="R13" s="21"/>
      <c r="S13" s="2"/>
      <c r="T13" s="2">
        <f>--2705.27</f>
        <v>2705.27</v>
      </c>
      <c r="U13" s="2"/>
      <c r="V13" s="21"/>
      <c r="W13" s="2"/>
      <c r="X13" s="2">
        <f t="shared" si="2"/>
        <v>-1971.3</v>
      </c>
      <c r="Y13" s="2"/>
      <c r="Z13" s="21">
        <f t="shared" si="3"/>
        <v>-0.72868881849131506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--144700.94</f>
        <v>144700.94</v>
      </c>
      <c r="E14" s="2"/>
      <c r="F14" s="21"/>
      <c r="G14" s="2"/>
      <c r="H14" s="2">
        <f>--152132.69</f>
        <v>152132.69</v>
      </c>
      <c r="I14" s="2"/>
      <c r="J14" s="21"/>
      <c r="K14" s="2"/>
      <c r="L14" s="2">
        <f t="shared" si="0"/>
        <v>-7431.75</v>
      </c>
      <c r="M14" s="2"/>
      <c r="N14" s="21">
        <f t="shared" si="1"/>
        <v>-4.8850447592821762E-2</v>
      </c>
      <c r="O14" s="11"/>
      <c r="P14" s="2">
        <f>--387305.89</f>
        <v>387305.89</v>
      </c>
      <c r="Q14" s="2"/>
      <c r="R14" s="21"/>
      <c r="S14" s="2"/>
      <c r="T14" s="2">
        <f>--429021.13</f>
        <v>429021.13</v>
      </c>
      <c r="U14" s="2"/>
      <c r="V14" s="21"/>
      <c r="W14" s="2"/>
      <c r="X14" s="2">
        <f t="shared" si="2"/>
        <v>-41715.239999999991</v>
      </c>
      <c r="Y14" s="2"/>
      <c r="Z14" s="21">
        <f t="shared" si="3"/>
        <v>-9.7233532530204253E-2</v>
      </c>
    </row>
    <row r="15" spans="1:26" s="24" customFormat="1" hidden="1" outlineLevel="1" x14ac:dyDescent="0.25">
      <c r="A15" s="50"/>
      <c r="B15" s="11" t="str">
        <f>CONCATENATE("          ", "4153", " - ", "NON-TAXABLE SALES-FOOD")</f>
        <v xml:space="preserve">          4153 - NON-TAXABLE SALES-FOOD</v>
      </c>
      <c r="C15" s="11"/>
      <c r="D15" s="2">
        <f>--97209.28</f>
        <v>97209.279999999999</v>
      </c>
      <c r="E15" s="2"/>
      <c r="F15" s="21"/>
      <c r="G15" s="2"/>
      <c r="H15" s="2">
        <f>--60330.73</f>
        <v>60330.73</v>
      </c>
      <c r="I15" s="2"/>
      <c r="J15" s="21"/>
      <c r="K15" s="2"/>
      <c r="L15" s="2">
        <f t="shared" si="0"/>
        <v>36878.549999999996</v>
      </c>
      <c r="M15" s="2"/>
      <c r="N15" s="21">
        <f t="shared" si="1"/>
        <v>0.61127306100887546</v>
      </c>
      <c r="O15" s="11"/>
      <c r="P15" s="2">
        <f>--100445.3</f>
        <v>100445.3</v>
      </c>
      <c r="Q15" s="2"/>
      <c r="R15" s="21"/>
      <c r="S15" s="2"/>
      <c r="T15" s="2">
        <f>--65243.46</f>
        <v>65243.46</v>
      </c>
      <c r="U15" s="2"/>
      <c r="V15" s="21"/>
      <c r="W15" s="2"/>
      <c r="X15" s="2">
        <f t="shared" si="2"/>
        <v>35201.840000000004</v>
      </c>
      <c r="Y15" s="2"/>
      <c r="Z15" s="21">
        <f t="shared" si="3"/>
        <v>0.53954587938775789</v>
      </c>
    </row>
    <row r="16" spans="1:26" s="24" customFormat="1" hidden="1" outlineLevel="1" x14ac:dyDescent="0.25">
      <c r="A16" s="50"/>
      <c r="B16" s="11" t="str">
        <f>CONCATENATE("          ", "4159", " - ", "NON-TAXABLE SALES-FOOD")</f>
        <v xml:space="preserve">          4159 - NON-TAXABLE SALES-FOOD</v>
      </c>
      <c r="C16" s="11"/>
      <c r="D16" s="2">
        <f>0</f>
        <v>0</v>
      </c>
      <c r="E16" s="2"/>
      <c r="F16" s="21"/>
      <c r="G16" s="2"/>
      <c r="H16" s="2">
        <f>--1054.9</f>
        <v>1054.9000000000001</v>
      </c>
      <c r="I16" s="2"/>
      <c r="J16" s="21"/>
      <c r="K16" s="2"/>
      <c r="L16" s="2">
        <f t="shared" si="0"/>
        <v>-1054.9000000000001</v>
      </c>
      <c r="M16" s="2"/>
      <c r="N16" s="21">
        <f t="shared" si="1"/>
        <v>-1</v>
      </c>
      <c r="O16" s="11"/>
      <c r="P16" s="2">
        <f>0</f>
        <v>0</v>
      </c>
      <c r="Q16" s="2"/>
      <c r="R16" s="21"/>
      <c r="S16" s="2"/>
      <c r="T16" s="2">
        <f>--1054.9</f>
        <v>1054.9000000000001</v>
      </c>
      <c r="U16" s="2"/>
      <c r="V16" s="21"/>
      <c r="W16" s="2"/>
      <c r="X16" s="2">
        <f t="shared" si="2"/>
        <v>-1054.9000000000001</v>
      </c>
      <c r="Y16" s="2"/>
      <c r="Z16" s="21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55035.45</v>
      </c>
      <c r="E18" s="4"/>
      <c r="F18" s="12">
        <f t="shared" ref="F18:F20" si="4">IF(D$12=0,0,D18/D$12)</f>
        <v>0.22743280445600178</v>
      </c>
      <c r="G18" s="4"/>
      <c r="H18" s="4">
        <f>SUM(OSRRefH16x_0)</f>
        <v>62562.53</v>
      </c>
      <c r="I18" s="4"/>
      <c r="J18" s="12">
        <f t="shared" ref="J18:J20" si="5">IF(H$12=0,0,H18/H$12)</f>
        <v>0.2923413723180831</v>
      </c>
      <c r="K18" s="4"/>
      <c r="L18" s="4">
        <f t="shared" ref="L18:L20" si="6">+D18-H18</f>
        <v>-7527.0800000000017</v>
      </c>
      <c r="M18" s="4"/>
      <c r="N18" s="12">
        <f t="shared" ref="N18:N20" si="7">IF(H18=0,0,L18/H18)</f>
        <v>-0.12031290934046308</v>
      </c>
      <c r="O18" s="10"/>
      <c r="P18" s="4">
        <f>SUM(OSRRefP16x_0)</f>
        <v>128303.53</v>
      </c>
      <c r="Q18" s="4"/>
      <c r="R18" s="12">
        <f t="shared" ref="R18:R20" si="8">IF(P$12=0,0,P18/P$12)</f>
        <v>0.26265594230129735</v>
      </c>
      <c r="S18" s="4"/>
      <c r="T18" s="4">
        <f>SUM(OSRRefT16x_0)</f>
        <v>128425.58000000002</v>
      </c>
      <c r="U18" s="4"/>
      <c r="V18" s="12">
        <f t="shared" ref="V18:V20" si="9">IF(T$12=0,0,T18/T$12)</f>
        <v>0.25786986976310172</v>
      </c>
      <c r="W18" s="4"/>
      <c r="X18" s="4">
        <f t="shared" ref="X18:X20" si="10">+P18-T18</f>
        <v>-122.05000000001746</v>
      </c>
      <c r="Y18" s="4"/>
      <c r="Z18" s="12">
        <f t="shared" ref="Z18:Z20" si="11">IF(T18=0,0,X18/T18)</f>
        <v>-9.5035584032415851E-4</v>
      </c>
    </row>
    <row r="19" spans="1:26" s="24" customFormat="1" hidden="1" outlineLevel="1" x14ac:dyDescent="0.25">
      <c r="A19" s="50"/>
      <c r="B19" s="11" t="str">
        <f>CONCATENATE("          ", "5053", " - ", "PURCHASES @ COST-FOOD")</f>
        <v xml:space="preserve">          5053 - PURCHASES @ COST-FOOD</v>
      </c>
      <c r="C19" s="11"/>
      <c r="D19" s="2">
        <v>63975.45</v>
      </c>
      <c r="E19" s="2"/>
      <c r="F19" s="21">
        <f t="shared" si="4"/>
        <v>0.26437716071795031</v>
      </c>
      <c r="G19" s="2"/>
      <c r="H19" s="2">
        <v>76067.53</v>
      </c>
      <c r="I19" s="2"/>
      <c r="J19" s="21">
        <f t="shared" si="5"/>
        <v>0.35544735977024838</v>
      </c>
      <c r="K19" s="2"/>
      <c r="L19" s="2">
        <f t="shared" si="6"/>
        <v>-12092.080000000002</v>
      </c>
      <c r="M19" s="2"/>
      <c r="N19" s="21">
        <f t="shared" si="7"/>
        <v>-0.15896506696089649</v>
      </c>
      <c r="O19" s="11"/>
      <c r="P19" s="2">
        <v>137411.53</v>
      </c>
      <c r="Q19" s="2"/>
      <c r="R19" s="21">
        <f t="shared" si="8"/>
        <v>0.28130133984008848</v>
      </c>
      <c r="S19" s="2"/>
      <c r="T19" s="2">
        <v>139788.58000000002</v>
      </c>
      <c r="U19" s="2"/>
      <c r="V19" s="21">
        <f t="shared" si="9"/>
        <v>0.28068600444684716</v>
      </c>
      <c r="W19" s="2"/>
      <c r="X19" s="2">
        <f t="shared" si="10"/>
        <v>-2377.0500000000175</v>
      </c>
      <c r="Y19" s="2"/>
      <c r="Z19" s="21">
        <f t="shared" si="11"/>
        <v>-1.7004607958676005E-2</v>
      </c>
    </row>
    <row r="20" spans="1:26" s="24" customFormat="1" hidden="1" outlineLevel="1" x14ac:dyDescent="0.25">
      <c r="A20" s="50"/>
      <c r="B20" s="11" t="str">
        <f>CONCATENATE("          ", "5059", " - ", "PURCHASES @ COST-FOOD")</f>
        <v xml:space="preserve">          5059 - PURCHASES @ COST-FOOD</v>
      </c>
      <c r="C20" s="11"/>
      <c r="D20" s="2">
        <v>-8940</v>
      </c>
      <c r="E20" s="2"/>
      <c r="F20" s="21">
        <f t="shared" si="4"/>
        <v>-3.6944356261948544E-2</v>
      </c>
      <c r="G20" s="2"/>
      <c r="H20" s="2">
        <v>-13505</v>
      </c>
      <c r="I20" s="2"/>
      <c r="J20" s="21">
        <f t="shared" si="5"/>
        <v>-6.3105987452165266E-2</v>
      </c>
      <c r="K20" s="2"/>
      <c r="L20" s="2">
        <f t="shared" si="6"/>
        <v>4565</v>
      </c>
      <c r="M20" s="2"/>
      <c r="N20" s="21">
        <f t="shared" si="7"/>
        <v>-0.33802295446131064</v>
      </c>
      <c r="O20" s="11"/>
      <c r="P20" s="2">
        <v>-9108</v>
      </c>
      <c r="Q20" s="2"/>
      <c r="R20" s="21">
        <f t="shared" si="8"/>
        <v>-1.8645397538791148E-2</v>
      </c>
      <c r="S20" s="2"/>
      <c r="T20" s="2">
        <v>-11363</v>
      </c>
      <c r="U20" s="2"/>
      <c r="V20" s="21">
        <f t="shared" si="9"/>
        <v>-2.2816134683745441E-2</v>
      </c>
      <c r="W20" s="2"/>
      <c r="X20" s="2">
        <f t="shared" si="10"/>
        <v>2255</v>
      </c>
      <c r="Y20" s="2"/>
      <c r="Z20" s="21">
        <f t="shared" si="11"/>
        <v>-0.19845111326234269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6</v>
      </c>
      <c r="C22" s="26"/>
      <c r="D22" s="20">
        <f>D12-D18</f>
        <v>186950.09000000003</v>
      </c>
      <c r="E22" s="13"/>
      <c r="F22" s="19">
        <f>IF(D$12=0,0,D22/D$12)</f>
        <v>0.77256719554399833</v>
      </c>
      <c r="G22" s="13"/>
      <c r="H22" s="20">
        <f>H12-H18</f>
        <v>151442.52000000002</v>
      </c>
      <c r="I22" s="13"/>
      <c r="J22" s="19">
        <f>IF(H$12=0,0,H22/H$12)</f>
        <v>0.7076586276819169</v>
      </c>
      <c r="K22" s="15"/>
      <c r="L22" s="20">
        <f>+D22-H22</f>
        <v>35507.570000000007</v>
      </c>
      <c r="M22" s="15"/>
      <c r="N22" s="19">
        <f>IF(H22=0,0,L22/H22)</f>
        <v>0.23446235575055144</v>
      </c>
      <c r="O22" s="25"/>
      <c r="P22" s="20">
        <f>P12-P18</f>
        <v>360181.63</v>
      </c>
      <c r="Q22" s="13"/>
      <c r="R22" s="19">
        <f>IF(P$12=0,0,P22/P$12)</f>
        <v>0.7373440576987027</v>
      </c>
      <c r="S22" s="13"/>
      <c r="T22" s="20">
        <f>T12-T18</f>
        <v>369599.18000000005</v>
      </c>
      <c r="U22" s="13"/>
      <c r="V22" s="19">
        <f>IF(T$12=0,0,T22/T$12)</f>
        <v>0.74213013023689822</v>
      </c>
      <c r="W22" s="15"/>
      <c r="X22" s="20">
        <f>+P22-T22</f>
        <v>-9417.5500000000466</v>
      </c>
      <c r="Y22" s="15"/>
      <c r="Z22" s="19">
        <f>IF(T22=0,0,X22/T22)</f>
        <v>-2.5480440730415162E-2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9</v>
      </c>
      <c r="C24" s="10"/>
      <c r="D24" s="22">
        <f>SUM(OSRRefD22x_0)</f>
        <v>121608.81000000003</v>
      </c>
      <c r="E24" s="22"/>
      <c r="F24" s="33">
        <f t="shared" ref="F24:F34" si="12">IF(D$12=0,0,D24/D$12)</f>
        <v>0.50254577194984473</v>
      </c>
      <c r="G24" s="22"/>
      <c r="H24" s="22">
        <f>SUM(OSRRefH22x_0)</f>
        <v>123736.96999999999</v>
      </c>
      <c r="I24" s="22"/>
      <c r="J24" s="33">
        <f t="shared" ref="J24:J34" si="13">IF(H$12=0,0,H24/H$12)</f>
        <v>0.57819649583035526</v>
      </c>
      <c r="K24" s="4"/>
      <c r="L24" s="22">
        <f t="shared" ref="L24:L34" si="14">+D24-H24</f>
        <v>-2128.1599999999598</v>
      </c>
      <c r="M24" s="4"/>
      <c r="N24" s="33">
        <f t="shared" ref="N24:N34" si="15">IF(H24=0,0,L24/H24)</f>
        <v>-1.7199063465025529E-2</v>
      </c>
      <c r="O24" s="10"/>
      <c r="P24" s="22">
        <f>SUM(OSRRefP22x_0)</f>
        <v>269168.46999999991</v>
      </c>
      <c r="Q24" s="22"/>
      <c r="R24" s="33">
        <f t="shared" ref="R24:R34" si="16">IF(P$12=0,0,P24/P$12)</f>
        <v>0.55102691348904009</v>
      </c>
      <c r="S24" s="22"/>
      <c r="T24" s="22">
        <f>SUM(OSRRefT22x_0)</f>
        <v>247904.36</v>
      </c>
      <c r="U24" s="22"/>
      <c r="V24" s="33">
        <f t="shared" ref="V24:V34" si="17">IF(T$12=0,0,T24/T$12)</f>
        <v>0.49777517085696693</v>
      </c>
      <c r="W24" s="4"/>
      <c r="X24" s="22">
        <f t="shared" ref="X24:X34" si="18">+P24-T24</f>
        <v>21264.109999999928</v>
      </c>
      <c r="Y24" s="4"/>
      <c r="Z24" s="33">
        <f t="shared" ref="Z24:Z34" si="19">IF(T24=0,0,X24/T24)</f>
        <v>8.5775457922563081E-2</v>
      </c>
    </row>
    <row r="25" spans="1:26" s="27" customFormat="1" outlineLevel="1" collapsed="1" x14ac:dyDescent="0.25">
      <c r="A25" s="28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24636.129999999997</v>
      </c>
      <c r="E25" s="1"/>
      <c r="F25" s="5">
        <f t="shared" si="12"/>
        <v>0.10180827333732419</v>
      </c>
      <c r="G25" s="1"/>
      <c r="H25" s="1">
        <f>SUM(OSRRefH22_0x_0)</f>
        <v>28038.639999999996</v>
      </c>
      <c r="I25" s="1"/>
      <c r="J25" s="5">
        <f t="shared" si="13"/>
        <v>0.1310185904491506</v>
      </c>
      <c r="K25" s="1"/>
      <c r="L25" s="1">
        <f t="shared" si="14"/>
        <v>-3402.5099999999984</v>
      </c>
      <c r="M25" s="1"/>
      <c r="N25" s="5">
        <f t="shared" si="15"/>
        <v>-0.12135075025036873</v>
      </c>
      <c r="O25" s="14"/>
      <c r="P25" s="1">
        <f>SUM(OSRRefP22_0x_0)</f>
        <v>58132.189999999988</v>
      </c>
      <c r="Q25" s="1"/>
      <c r="R25" s="5">
        <f t="shared" si="16"/>
        <v>0.11900502770647114</v>
      </c>
      <c r="S25" s="1"/>
      <c r="T25" s="1">
        <f>SUM(OSRRefT22_0x_0)</f>
        <v>51422.969999999994</v>
      </c>
      <c r="U25" s="1"/>
      <c r="V25" s="5">
        <f t="shared" si="17"/>
        <v>0.10325384223868707</v>
      </c>
      <c r="W25" s="1"/>
      <c r="X25" s="1">
        <f t="shared" si="18"/>
        <v>6709.2199999999939</v>
      </c>
      <c r="Y25" s="1"/>
      <c r="Z25" s="5">
        <f t="shared" si="19"/>
        <v>0.1304712660509495</v>
      </c>
    </row>
    <row r="26" spans="1:26" s="24" customFormat="1" hidden="1" outlineLevel="2" x14ac:dyDescent="0.25">
      <c r="A26" s="29"/>
      <c r="B26" s="11" t="str">
        <f>CONCATENATE("          ", "6111", " - ", "F.I.C.A.")</f>
        <v xml:space="preserve">          6111 - F.I.C.A.</v>
      </c>
      <c r="C26" s="11"/>
      <c r="D26" s="7">
        <v>4471.38</v>
      </c>
      <c r="E26" s="2"/>
      <c r="F26" s="6">
        <f t="shared" si="12"/>
        <v>1.84778809510684E-2</v>
      </c>
      <c r="G26" s="2"/>
      <c r="H26" s="7">
        <v>3878.36</v>
      </c>
      <c r="I26" s="2"/>
      <c r="J26" s="6">
        <f t="shared" si="13"/>
        <v>1.8122749907069947E-2</v>
      </c>
      <c r="K26" s="2"/>
      <c r="L26" s="7">
        <f t="shared" si="14"/>
        <v>593.02</v>
      </c>
      <c r="M26" s="2"/>
      <c r="N26" s="6">
        <f t="shared" si="15"/>
        <v>0.15290483606472838</v>
      </c>
      <c r="O26" s="11"/>
      <c r="P26" s="7">
        <v>9407.56</v>
      </c>
      <c r="Q26" s="2"/>
      <c r="R26" s="6">
        <f t="shared" si="16"/>
        <v>1.9258640323894384E-2</v>
      </c>
      <c r="S26" s="2"/>
      <c r="T26" s="7">
        <v>7797.18</v>
      </c>
      <c r="U26" s="2"/>
      <c r="V26" s="6">
        <f t="shared" si="17"/>
        <v>1.5656209542674143E-2</v>
      </c>
      <c r="W26" s="2"/>
      <c r="X26" s="7">
        <f t="shared" si="18"/>
        <v>1610.3799999999992</v>
      </c>
      <c r="Y26" s="2"/>
      <c r="Z26" s="6">
        <f t="shared" si="19"/>
        <v>0.20653364421495965</v>
      </c>
    </row>
    <row r="27" spans="1:26" s="24" customFormat="1" hidden="1" outlineLevel="2" x14ac:dyDescent="0.25">
      <c r="A27" s="29"/>
      <c r="B27" s="11" t="str">
        <f>CONCATENATE("          ", "6112", " - ", "COMPENSATION INSURANCE")</f>
        <v xml:space="preserve">          6112 - COMPENSATION INSURANCE</v>
      </c>
      <c r="C27" s="11"/>
      <c r="D27" s="7">
        <v>2250.16</v>
      </c>
      <c r="E27" s="2"/>
      <c r="F27" s="6">
        <f t="shared" si="12"/>
        <v>9.2987374369559433E-3</v>
      </c>
      <c r="G27" s="2"/>
      <c r="H27" s="7">
        <v>1853.99</v>
      </c>
      <c r="I27" s="2"/>
      <c r="J27" s="6">
        <f t="shared" si="13"/>
        <v>8.6633002352047295E-3</v>
      </c>
      <c r="K27" s="2"/>
      <c r="L27" s="7">
        <f t="shared" si="14"/>
        <v>396.16999999999985</v>
      </c>
      <c r="M27" s="2"/>
      <c r="N27" s="6">
        <f t="shared" si="15"/>
        <v>0.21368507920754687</v>
      </c>
      <c r="O27" s="11"/>
      <c r="P27" s="7">
        <v>4764.6400000000003</v>
      </c>
      <c r="Q27" s="2"/>
      <c r="R27" s="6">
        <f t="shared" si="16"/>
        <v>9.7539094125193085E-3</v>
      </c>
      <c r="S27" s="2"/>
      <c r="T27" s="7">
        <v>4476.09</v>
      </c>
      <c r="U27" s="2"/>
      <c r="V27" s="6">
        <f t="shared" si="17"/>
        <v>8.9876856724954782E-3</v>
      </c>
      <c r="W27" s="2"/>
      <c r="X27" s="7">
        <f t="shared" si="18"/>
        <v>288.55000000000018</v>
      </c>
      <c r="Y27" s="2"/>
      <c r="Z27" s="6">
        <f t="shared" si="19"/>
        <v>6.4464744900124923E-2</v>
      </c>
    </row>
    <row r="28" spans="1:26" s="24" customFormat="1" hidden="1" outlineLevel="2" x14ac:dyDescent="0.25">
      <c r="A28" s="29"/>
      <c r="B28" s="11" t="str">
        <f>CONCATENATE("          ", "6113", " - ", "GROUP INSURANCE")</f>
        <v xml:space="preserve">          6113 - GROUP INSURANCE</v>
      </c>
      <c r="C28" s="11"/>
      <c r="D28" s="7">
        <v>12070.16</v>
      </c>
      <c r="E28" s="2"/>
      <c r="F28" s="6">
        <f t="shared" si="12"/>
        <v>4.9879674628492264E-2</v>
      </c>
      <c r="G28" s="2"/>
      <c r="H28" s="7">
        <v>15816.049999999997</v>
      </c>
      <c r="I28" s="2"/>
      <c r="J28" s="6">
        <f t="shared" si="13"/>
        <v>7.3905031680327152E-2</v>
      </c>
      <c r="K28" s="2"/>
      <c r="L28" s="7">
        <f t="shared" si="14"/>
        <v>-3745.8899999999976</v>
      </c>
      <c r="M28" s="2"/>
      <c r="N28" s="6">
        <f t="shared" si="15"/>
        <v>-0.23684105702751307</v>
      </c>
      <c r="O28" s="11"/>
      <c r="P28" s="7">
        <v>26010.92</v>
      </c>
      <c r="Q28" s="2"/>
      <c r="R28" s="6">
        <f t="shared" si="16"/>
        <v>5.3248127333080084E-2</v>
      </c>
      <c r="S28" s="2"/>
      <c r="T28" s="7">
        <v>21420.21</v>
      </c>
      <c r="U28" s="2"/>
      <c r="V28" s="6">
        <f t="shared" si="17"/>
        <v>4.3010331454203195E-2</v>
      </c>
      <c r="W28" s="2"/>
      <c r="X28" s="7">
        <f t="shared" si="18"/>
        <v>4590.7099999999991</v>
      </c>
      <c r="Y28" s="2"/>
      <c r="Z28" s="6">
        <f t="shared" si="19"/>
        <v>0.21431675973298112</v>
      </c>
    </row>
    <row r="29" spans="1:26" s="24" customFormat="1" hidden="1" outlineLevel="2" x14ac:dyDescent="0.25">
      <c r="A29" s="29"/>
      <c r="B29" s="11" t="str">
        <f>CONCATENATE("          ", "6114", " - ", "STATE UNEMPLOYMENT INSURANCE")</f>
        <v xml:space="preserve">          6114 - STATE UNEMPLOYMENT INSURANCE</v>
      </c>
      <c r="C29" s="11"/>
      <c r="D29" s="7">
        <v>150.78</v>
      </c>
      <c r="E29" s="2"/>
      <c r="F29" s="6">
        <f t="shared" si="12"/>
        <v>6.2309508245823278E-4</v>
      </c>
      <c r="G29" s="2"/>
      <c r="H29" s="7">
        <v>137.71</v>
      </c>
      <c r="I29" s="2"/>
      <c r="J29" s="6">
        <f t="shared" si="13"/>
        <v>6.4348948774806949E-4</v>
      </c>
      <c r="K29" s="2"/>
      <c r="L29" s="7">
        <f t="shared" si="14"/>
        <v>13.069999999999993</v>
      </c>
      <c r="M29" s="2"/>
      <c r="N29" s="6">
        <f t="shared" si="15"/>
        <v>9.4909592622176978E-2</v>
      </c>
      <c r="O29" s="11"/>
      <c r="P29" s="7">
        <v>319.27</v>
      </c>
      <c r="Q29" s="2"/>
      <c r="R29" s="6">
        <f t="shared" si="16"/>
        <v>6.5359201495496808E-4</v>
      </c>
      <c r="S29" s="2"/>
      <c r="T29" s="7">
        <v>332.5</v>
      </c>
      <c r="U29" s="2"/>
      <c r="V29" s="6">
        <f t="shared" si="17"/>
        <v>6.6763748854575008E-4</v>
      </c>
      <c r="W29" s="2"/>
      <c r="X29" s="7">
        <f t="shared" si="18"/>
        <v>-13.230000000000018</v>
      </c>
      <c r="Y29" s="2"/>
      <c r="Z29" s="6">
        <f t="shared" si="19"/>
        <v>-3.9789473684210583E-2</v>
      </c>
    </row>
    <row r="30" spans="1:26" s="24" customFormat="1" hidden="1" outlineLevel="2" x14ac:dyDescent="0.25">
      <c r="A30" s="29"/>
      <c r="B30" s="11" t="str">
        <f>CONCATENATE("          ", "6115", " - ", "P.E.R.S.")</f>
        <v xml:space="preserve">          6115 - P.E.R.S.</v>
      </c>
      <c r="C30" s="11"/>
      <c r="D30" s="7">
        <v>1217.31</v>
      </c>
      <c r="E30" s="2"/>
      <c r="F30" s="6">
        <f t="shared" si="12"/>
        <v>5.0305071947687446E-3</v>
      </c>
      <c r="G30" s="2"/>
      <c r="H30" s="7">
        <v>1096.69</v>
      </c>
      <c r="I30" s="2"/>
      <c r="J30" s="6">
        <f t="shared" si="13"/>
        <v>5.1245986952177065E-3</v>
      </c>
      <c r="K30" s="2"/>
      <c r="L30" s="7">
        <f t="shared" si="14"/>
        <v>120.61999999999989</v>
      </c>
      <c r="M30" s="2"/>
      <c r="N30" s="6">
        <f t="shared" si="15"/>
        <v>0.10998550182822847</v>
      </c>
      <c r="O30" s="11"/>
      <c r="P30" s="7">
        <v>2434.62</v>
      </c>
      <c r="Q30" s="2"/>
      <c r="R30" s="6">
        <f t="shared" si="16"/>
        <v>4.9840203948058525E-3</v>
      </c>
      <c r="S30" s="2"/>
      <c r="T30" s="7">
        <v>2725.75</v>
      </c>
      <c r="U30" s="2"/>
      <c r="V30" s="6">
        <f t="shared" si="17"/>
        <v>5.4731214568528672E-3</v>
      </c>
      <c r="W30" s="2"/>
      <c r="X30" s="7">
        <f t="shared" si="18"/>
        <v>-291.13000000000011</v>
      </c>
      <c r="Y30" s="2"/>
      <c r="Z30" s="6">
        <f t="shared" si="19"/>
        <v>-0.10680730074291483</v>
      </c>
    </row>
    <row r="31" spans="1:26" s="24" customFormat="1" hidden="1" outlineLevel="2" x14ac:dyDescent="0.25">
      <c r="A31" s="29"/>
      <c r="B31" s="11" t="str">
        <f>CONCATENATE("          ", "6117", " - ", "RETIREMENT STAFF HOURLY")</f>
        <v xml:space="preserve">          6117 - RETIREMENT STAFF HOURLY</v>
      </c>
      <c r="C31" s="11"/>
      <c r="D31" s="7">
        <v>277.64</v>
      </c>
      <c r="E31" s="2"/>
      <c r="F31" s="6">
        <f t="shared" si="12"/>
        <v>1.1473412832849433E-3</v>
      </c>
      <c r="G31" s="2"/>
      <c r="H31" s="7">
        <v>306.7</v>
      </c>
      <c r="I31" s="2"/>
      <c r="J31" s="6">
        <f t="shared" si="13"/>
        <v>1.4331437505797175E-3</v>
      </c>
      <c r="K31" s="2"/>
      <c r="L31" s="7">
        <f t="shared" si="14"/>
        <v>-29.060000000000002</v>
      </c>
      <c r="M31" s="2"/>
      <c r="N31" s="6">
        <f t="shared" si="15"/>
        <v>-9.4750570590153252E-2</v>
      </c>
      <c r="O31" s="11"/>
      <c r="P31" s="7">
        <v>724.47</v>
      </c>
      <c r="Q31" s="2"/>
      <c r="R31" s="6">
        <f t="shared" si="16"/>
        <v>1.4830952080509469E-3</v>
      </c>
      <c r="S31" s="2"/>
      <c r="T31" s="7">
        <v>671.32</v>
      </c>
      <c r="U31" s="2"/>
      <c r="V31" s="6">
        <f t="shared" si="17"/>
        <v>1.3479651092046106E-3</v>
      </c>
      <c r="W31" s="2"/>
      <c r="X31" s="7">
        <f t="shared" si="18"/>
        <v>53.149999999999977</v>
      </c>
      <c r="Y31" s="2"/>
      <c r="Z31" s="6">
        <f t="shared" si="19"/>
        <v>7.9172376809867093E-2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2063.85</v>
      </c>
      <c r="E32" s="2"/>
      <c r="F32" s="6">
        <f t="shared" si="12"/>
        <v>8.5288153994656033E-3</v>
      </c>
      <c r="G32" s="2"/>
      <c r="H32" s="7">
        <v>2275.3200000000002</v>
      </c>
      <c r="I32" s="2"/>
      <c r="J32" s="6">
        <f t="shared" si="13"/>
        <v>1.0632085551252179E-2</v>
      </c>
      <c r="K32" s="2"/>
      <c r="L32" s="7">
        <f t="shared" si="14"/>
        <v>-211.47000000000025</v>
      </c>
      <c r="M32" s="2"/>
      <c r="N32" s="6">
        <f t="shared" si="15"/>
        <v>-9.2940773165972365E-2</v>
      </c>
      <c r="O32" s="11"/>
      <c r="P32" s="7">
        <v>5647.67</v>
      </c>
      <c r="Q32" s="2"/>
      <c r="R32" s="6">
        <f t="shared" si="16"/>
        <v>1.1561599947069017E-2</v>
      </c>
      <c r="S32" s="2"/>
      <c r="T32" s="7">
        <v>5660.28</v>
      </c>
      <c r="U32" s="2"/>
      <c r="V32" s="6">
        <f t="shared" si="17"/>
        <v>1.1365459018543574E-2</v>
      </c>
      <c r="W32" s="2"/>
      <c r="X32" s="7">
        <f t="shared" si="18"/>
        <v>-12.609999999999673</v>
      </c>
      <c r="Y32" s="2"/>
      <c r="Z32" s="6">
        <f t="shared" si="19"/>
        <v>-2.2278049849123495E-3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1378.78</v>
      </c>
      <c r="E33" s="2"/>
      <c r="F33" s="6">
        <f t="shared" si="12"/>
        <v>5.6977784705648108E-3</v>
      </c>
      <c r="G33" s="2"/>
      <c r="H33" s="7">
        <v>1554.71</v>
      </c>
      <c r="I33" s="2"/>
      <c r="J33" s="6">
        <f t="shared" si="13"/>
        <v>7.2648285636250165E-3</v>
      </c>
      <c r="K33" s="2"/>
      <c r="L33" s="7">
        <f t="shared" si="14"/>
        <v>-175.93000000000006</v>
      </c>
      <c r="M33" s="2"/>
      <c r="N33" s="6">
        <f t="shared" si="15"/>
        <v>-0.11315936734181942</v>
      </c>
      <c r="O33" s="11"/>
      <c r="P33" s="7">
        <v>7502.48</v>
      </c>
      <c r="Q33" s="2"/>
      <c r="R33" s="6">
        <f t="shared" si="16"/>
        <v>1.5358665143481534E-2</v>
      </c>
      <c r="S33" s="2"/>
      <c r="T33" s="7">
        <v>6201.26</v>
      </c>
      <c r="U33" s="2"/>
      <c r="V33" s="6">
        <f t="shared" si="17"/>
        <v>1.2451710232238251E-2</v>
      </c>
      <c r="W33" s="2"/>
      <c r="X33" s="7">
        <f t="shared" si="18"/>
        <v>1301.2199999999993</v>
      </c>
      <c r="Y33" s="2"/>
      <c r="Z33" s="6">
        <f t="shared" si="19"/>
        <v>0.2098315503623456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756.07</v>
      </c>
      <c r="E34" s="2"/>
      <c r="F34" s="6">
        <f t="shared" si="12"/>
        <v>3.1244428902652615E-3</v>
      </c>
      <c r="G34" s="2"/>
      <c r="H34" s="7">
        <v>1119.1099999999999</v>
      </c>
      <c r="I34" s="2"/>
      <c r="J34" s="6">
        <f t="shared" si="13"/>
        <v>5.2293625781260761E-3</v>
      </c>
      <c r="K34" s="2"/>
      <c r="L34" s="7">
        <f t="shared" si="14"/>
        <v>-363.03999999999985</v>
      </c>
      <c r="M34" s="2"/>
      <c r="N34" s="6">
        <f t="shared" si="15"/>
        <v>-0.32440063979412204</v>
      </c>
      <c r="O34" s="11"/>
      <c r="P34" s="7">
        <v>1320.56</v>
      </c>
      <c r="Q34" s="2"/>
      <c r="R34" s="6">
        <f t="shared" si="16"/>
        <v>2.703377928615068E-3</v>
      </c>
      <c r="S34" s="2"/>
      <c r="T34" s="7">
        <v>2138.38</v>
      </c>
      <c r="U34" s="2"/>
      <c r="V34" s="6">
        <f t="shared" si="17"/>
        <v>4.2937222639292064E-3</v>
      </c>
      <c r="W34" s="2"/>
      <c r="X34" s="7">
        <f t="shared" si="18"/>
        <v>-817.82000000000016</v>
      </c>
      <c r="Y34" s="2"/>
      <c r="Z34" s="6">
        <f t="shared" si="19"/>
        <v>-0.38244839551436138</v>
      </c>
    </row>
    <row r="35" spans="1:26" s="27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65384.34</v>
      </c>
      <c r="E35" s="1"/>
      <c r="F35" s="5">
        <f t="shared" ref="F35:F41" si="20">IF(D$12=0,0,D35/D$12)</f>
        <v>0.27019936811100365</v>
      </c>
      <c r="G35" s="1"/>
      <c r="H35" s="1">
        <f>SUM(OSRRefH22_1x_0)</f>
        <v>59728.380000000005</v>
      </c>
      <c r="I35" s="1"/>
      <c r="J35" s="5">
        <f t="shared" ref="J35:J41" si="21">IF(H$12=0,0,H35/H$12)</f>
        <v>0.27909799324829015</v>
      </c>
      <c r="K35" s="1"/>
      <c r="L35" s="1">
        <f t="shared" ref="L35:L41" si="22">+D35-H35</f>
        <v>5655.9599999999919</v>
      </c>
      <c r="M35" s="1"/>
      <c r="N35" s="5">
        <f t="shared" ref="N35:N41" si="23">IF(H35=0,0,L35/H35)</f>
        <v>9.4694682829167501E-2</v>
      </c>
      <c r="O35" s="14"/>
      <c r="P35" s="1">
        <f>SUM(OSRRefP22_1x_0)</f>
        <v>142272.81</v>
      </c>
      <c r="Q35" s="1"/>
      <c r="R35" s="5">
        <f t="shared" ref="R35:R41" si="24">IF(P$12=0,0,P35/P$12)</f>
        <v>0.29125308535473216</v>
      </c>
      <c r="S35" s="1"/>
      <c r="T35" s="1">
        <f>SUM(OSRRefT22_1x_0)</f>
        <v>119387.16</v>
      </c>
      <c r="U35" s="1"/>
      <c r="V35" s="5">
        <f t="shared" ref="V35:V41" si="25">IF(T$12=0,0,T35/T$12)</f>
        <v>0.23972133433687109</v>
      </c>
      <c r="W35" s="1"/>
      <c r="X35" s="1">
        <f t="shared" ref="X35:X41" si="26">+P35-T35</f>
        <v>22885.649999999994</v>
      </c>
      <c r="Y35" s="1"/>
      <c r="Z35" s="5">
        <f t="shared" ref="Z35:Z41" si="27">IF(T35=0,0,X35/T35)</f>
        <v>0.19169272474527407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7">
        <v>14032.77</v>
      </c>
      <c r="E36" s="2"/>
      <c r="F36" s="6">
        <f t="shared" si="20"/>
        <v>5.7990117921922109E-2</v>
      </c>
      <c r="G36" s="2"/>
      <c r="H36" s="7">
        <v>13967.76</v>
      </c>
      <c r="I36" s="2"/>
      <c r="J36" s="6">
        <f t="shared" si="21"/>
        <v>6.5268366330607619E-2</v>
      </c>
      <c r="K36" s="2"/>
      <c r="L36" s="7">
        <f t="shared" si="22"/>
        <v>65.010000000000218</v>
      </c>
      <c r="M36" s="2"/>
      <c r="N36" s="6">
        <f t="shared" si="23"/>
        <v>4.6542895926046995E-3</v>
      </c>
      <c r="O36" s="11"/>
      <c r="P36" s="7">
        <v>29900.05</v>
      </c>
      <c r="Q36" s="2"/>
      <c r="R36" s="6">
        <f t="shared" si="24"/>
        <v>6.1209740742175257E-2</v>
      </c>
      <c r="S36" s="2"/>
      <c r="T36" s="7">
        <v>28660.7</v>
      </c>
      <c r="U36" s="2"/>
      <c r="V36" s="6">
        <f t="shared" si="25"/>
        <v>5.754874516680656E-2</v>
      </c>
      <c r="W36" s="2"/>
      <c r="X36" s="7">
        <f t="shared" si="26"/>
        <v>1239.3499999999985</v>
      </c>
      <c r="Y36" s="2"/>
      <c r="Z36" s="6">
        <f t="shared" si="27"/>
        <v>4.324213993377686E-2</v>
      </c>
    </row>
    <row r="37" spans="1:26" s="24" customFormat="1" hidden="1" outlineLevel="2" x14ac:dyDescent="0.25">
      <c r="A37" s="29"/>
      <c r="B37" s="11" t="str">
        <f>CONCATENATE("          ", "6004", " - ", "STAFF HOURLY")</f>
        <v xml:space="preserve">          6004 - STAFF HOURLY</v>
      </c>
      <c r="C37" s="11"/>
      <c r="D37" s="7">
        <v>10702.98</v>
      </c>
      <c r="E37" s="2"/>
      <c r="F37" s="6">
        <f t="shared" si="20"/>
        <v>4.4229832906544746E-2</v>
      </c>
      <c r="G37" s="2"/>
      <c r="H37" s="7">
        <v>16184.030000000002</v>
      </c>
      <c r="I37" s="2"/>
      <c r="J37" s="6">
        <f t="shared" si="21"/>
        <v>7.5624523813807201E-2</v>
      </c>
      <c r="K37" s="2"/>
      <c r="L37" s="7">
        <f t="shared" si="22"/>
        <v>-5481.0500000000029</v>
      </c>
      <c r="M37" s="2"/>
      <c r="N37" s="6">
        <f t="shared" si="23"/>
        <v>-0.33867028175306163</v>
      </c>
      <c r="O37" s="11"/>
      <c r="P37" s="7">
        <v>24170.2</v>
      </c>
      <c r="Q37" s="2"/>
      <c r="R37" s="6">
        <f t="shared" si="24"/>
        <v>4.9479906411077058E-2</v>
      </c>
      <c r="S37" s="2"/>
      <c r="T37" s="7">
        <v>32514.899999999998</v>
      </c>
      <c r="U37" s="2"/>
      <c r="V37" s="6">
        <f t="shared" si="25"/>
        <v>6.5287717823507396E-2</v>
      </c>
      <c r="W37" s="2"/>
      <c r="X37" s="7">
        <f t="shared" si="26"/>
        <v>-8344.6999999999971</v>
      </c>
      <c r="Y37" s="2"/>
      <c r="Z37" s="6">
        <f t="shared" si="27"/>
        <v>-0.25664233935826336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7">
        <v>11622.4</v>
      </c>
      <c r="E38" s="2"/>
      <c r="F38" s="6">
        <f t="shared" si="20"/>
        <v>4.8029316131864737E-2</v>
      </c>
      <c r="G38" s="2"/>
      <c r="H38" s="7">
        <v>4560.1499999999996</v>
      </c>
      <c r="I38" s="2"/>
      <c r="J38" s="6">
        <f t="shared" si="21"/>
        <v>2.1308609306182256E-2</v>
      </c>
      <c r="K38" s="2"/>
      <c r="L38" s="7">
        <f t="shared" si="22"/>
        <v>7062.25</v>
      </c>
      <c r="M38" s="2"/>
      <c r="N38" s="6">
        <f t="shared" si="23"/>
        <v>1.5486880914005023</v>
      </c>
      <c r="O38" s="11"/>
      <c r="P38" s="7">
        <v>25273.73</v>
      </c>
      <c r="Q38" s="2"/>
      <c r="R38" s="6">
        <f t="shared" si="24"/>
        <v>5.1738992439401846E-2</v>
      </c>
      <c r="S38" s="2"/>
      <c r="T38" s="7">
        <v>10339.9</v>
      </c>
      <c r="U38" s="2"/>
      <c r="V38" s="6">
        <f t="shared" si="25"/>
        <v>2.0761819151320908E-2</v>
      </c>
      <c r="W38" s="2"/>
      <c r="X38" s="7">
        <f t="shared" si="26"/>
        <v>14933.83</v>
      </c>
      <c r="Y38" s="2"/>
      <c r="Z38" s="6">
        <f t="shared" si="27"/>
        <v>1.4442915308658693</v>
      </c>
    </row>
    <row r="39" spans="1:26" s="24" customFormat="1" hidden="1" outlineLevel="2" x14ac:dyDescent="0.25">
      <c r="A39" s="29"/>
      <c r="B39" s="11" t="str">
        <f>CONCATENATE("          ", "6006", " - ", "TEMPORARY PART TIME")</f>
        <v xml:space="preserve">          6006 - TEMPORARY PART TIME</v>
      </c>
      <c r="C39" s="11"/>
      <c r="D39" s="7">
        <v>2305.5</v>
      </c>
      <c r="E39" s="2"/>
      <c r="F39" s="6">
        <f t="shared" si="20"/>
        <v>9.5274287876870659E-3</v>
      </c>
      <c r="G39" s="2"/>
      <c r="H39" s="7"/>
      <c r="I39" s="2"/>
      <c r="J39" s="6">
        <f t="shared" si="21"/>
        <v>0</v>
      </c>
      <c r="K39" s="2"/>
      <c r="L39" s="7">
        <f t="shared" si="22"/>
        <v>2305.5</v>
      </c>
      <c r="M39" s="2"/>
      <c r="N39" s="6">
        <f t="shared" si="23"/>
        <v>0</v>
      </c>
      <c r="O39" s="11"/>
      <c r="P39" s="7">
        <v>5567.07</v>
      </c>
      <c r="Q39" s="2"/>
      <c r="R39" s="6">
        <f t="shared" si="24"/>
        <v>1.1396600052292274E-2</v>
      </c>
      <c r="S39" s="2"/>
      <c r="T39" s="7"/>
      <c r="U39" s="2"/>
      <c r="V39" s="6">
        <f t="shared" si="25"/>
        <v>0</v>
      </c>
      <c r="W39" s="2"/>
      <c r="X39" s="7">
        <f t="shared" si="26"/>
        <v>5567.07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7">
        <v>25328.69</v>
      </c>
      <c r="E40" s="2"/>
      <c r="F40" s="6">
        <f t="shared" si="20"/>
        <v>0.10467026252890978</v>
      </c>
      <c r="G40" s="2"/>
      <c r="H40" s="7">
        <v>23072.190000000002</v>
      </c>
      <c r="I40" s="2"/>
      <c r="J40" s="6">
        <f t="shared" si="21"/>
        <v>0.10781142781443709</v>
      </c>
      <c r="K40" s="2"/>
      <c r="L40" s="7">
        <f t="shared" si="22"/>
        <v>2256.4999999999964</v>
      </c>
      <c r="M40" s="2"/>
      <c r="N40" s="6">
        <f t="shared" si="23"/>
        <v>9.7801725800628209E-2</v>
      </c>
      <c r="O40" s="11"/>
      <c r="P40" s="7">
        <v>53878.76</v>
      </c>
      <c r="Q40" s="2"/>
      <c r="R40" s="6">
        <f t="shared" si="24"/>
        <v>0.11029763933872629</v>
      </c>
      <c r="S40" s="2"/>
      <c r="T40" s="7">
        <v>43416.659999999996</v>
      </c>
      <c r="U40" s="2"/>
      <c r="V40" s="6">
        <f t="shared" si="25"/>
        <v>8.7177713814871355E-2</v>
      </c>
      <c r="W40" s="2"/>
      <c r="X40" s="7">
        <f t="shared" si="26"/>
        <v>10462.100000000006</v>
      </c>
      <c r="Y40" s="2"/>
      <c r="Z40" s="6">
        <f t="shared" si="27"/>
        <v>0.24096971070552195</v>
      </c>
    </row>
    <row r="41" spans="1:26" s="24" customFormat="1" hidden="1" outlineLevel="2" x14ac:dyDescent="0.2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7">
        <v>1392</v>
      </c>
      <c r="E41" s="2"/>
      <c r="F41" s="6">
        <f t="shared" si="20"/>
        <v>5.7524098340752091E-3</v>
      </c>
      <c r="G41" s="2"/>
      <c r="H41" s="7">
        <v>1944.25</v>
      </c>
      <c r="I41" s="2"/>
      <c r="J41" s="6">
        <f t="shared" si="21"/>
        <v>9.0850659832560025E-3</v>
      </c>
      <c r="K41" s="2"/>
      <c r="L41" s="7">
        <f t="shared" si="22"/>
        <v>-552.25</v>
      </c>
      <c r="M41" s="2"/>
      <c r="N41" s="6">
        <f t="shared" si="23"/>
        <v>-0.28404268998328402</v>
      </c>
      <c r="O41" s="11"/>
      <c r="P41" s="7">
        <v>3483</v>
      </c>
      <c r="Q41" s="2"/>
      <c r="R41" s="6">
        <f t="shared" si="24"/>
        <v>7.130206371059461E-3</v>
      </c>
      <c r="S41" s="2"/>
      <c r="T41" s="7">
        <v>4455</v>
      </c>
      <c r="U41" s="2"/>
      <c r="V41" s="6">
        <f t="shared" si="25"/>
        <v>8.9453383803648617E-3</v>
      </c>
      <c r="W41" s="2"/>
      <c r="X41" s="7">
        <f t="shared" si="26"/>
        <v>-972</v>
      </c>
      <c r="Y41" s="2"/>
      <c r="Z41" s="6">
        <f t="shared" si="27"/>
        <v>-0.21818181818181817</v>
      </c>
    </row>
    <row r="42" spans="1:26" s="27" customFormat="1" outlineLevel="1" collapsed="1" x14ac:dyDescent="0.25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1572.55</v>
      </c>
      <c r="E42" s="1"/>
      <c r="F42" s="5">
        <f t="shared" ref="F42:F59" si="28">IF(D$12=0,0,D42/D$12)</f>
        <v>6.4985287963900649E-3</v>
      </c>
      <c r="G42" s="1"/>
      <c r="H42" s="1">
        <f>SUM(OSRRefH22_2x_0)</f>
        <v>982.59</v>
      </c>
      <c r="I42" s="1"/>
      <c r="J42" s="5">
        <f t="shared" ref="J42:J59" si="29">IF(H$12=0,0,H42/H$12)</f>
        <v>4.5914337068214042E-3</v>
      </c>
      <c r="K42" s="1"/>
      <c r="L42" s="1">
        <f t="shared" ref="L42:L59" si="30">+D42-H42</f>
        <v>589.95999999999992</v>
      </c>
      <c r="M42" s="1"/>
      <c r="N42" s="5">
        <f t="shared" ref="N42:N59" si="31">IF(H42=0,0,L42/H42)</f>
        <v>0.60041319370235791</v>
      </c>
      <c r="O42" s="14"/>
      <c r="P42" s="1">
        <f>SUM(OSRRefP22_2x_0)</f>
        <v>1995.24</v>
      </c>
      <c r="Q42" s="1"/>
      <c r="R42" s="5">
        <f t="shared" ref="R42:R59" si="32">IF(P$12=0,0,P42/P$12)</f>
        <v>4.0845457823119949E-3</v>
      </c>
      <c r="S42" s="1"/>
      <c r="T42" s="1">
        <f>SUM(OSRRefT22_2x_0)</f>
        <v>2800.91</v>
      </c>
      <c r="U42" s="1"/>
      <c r="V42" s="5">
        <f t="shared" ref="V42:V59" si="33">IF(T$12=0,0,T42/T$12)</f>
        <v>5.6240376482486519E-3</v>
      </c>
      <c r="W42" s="1"/>
      <c r="X42" s="1">
        <f t="shared" ref="X42:X59" si="34">+P42-T42</f>
        <v>-805.66999999999985</v>
      </c>
      <c r="Y42" s="1"/>
      <c r="Z42" s="5">
        <f t="shared" ref="Z42:Z59" si="35">IF(T42=0,0,X42/T42)</f>
        <v>-0.28764580082901625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7">
        <v>1572.55</v>
      </c>
      <c r="E43" s="2"/>
      <c r="F43" s="6">
        <f t="shared" si="28"/>
        <v>6.4985287963900649E-3</v>
      </c>
      <c r="G43" s="2"/>
      <c r="H43" s="7">
        <v>982.59</v>
      </c>
      <c r="I43" s="2"/>
      <c r="J43" s="6">
        <f t="shared" si="29"/>
        <v>4.5914337068214042E-3</v>
      </c>
      <c r="K43" s="2"/>
      <c r="L43" s="7">
        <f t="shared" si="30"/>
        <v>589.95999999999992</v>
      </c>
      <c r="M43" s="2"/>
      <c r="N43" s="6">
        <f t="shared" si="31"/>
        <v>0.60041319370235791</v>
      </c>
      <c r="O43" s="11"/>
      <c r="P43" s="7">
        <v>1995.24</v>
      </c>
      <c r="Q43" s="2"/>
      <c r="R43" s="6">
        <f t="shared" si="32"/>
        <v>4.0845457823119949E-3</v>
      </c>
      <c r="S43" s="2"/>
      <c r="T43" s="7">
        <v>2800.91</v>
      </c>
      <c r="U43" s="2"/>
      <c r="V43" s="6">
        <f t="shared" si="33"/>
        <v>5.6240376482486519E-3</v>
      </c>
      <c r="W43" s="2"/>
      <c r="X43" s="7">
        <f t="shared" si="34"/>
        <v>-805.66999999999985</v>
      </c>
      <c r="Y43" s="2"/>
      <c r="Z43" s="6">
        <f t="shared" si="35"/>
        <v>-0.28764580082901625</v>
      </c>
    </row>
    <row r="44" spans="1:26" s="27" customFormat="1" outlineLevel="1" collapsed="1" x14ac:dyDescent="0.25">
      <c r="A44" s="28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4"/>
      <c r="P44" s="1">
        <f>SUM(OSRRefP22_3x_0)</f>
        <v>-0.1</v>
      </c>
      <c r="Q44" s="1"/>
      <c r="R44" s="5">
        <f t="shared" si="32"/>
        <v>-2.0471450964856334E-7</v>
      </c>
      <c r="S44" s="1"/>
      <c r="T44" s="1">
        <f>SUM(OSRRefT22_3x_0)</f>
        <v>1.07</v>
      </c>
      <c r="U44" s="1"/>
      <c r="V44" s="5">
        <f t="shared" si="33"/>
        <v>2.1484875571246696E-6</v>
      </c>
      <c r="W44" s="1"/>
      <c r="X44" s="1">
        <f t="shared" si="34"/>
        <v>-1.1700000000000002</v>
      </c>
      <c r="Y44" s="1"/>
      <c r="Z44" s="5">
        <f t="shared" si="35"/>
        <v>-1.0934579439252337</v>
      </c>
    </row>
    <row r="45" spans="1:26" s="24" customFormat="1" hidden="1" outlineLevel="2" x14ac:dyDescent="0.25">
      <c r="A45" s="29"/>
      <c r="B45" s="11" t="str">
        <f>CONCATENATE("          ", "6272", " - ", "CASH (OVER/SHORT)")</f>
        <v xml:space="preserve">          6272 - CASH (OVER/SHORT)</v>
      </c>
      <c r="C45" s="11"/>
      <c r="D45" s="7"/>
      <c r="E45" s="2"/>
      <c r="F45" s="6">
        <f t="shared" si="28"/>
        <v>0</v>
      </c>
      <c r="G45" s="2"/>
      <c r="H45" s="7"/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>
        <v>-0.1</v>
      </c>
      <c r="Q45" s="2"/>
      <c r="R45" s="6">
        <f t="shared" si="32"/>
        <v>-2.0471450964856334E-7</v>
      </c>
      <c r="S45" s="2"/>
      <c r="T45" s="7">
        <v>1.07</v>
      </c>
      <c r="U45" s="2"/>
      <c r="V45" s="6">
        <f t="shared" si="33"/>
        <v>2.1484875571246696E-6</v>
      </c>
      <c r="W45" s="2"/>
      <c r="X45" s="7">
        <f t="shared" si="34"/>
        <v>-1.1700000000000002</v>
      </c>
      <c r="Y45" s="2"/>
      <c r="Z45" s="6">
        <f t="shared" si="35"/>
        <v>-1.0934579439252337</v>
      </c>
    </row>
    <row r="46" spans="1:26" s="27" customFormat="1" outlineLevel="1" collapsed="1" x14ac:dyDescent="0.25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99.3</v>
      </c>
      <c r="E46" s="1"/>
      <c r="F46" s="5">
        <f t="shared" si="28"/>
        <v>4.1035509807734789E-4</v>
      </c>
      <c r="G46" s="1"/>
      <c r="H46" s="1">
        <f>SUM(OSRRefH22_4x_0)</f>
        <v>123.89</v>
      </c>
      <c r="I46" s="1"/>
      <c r="J46" s="5">
        <f t="shared" si="29"/>
        <v>5.7891157241382846E-4</v>
      </c>
      <c r="K46" s="1"/>
      <c r="L46" s="1">
        <f t="shared" si="30"/>
        <v>-24.590000000000003</v>
      </c>
      <c r="M46" s="1"/>
      <c r="N46" s="5">
        <f t="shared" si="31"/>
        <v>-0.19848252482040524</v>
      </c>
      <c r="O46" s="14"/>
      <c r="P46" s="1">
        <f>SUM(OSRRefP22_4x_0)</f>
        <v>177.93</v>
      </c>
      <c r="Q46" s="1"/>
      <c r="R46" s="5">
        <f t="shared" si="32"/>
        <v>3.6424852701768878E-4</v>
      </c>
      <c r="S46" s="1"/>
      <c r="T46" s="1">
        <f>SUM(OSRRefT22_4x_0)</f>
        <v>174.36</v>
      </c>
      <c r="U46" s="1"/>
      <c r="V46" s="5">
        <f t="shared" si="33"/>
        <v>3.5010307519650228E-4</v>
      </c>
      <c r="W46" s="1"/>
      <c r="X46" s="1">
        <f t="shared" si="34"/>
        <v>3.5699999999999932</v>
      </c>
      <c r="Y46" s="1"/>
      <c r="Z46" s="5">
        <f t="shared" si="35"/>
        <v>2.047487955953196E-2</v>
      </c>
    </row>
    <row r="47" spans="1:26" s="24" customFormat="1" hidden="1" outlineLevel="2" x14ac:dyDescent="0.25">
      <c r="A47" s="29"/>
      <c r="B47" s="11" t="str">
        <f>CONCATENATE("          ", "6381", " - ", "BANK/CREDIT CARD FEES")</f>
        <v xml:space="preserve">          6381 - BANK/CREDIT CARD FEES</v>
      </c>
      <c r="C47" s="11"/>
      <c r="D47" s="7">
        <v>99.3</v>
      </c>
      <c r="E47" s="2"/>
      <c r="F47" s="6">
        <f t="shared" si="28"/>
        <v>4.1035509807734789E-4</v>
      </c>
      <c r="G47" s="2"/>
      <c r="H47" s="7">
        <v>123.89</v>
      </c>
      <c r="I47" s="2"/>
      <c r="J47" s="6">
        <f t="shared" si="29"/>
        <v>5.7891157241382846E-4</v>
      </c>
      <c r="K47" s="2"/>
      <c r="L47" s="7">
        <f t="shared" si="30"/>
        <v>-24.590000000000003</v>
      </c>
      <c r="M47" s="2"/>
      <c r="N47" s="6">
        <f t="shared" si="31"/>
        <v>-0.19848252482040524</v>
      </c>
      <c r="O47" s="11"/>
      <c r="P47" s="7">
        <v>177.93</v>
      </c>
      <c r="Q47" s="2"/>
      <c r="R47" s="6">
        <f t="shared" si="32"/>
        <v>3.6424852701768878E-4</v>
      </c>
      <c r="S47" s="2"/>
      <c r="T47" s="7">
        <v>174.36</v>
      </c>
      <c r="U47" s="2"/>
      <c r="V47" s="6">
        <f t="shared" si="33"/>
        <v>3.5010307519650228E-4</v>
      </c>
      <c r="W47" s="2"/>
      <c r="X47" s="7">
        <f t="shared" si="34"/>
        <v>3.5699999999999932</v>
      </c>
      <c r="Y47" s="2"/>
      <c r="Z47" s="6">
        <f t="shared" si="35"/>
        <v>2.047487955953196E-2</v>
      </c>
    </row>
    <row r="48" spans="1:26" s="27" customFormat="1" outlineLevel="1" collapsed="1" x14ac:dyDescent="0.25">
      <c r="A48" s="28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SUM(OSRRefD22_5x_0)</f>
        <v>3896.02</v>
      </c>
      <c r="E48" s="1"/>
      <c r="F48" s="5">
        <f t="shared" si="28"/>
        <v>1.6100218219650644E-2</v>
      </c>
      <c r="G48" s="1"/>
      <c r="H48" s="1">
        <f>SUM(OSRRefH22_5x_0)</f>
        <v>3047.04</v>
      </c>
      <c r="I48" s="1"/>
      <c r="J48" s="5">
        <f t="shared" si="29"/>
        <v>1.4238168678729776E-2</v>
      </c>
      <c r="K48" s="1"/>
      <c r="L48" s="1">
        <f t="shared" si="30"/>
        <v>848.98</v>
      </c>
      <c r="M48" s="1"/>
      <c r="N48" s="5">
        <f t="shared" si="31"/>
        <v>0.27862450115521953</v>
      </c>
      <c r="O48" s="14"/>
      <c r="P48" s="1">
        <f>SUM(OSRRefP22_5x_0)</f>
        <v>3896.02</v>
      </c>
      <c r="Q48" s="1"/>
      <c r="R48" s="5">
        <f t="shared" si="32"/>
        <v>7.9757182388099576E-3</v>
      </c>
      <c r="S48" s="1"/>
      <c r="T48" s="1">
        <f>SUM(OSRRefT22_5x_0)</f>
        <v>3047.04</v>
      </c>
      <c r="U48" s="1"/>
      <c r="V48" s="5">
        <f t="shared" si="33"/>
        <v>6.118250024356218E-3</v>
      </c>
      <c r="W48" s="1"/>
      <c r="X48" s="1">
        <f t="shared" si="34"/>
        <v>848.98</v>
      </c>
      <c r="Y48" s="1"/>
      <c r="Z48" s="5">
        <f t="shared" si="35"/>
        <v>0.27862450115521953</v>
      </c>
    </row>
    <row r="49" spans="1:26" s="24" customFormat="1" hidden="1" outlineLevel="2" x14ac:dyDescent="0.25">
      <c r="A49" s="29"/>
      <c r="B49" s="11" t="str">
        <f>CONCATENATE("          ", "6399", " - ", "DONATION-ON CAMPUS")</f>
        <v xml:space="preserve">          6399 - DONATION-ON CAMPUS</v>
      </c>
      <c r="C49" s="11"/>
      <c r="D49" s="7">
        <v>3896.02</v>
      </c>
      <c r="E49" s="2"/>
      <c r="F49" s="6">
        <f t="shared" si="28"/>
        <v>1.6100218219650644E-2</v>
      </c>
      <c r="G49" s="2"/>
      <c r="H49" s="7">
        <v>3047.04</v>
      </c>
      <c r="I49" s="2"/>
      <c r="J49" s="6">
        <f t="shared" si="29"/>
        <v>1.4238168678729776E-2</v>
      </c>
      <c r="K49" s="2"/>
      <c r="L49" s="7">
        <f t="shared" si="30"/>
        <v>848.98</v>
      </c>
      <c r="M49" s="2"/>
      <c r="N49" s="6">
        <f t="shared" si="31"/>
        <v>0.27862450115521953</v>
      </c>
      <c r="O49" s="11"/>
      <c r="P49" s="7">
        <v>3896.02</v>
      </c>
      <c r="Q49" s="2"/>
      <c r="R49" s="6">
        <f t="shared" si="32"/>
        <v>7.9757182388099576E-3</v>
      </c>
      <c r="S49" s="2"/>
      <c r="T49" s="7">
        <v>3047.04</v>
      </c>
      <c r="U49" s="2"/>
      <c r="V49" s="6">
        <f t="shared" si="33"/>
        <v>6.118250024356218E-3</v>
      </c>
      <c r="W49" s="2"/>
      <c r="X49" s="7">
        <f t="shared" si="34"/>
        <v>848.98</v>
      </c>
      <c r="Y49" s="2"/>
      <c r="Z49" s="6">
        <f t="shared" si="35"/>
        <v>0.27862450115521953</v>
      </c>
    </row>
    <row r="50" spans="1:26" s="27" customFormat="1" outlineLevel="1" collapsed="1" x14ac:dyDescent="0.25">
      <c r="A50" s="28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816.38</v>
      </c>
      <c r="E50" s="1"/>
      <c r="F50" s="5">
        <f t="shared" si="28"/>
        <v>3.3736726582918961E-3</v>
      </c>
      <c r="G50" s="1"/>
      <c r="H50" s="1">
        <f>SUM(OSRRefH22_6x_0)</f>
        <v>366.74</v>
      </c>
      <c r="I50" s="1"/>
      <c r="J50" s="5">
        <f t="shared" si="29"/>
        <v>1.7136978776902693E-3</v>
      </c>
      <c r="K50" s="1"/>
      <c r="L50" s="1">
        <f t="shared" si="30"/>
        <v>449.64</v>
      </c>
      <c r="M50" s="1"/>
      <c r="N50" s="5">
        <f t="shared" si="31"/>
        <v>1.2260456999509188</v>
      </c>
      <c r="O50" s="14"/>
      <c r="P50" s="1">
        <f>SUM(OSRRefP22_6x_0)</f>
        <v>900.16</v>
      </c>
      <c r="Q50" s="1"/>
      <c r="R50" s="5">
        <f t="shared" si="32"/>
        <v>1.8427581300525077E-3</v>
      </c>
      <c r="S50" s="1"/>
      <c r="T50" s="1">
        <f>SUM(OSRRefT22_6x_0)</f>
        <v>522.05999999999995</v>
      </c>
      <c r="U50" s="1"/>
      <c r="V50" s="5">
        <f t="shared" si="33"/>
        <v>1.0482611346472009E-3</v>
      </c>
      <c r="W50" s="1"/>
      <c r="X50" s="1">
        <f t="shared" si="34"/>
        <v>378.1</v>
      </c>
      <c r="Y50" s="1"/>
      <c r="Z50" s="5">
        <f t="shared" si="35"/>
        <v>0.72424625521970665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7">
        <v>816.38</v>
      </c>
      <c r="E51" s="2"/>
      <c r="F51" s="6">
        <f t="shared" si="28"/>
        <v>3.3736726582918961E-3</v>
      </c>
      <c r="G51" s="2"/>
      <c r="H51" s="7">
        <v>366.74</v>
      </c>
      <c r="I51" s="2"/>
      <c r="J51" s="6">
        <f t="shared" si="29"/>
        <v>1.7136978776902693E-3</v>
      </c>
      <c r="K51" s="2"/>
      <c r="L51" s="7">
        <f t="shared" si="30"/>
        <v>449.64</v>
      </c>
      <c r="M51" s="2"/>
      <c r="N51" s="6">
        <f t="shared" si="31"/>
        <v>1.2260456999509188</v>
      </c>
      <c r="O51" s="11"/>
      <c r="P51" s="7">
        <v>900.16</v>
      </c>
      <c r="Q51" s="2"/>
      <c r="R51" s="6">
        <f t="shared" si="32"/>
        <v>1.8427581300525077E-3</v>
      </c>
      <c r="S51" s="2"/>
      <c r="T51" s="7">
        <v>522.05999999999995</v>
      </c>
      <c r="U51" s="2"/>
      <c r="V51" s="6">
        <f t="shared" si="33"/>
        <v>1.0482611346472009E-3</v>
      </c>
      <c r="W51" s="2"/>
      <c r="X51" s="7">
        <f t="shared" si="34"/>
        <v>378.1</v>
      </c>
      <c r="Y51" s="2"/>
      <c r="Z51" s="6">
        <f t="shared" si="35"/>
        <v>0.72424625521970665</v>
      </c>
    </row>
    <row r="52" spans="1:26" s="27" customFormat="1" outlineLevel="1" collapsed="1" x14ac:dyDescent="0.25">
      <c r="A52" s="28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110</v>
      </c>
      <c r="E52" s="1"/>
      <c r="F52" s="5">
        <f t="shared" si="28"/>
        <v>4.5457261619847201E-4</v>
      </c>
      <c r="G52" s="1"/>
      <c r="H52" s="1">
        <f>SUM(OSRRefH22_7x_0)</f>
        <v>20</v>
      </c>
      <c r="I52" s="1"/>
      <c r="J52" s="5">
        <f t="shared" si="29"/>
        <v>9.3455738544487616E-5</v>
      </c>
      <c r="K52" s="1"/>
      <c r="L52" s="1">
        <f t="shared" si="30"/>
        <v>90</v>
      </c>
      <c r="M52" s="1"/>
      <c r="N52" s="5">
        <f t="shared" si="31"/>
        <v>4.5</v>
      </c>
      <c r="O52" s="14"/>
      <c r="P52" s="1">
        <f>SUM(OSRRefP22_7x_0)</f>
        <v>1499.55</v>
      </c>
      <c r="Q52" s="1"/>
      <c r="R52" s="5">
        <f t="shared" si="32"/>
        <v>3.0697964294350314E-3</v>
      </c>
      <c r="S52" s="1"/>
      <c r="T52" s="1">
        <f>SUM(OSRRefT22_7x_0)</f>
        <v>1515.54</v>
      </c>
      <c r="U52" s="1"/>
      <c r="V52" s="5">
        <f t="shared" si="33"/>
        <v>3.043101712453011E-3</v>
      </c>
      <c r="W52" s="1"/>
      <c r="X52" s="1">
        <f t="shared" si="34"/>
        <v>-15.990000000000009</v>
      </c>
      <c r="Y52" s="1"/>
      <c r="Z52" s="5">
        <f t="shared" si="35"/>
        <v>-1.0550694801852811E-2</v>
      </c>
    </row>
    <row r="53" spans="1:26" s="24" customFormat="1" hidden="1" outlineLevel="2" x14ac:dyDescent="0.25">
      <c r="A53" s="29"/>
      <c r="B53" s="11" t="str">
        <f>CONCATENATE("          ", "6279", " - ", "GENERAL EXPENSE")</f>
        <v xml:space="preserve">          6279 - GENERAL EXPENSE</v>
      </c>
      <c r="C53" s="11"/>
      <c r="D53" s="7">
        <v>110</v>
      </c>
      <c r="E53" s="2"/>
      <c r="F53" s="6">
        <f t="shared" si="28"/>
        <v>4.5457261619847201E-4</v>
      </c>
      <c r="G53" s="2"/>
      <c r="H53" s="7">
        <v>20</v>
      </c>
      <c r="I53" s="2"/>
      <c r="J53" s="6">
        <f t="shared" si="29"/>
        <v>9.3455738544487616E-5</v>
      </c>
      <c r="K53" s="2"/>
      <c r="L53" s="7">
        <f t="shared" si="30"/>
        <v>90</v>
      </c>
      <c r="M53" s="2"/>
      <c r="N53" s="6">
        <f t="shared" si="31"/>
        <v>4.5</v>
      </c>
      <c r="O53" s="11"/>
      <c r="P53" s="7">
        <v>1499.55</v>
      </c>
      <c r="Q53" s="2"/>
      <c r="R53" s="6">
        <f t="shared" si="32"/>
        <v>3.0697964294350314E-3</v>
      </c>
      <c r="S53" s="2"/>
      <c r="T53" s="7">
        <v>1515.54</v>
      </c>
      <c r="U53" s="2"/>
      <c r="V53" s="6">
        <f t="shared" si="33"/>
        <v>3.043101712453011E-3</v>
      </c>
      <c r="W53" s="2"/>
      <c r="X53" s="7">
        <f t="shared" si="34"/>
        <v>-15.990000000000009</v>
      </c>
      <c r="Y53" s="2"/>
      <c r="Z53" s="6">
        <f t="shared" si="35"/>
        <v>-1.0550694801852811E-2</v>
      </c>
    </row>
    <row r="54" spans="1:26" s="27" customFormat="1" outlineLevel="1" collapsed="1" x14ac:dyDescent="0.25">
      <c r="A54" s="28"/>
      <c r="B54" s="14" t="str">
        <f>CONCATENATE("     ","R/H Commissions                                   ")</f>
        <v xml:space="preserve">     R/H Commissions                                   </v>
      </c>
      <c r="C54" s="14"/>
      <c r="D54" s="1">
        <f>SUM(OSRRefD22_8x_0)</f>
        <v>11346.44</v>
      </c>
      <c r="E54" s="1"/>
      <c r="F54" s="5">
        <f t="shared" si="28"/>
        <v>4.6888917412172645E-2</v>
      </c>
      <c r="G54" s="1"/>
      <c r="H54" s="1">
        <f>SUM(OSRRefH22_8x_0)</f>
        <v>16946.04</v>
      </c>
      <c r="I54" s="1"/>
      <c r="J54" s="5">
        <f t="shared" si="29"/>
        <v>7.9185234180221442E-2</v>
      </c>
      <c r="K54" s="1"/>
      <c r="L54" s="1">
        <f t="shared" si="30"/>
        <v>-5599.6</v>
      </c>
      <c r="M54" s="1"/>
      <c r="N54" s="5">
        <f t="shared" si="31"/>
        <v>-0.33043708146564038</v>
      </c>
      <c r="O54" s="14"/>
      <c r="P54" s="1">
        <f>SUM(OSRRefP22_8x_0)</f>
        <v>30754.84</v>
      </c>
      <c r="Q54" s="1"/>
      <c r="R54" s="5">
        <f t="shared" si="32"/>
        <v>6.2959619899200223E-2</v>
      </c>
      <c r="S54" s="1"/>
      <c r="T54" s="1">
        <f>SUM(OSRRefT22_8x_0)</f>
        <v>39667.619999999995</v>
      </c>
      <c r="U54" s="1"/>
      <c r="V54" s="5">
        <f t="shared" si="33"/>
        <v>7.9649895318457634E-2</v>
      </c>
      <c r="W54" s="1"/>
      <c r="X54" s="1">
        <f t="shared" si="34"/>
        <v>-8912.7799999999952</v>
      </c>
      <c r="Y54" s="1"/>
      <c r="Z54" s="5">
        <f t="shared" si="35"/>
        <v>-0.22468653274383479</v>
      </c>
    </row>
    <row r="55" spans="1:26" s="24" customFormat="1" hidden="1" outlineLevel="2" x14ac:dyDescent="0.25">
      <c r="A55" s="29"/>
      <c r="B55" s="11" t="str">
        <f>CONCATENATE("          ", "6387", " - ", "COMMISSION DUE HOUSING")</f>
        <v xml:space="preserve">          6387 - COMMISSION DUE HOUSING</v>
      </c>
      <c r="C55" s="11"/>
      <c r="D55" s="7">
        <v>11346.44</v>
      </c>
      <c r="E55" s="2"/>
      <c r="F55" s="6">
        <f t="shared" si="28"/>
        <v>4.6888917412172645E-2</v>
      </c>
      <c r="G55" s="2"/>
      <c r="H55" s="7">
        <v>16946.04</v>
      </c>
      <c r="I55" s="2"/>
      <c r="J55" s="6">
        <f t="shared" si="29"/>
        <v>7.9185234180221442E-2</v>
      </c>
      <c r="K55" s="2"/>
      <c r="L55" s="7">
        <f t="shared" si="30"/>
        <v>-5599.6</v>
      </c>
      <c r="M55" s="2"/>
      <c r="N55" s="6">
        <f t="shared" si="31"/>
        <v>-0.33043708146564038</v>
      </c>
      <c r="O55" s="11"/>
      <c r="P55" s="7">
        <v>30754.84</v>
      </c>
      <c r="Q55" s="2"/>
      <c r="R55" s="6">
        <f t="shared" si="32"/>
        <v>6.2959619899200223E-2</v>
      </c>
      <c r="S55" s="2"/>
      <c r="T55" s="7">
        <v>39667.619999999995</v>
      </c>
      <c r="U55" s="2"/>
      <c r="V55" s="6">
        <f t="shared" si="33"/>
        <v>7.9649895318457634E-2</v>
      </c>
      <c r="W55" s="2"/>
      <c r="X55" s="7">
        <f t="shared" si="34"/>
        <v>-8912.7799999999952</v>
      </c>
      <c r="Y55" s="2"/>
      <c r="Z55" s="6">
        <f t="shared" si="35"/>
        <v>-0.22468653274383479</v>
      </c>
    </row>
    <row r="56" spans="1:26" s="27" customFormat="1" outlineLevel="1" collapsed="1" x14ac:dyDescent="0.25">
      <c r="A56" s="28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SUM(OSRRefD22_9x_0)</f>
        <v>6250.5899999999992</v>
      </c>
      <c r="E56" s="1"/>
      <c r="F56" s="5">
        <f t="shared" si="28"/>
        <v>2.5830427718945517E-2</v>
      </c>
      <c r="G56" s="1"/>
      <c r="H56" s="1">
        <f>SUM(OSRRefH22_9x_0)</f>
        <v>5639.9500000000007</v>
      </c>
      <c r="I56" s="1"/>
      <c r="J56" s="5">
        <f t="shared" si="29"/>
        <v>2.6354284630199148E-2</v>
      </c>
      <c r="K56" s="1"/>
      <c r="L56" s="1">
        <f t="shared" si="30"/>
        <v>610.63999999999851</v>
      </c>
      <c r="M56" s="1"/>
      <c r="N56" s="5">
        <f t="shared" si="31"/>
        <v>0.10827046339063262</v>
      </c>
      <c r="O56" s="14"/>
      <c r="P56" s="1">
        <f>SUM(OSRRefP22_9x_0)</f>
        <v>12746.3</v>
      </c>
      <c r="Q56" s="1"/>
      <c r="R56" s="5">
        <f t="shared" si="32"/>
        <v>2.6093525543334828E-2</v>
      </c>
      <c r="S56" s="1"/>
      <c r="T56" s="1">
        <f>SUM(OSRRefT22_9x_0)</f>
        <v>11168.880000000001</v>
      </c>
      <c r="U56" s="1"/>
      <c r="V56" s="5">
        <f t="shared" si="33"/>
        <v>2.2426354866372507E-2</v>
      </c>
      <c r="W56" s="1"/>
      <c r="X56" s="1">
        <f t="shared" si="34"/>
        <v>1577.4199999999983</v>
      </c>
      <c r="Y56" s="1"/>
      <c r="Z56" s="5">
        <f t="shared" si="35"/>
        <v>0.14123349879307487</v>
      </c>
    </row>
    <row r="57" spans="1:26" s="24" customFormat="1" hidden="1" outlineLevel="2" x14ac:dyDescent="0.25">
      <c r="A57" s="29"/>
      <c r="B57" s="11" t="str">
        <f>CONCATENATE("          ", "6282", " - ", "JANITORIAL/EXTERMINATOR EXPENS")</f>
        <v xml:space="preserve">          6282 - JANITORIAL/EXTERMINATOR EXPENS</v>
      </c>
      <c r="C57" s="11"/>
      <c r="D57" s="7">
        <v>417.32</v>
      </c>
      <c r="E57" s="2"/>
      <c r="F57" s="6">
        <f t="shared" si="28"/>
        <v>1.7245658562904213E-3</v>
      </c>
      <c r="G57" s="2"/>
      <c r="H57" s="7">
        <v>417.32</v>
      </c>
      <c r="I57" s="2"/>
      <c r="J57" s="6">
        <f t="shared" si="29"/>
        <v>1.9500474404692783E-3</v>
      </c>
      <c r="K57" s="2"/>
      <c r="L57" s="7">
        <f t="shared" si="30"/>
        <v>0</v>
      </c>
      <c r="M57" s="2"/>
      <c r="N57" s="6">
        <f t="shared" si="31"/>
        <v>0</v>
      </c>
      <c r="O57" s="11"/>
      <c r="P57" s="7">
        <v>834.64</v>
      </c>
      <c r="Q57" s="2"/>
      <c r="R57" s="6">
        <f t="shared" si="32"/>
        <v>1.7086291833307691E-3</v>
      </c>
      <c r="S57" s="2"/>
      <c r="T57" s="7">
        <v>834.64</v>
      </c>
      <c r="U57" s="2"/>
      <c r="V57" s="6">
        <f t="shared" si="33"/>
        <v>1.6759006118490973E-3</v>
      </c>
      <c r="W57" s="2"/>
      <c r="X57" s="7">
        <f t="shared" si="34"/>
        <v>0</v>
      </c>
      <c r="Y57" s="2"/>
      <c r="Z57" s="6">
        <f t="shared" si="35"/>
        <v>0</v>
      </c>
    </row>
    <row r="58" spans="1:26" s="24" customFormat="1" hidden="1" outlineLevel="2" x14ac:dyDescent="0.25">
      <c r="A58" s="29"/>
      <c r="B58" s="11" t="str">
        <f>CONCATENATE("          ", "6285", " - ", "JANITORIAL SERVICES")</f>
        <v xml:space="preserve">          6285 - JANITORIAL SERVICES</v>
      </c>
      <c r="C58" s="11"/>
      <c r="D58" s="7">
        <v>4105.03</v>
      </c>
      <c r="E58" s="2"/>
      <c r="F58" s="6">
        <f t="shared" si="28"/>
        <v>1.696394751521103E-2</v>
      </c>
      <c r="G58" s="2"/>
      <c r="H58" s="7">
        <v>3603.61</v>
      </c>
      <c r="I58" s="2"/>
      <c r="J58" s="6">
        <f t="shared" si="29"/>
        <v>1.6838901698815051E-2</v>
      </c>
      <c r="K58" s="2"/>
      <c r="L58" s="7">
        <f t="shared" si="30"/>
        <v>501.41999999999962</v>
      </c>
      <c r="M58" s="2"/>
      <c r="N58" s="6">
        <f t="shared" si="31"/>
        <v>0.13914380301974952</v>
      </c>
      <c r="O58" s="11"/>
      <c r="P58" s="7">
        <v>7987.1</v>
      </c>
      <c r="Q58" s="2"/>
      <c r="R58" s="6">
        <f t="shared" si="32"/>
        <v>1.6350752600140402E-2</v>
      </c>
      <c r="S58" s="2"/>
      <c r="T58" s="7">
        <v>7207.22</v>
      </c>
      <c r="U58" s="2"/>
      <c r="V58" s="6">
        <f t="shared" si="33"/>
        <v>1.4471609805102861E-2</v>
      </c>
      <c r="W58" s="2"/>
      <c r="X58" s="7">
        <f t="shared" si="34"/>
        <v>779.88000000000011</v>
      </c>
      <c r="Y58" s="2"/>
      <c r="Z58" s="6">
        <f t="shared" si="35"/>
        <v>0.10820815793051969</v>
      </c>
    </row>
    <row r="59" spans="1:26" s="24" customFormat="1" hidden="1" outlineLevel="2" x14ac:dyDescent="0.25">
      <c r="A59" s="29"/>
      <c r="B59" s="11" t="str">
        <f>CONCATENATE("          ", "6286", " - ", "LAUNDRY EXPENSE")</f>
        <v xml:space="preserve">          6286 - LAUNDRY EXPENSE</v>
      </c>
      <c r="C59" s="11"/>
      <c r="D59" s="7">
        <v>1728.24</v>
      </c>
      <c r="E59" s="2"/>
      <c r="F59" s="6">
        <f t="shared" si="28"/>
        <v>7.1419143474440658E-3</v>
      </c>
      <c r="G59" s="2"/>
      <c r="H59" s="7">
        <v>1619.02</v>
      </c>
      <c r="I59" s="2"/>
      <c r="J59" s="6">
        <f t="shared" si="29"/>
        <v>7.5653354909148169E-3</v>
      </c>
      <c r="K59" s="2"/>
      <c r="L59" s="7">
        <f t="shared" si="30"/>
        <v>109.22000000000003</v>
      </c>
      <c r="M59" s="2"/>
      <c r="N59" s="6">
        <f t="shared" si="31"/>
        <v>6.7460562562537851E-2</v>
      </c>
      <c r="O59" s="11"/>
      <c r="P59" s="7">
        <v>3924.56</v>
      </c>
      <c r="Q59" s="2"/>
      <c r="R59" s="6">
        <f t="shared" si="32"/>
        <v>8.0341437598636569E-3</v>
      </c>
      <c r="S59" s="2"/>
      <c r="T59" s="7">
        <v>3127.02</v>
      </c>
      <c r="U59" s="2"/>
      <c r="V59" s="6">
        <f t="shared" si="33"/>
        <v>6.2788444494205464E-3</v>
      </c>
      <c r="W59" s="2"/>
      <c r="X59" s="7">
        <f t="shared" si="34"/>
        <v>797.54</v>
      </c>
      <c r="Y59" s="2"/>
      <c r="Z59" s="6">
        <f t="shared" si="35"/>
        <v>0.25504793701351447</v>
      </c>
    </row>
    <row r="60" spans="1:26" s="27" customFormat="1" outlineLevel="1" collapsed="1" x14ac:dyDescent="0.25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SUM(OSRRefD22_10x_0)</f>
        <v>7177.39</v>
      </c>
      <c r="E60" s="1"/>
      <c r="F60" s="5">
        <f t="shared" ref="F60:F66" si="36">IF(D$12=0,0,D60/D$12)</f>
        <v>2.9660408634334102E-2</v>
      </c>
      <c r="G60" s="1"/>
      <c r="H60" s="1">
        <f>SUM(OSRRefH22_10x_0)</f>
        <v>8573.0999999999985</v>
      </c>
      <c r="I60" s="1"/>
      <c r="J60" s="5">
        <f t="shared" ref="J60:J66" si="37">IF(H$12=0,0,H60/H$12)</f>
        <v>4.0060269605787333E-2</v>
      </c>
      <c r="K60" s="1"/>
      <c r="L60" s="1">
        <f t="shared" ref="L60:L66" si="38">+D60-H60</f>
        <v>-1395.7099999999982</v>
      </c>
      <c r="M60" s="1"/>
      <c r="N60" s="5">
        <f t="shared" ref="N60:N66" si="39">IF(H60=0,0,L60/H60)</f>
        <v>-0.1628010871213445</v>
      </c>
      <c r="O60" s="14"/>
      <c r="P60" s="1">
        <f>SUM(OSRRefP22_10x_0)</f>
        <v>14620</v>
      </c>
      <c r="Q60" s="1"/>
      <c r="R60" s="5">
        <f t="shared" ref="R60:R66" si="40">IF(P$12=0,0,P60/P$12)</f>
        <v>2.9929261310619959E-2</v>
      </c>
      <c r="S60" s="1"/>
      <c r="T60" s="1">
        <f>SUM(OSRRefT22_10x_0)</f>
        <v>16910.45</v>
      </c>
      <c r="U60" s="1"/>
      <c r="V60" s="5">
        <f t="shared" ref="V60:V66" si="41">IF(T$12=0,0,T60/T$12)</f>
        <v>3.3955038701288666E-2</v>
      </c>
      <c r="W60" s="1"/>
      <c r="X60" s="1">
        <f t="shared" ref="X60:X66" si="42">+P60-T60</f>
        <v>-2290.4500000000007</v>
      </c>
      <c r="Y60" s="1"/>
      <c r="Z60" s="5">
        <f t="shared" ref="Z60:Z66" si="43">IF(T60=0,0,X60/T60)</f>
        <v>-0.13544583378916591</v>
      </c>
    </row>
    <row r="61" spans="1:26" s="24" customFormat="1" hidden="1" outlineLevel="2" x14ac:dyDescent="0.25">
      <c r="A61" s="29"/>
      <c r="B61" s="11" t="str">
        <f>CONCATENATE("          ", "6237", " - ", "JANITORIAL SUPPLIES")</f>
        <v xml:space="preserve">          6237 - JANITORIAL SUPPLIES</v>
      </c>
      <c r="C61" s="11"/>
      <c r="D61" s="7">
        <v>2537.71</v>
      </c>
      <c r="E61" s="2"/>
      <c r="F61" s="6">
        <f t="shared" si="36"/>
        <v>1.048703158048204E-2</v>
      </c>
      <c r="G61" s="2"/>
      <c r="H61" s="7">
        <v>4977.62</v>
      </c>
      <c r="I61" s="2"/>
      <c r="J61" s="6">
        <f t="shared" si="37"/>
        <v>2.325935766469062E-2</v>
      </c>
      <c r="K61" s="2"/>
      <c r="L61" s="7">
        <f t="shared" si="38"/>
        <v>-2439.91</v>
      </c>
      <c r="M61" s="2"/>
      <c r="N61" s="6">
        <f t="shared" si="39"/>
        <v>-0.49017602790088433</v>
      </c>
      <c r="O61" s="11"/>
      <c r="P61" s="7">
        <v>5837.68</v>
      </c>
      <c r="Q61" s="2"/>
      <c r="R61" s="6">
        <f t="shared" si="40"/>
        <v>1.1950577986852253E-2</v>
      </c>
      <c r="S61" s="2"/>
      <c r="T61" s="7">
        <v>8420.2999999999993</v>
      </c>
      <c r="U61" s="2"/>
      <c r="V61" s="6">
        <f t="shared" si="41"/>
        <v>1.690739231519332E-2</v>
      </c>
      <c r="W61" s="2"/>
      <c r="X61" s="7">
        <f t="shared" si="42"/>
        <v>-2582.619999999999</v>
      </c>
      <c r="Y61" s="2"/>
      <c r="Z61" s="6">
        <f t="shared" si="43"/>
        <v>-0.30671353752241598</v>
      </c>
    </row>
    <row r="62" spans="1:26" s="24" customFormat="1" hidden="1" outlineLevel="2" x14ac:dyDescent="0.25">
      <c r="A62" s="29"/>
      <c r="B62" s="11" t="str">
        <f>CONCATENATE("          ", "6239", " - ", "KITCHEN SUPPLIES")</f>
        <v xml:space="preserve">          6239 - KITCHEN SUPPLIES</v>
      </c>
      <c r="C62" s="11"/>
      <c r="D62" s="7">
        <v>1901.16</v>
      </c>
      <c r="E62" s="2"/>
      <c r="F62" s="6">
        <f t="shared" si="36"/>
        <v>7.8565025001080639E-3</v>
      </c>
      <c r="G62" s="2"/>
      <c r="H62" s="7">
        <v>852.87</v>
      </c>
      <c r="I62" s="2"/>
      <c r="J62" s="6">
        <f t="shared" si="37"/>
        <v>3.9852797866218575E-3</v>
      </c>
      <c r="K62" s="2"/>
      <c r="L62" s="7">
        <f t="shared" si="38"/>
        <v>1048.29</v>
      </c>
      <c r="M62" s="2"/>
      <c r="N62" s="6">
        <f t="shared" si="39"/>
        <v>1.2291322241373246</v>
      </c>
      <c r="O62" s="11"/>
      <c r="P62" s="7">
        <v>2179.89</v>
      </c>
      <c r="Q62" s="2"/>
      <c r="R62" s="6">
        <f t="shared" si="40"/>
        <v>4.4625511243780672E-3</v>
      </c>
      <c r="S62" s="2"/>
      <c r="T62" s="7">
        <v>1205.1300000000001</v>
      </c>
      <c r="U62" s="2"/>
      <c r="V62" s="6">
        <f t="shared" si="41"/>
        <v>2.4198194483342553E-3</v>
      </c>
      <c r="W62" s="2"/>
      <c r="X62" s="7">
        <f t="shared" si="42"/>
        <v>974.75999999999976</v>
      </c>
      <c r="Y62" s="2"/>
      <c r="Z62" s="6">
        <f t="shared" si="43"/>
        <v>0.80884219959672377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7">
        <v>618.47</v>
      </c>
      <c r="E63" s="2"/>
      <c r="F63" s="6">
        <f t="shared" si="36"/>
        <v>2.5558138721842637E-3</v>
      </c>
      <c r="G63" s="2"/>
      <c r="H63" s="7">
        <v>452.37</v>
      </c>
      <c r="I63" s="2"/>
      <c r="J63" s="6">
        <f t="shared" si="37"/>
        <v>2.1138286222684931E-3</v>
      </c>
      <c r="K63" s="2"/>
      <c r="L63" s="7">
        <f t="shared" si="38"/>
        <v>166.10000000000002</v>
      </c>
      <c r="M63" s="2"/>
      <c r="N63" s="6">
        <f t="shared" si="39"/>
        <v>0.36717731060857267</v>
      </c>
      <c r="O63" s="11"/>
      <c r="P63" s="7">
        <v>1093.4000000000001</v>
      </c>
      <c r="Q63" s="2"/>
      <c r="R63" s="6">
        <f t="shared" si="40"/>
        <v>2.2383484484973918E-3</v>
      </c>
      <c r="S63" s="2"/>
      <c r="T63" s="7">
        <v>789.08</v>
      </c>
      <c r="U63" s="2"/>
      <c r="V63" s="6">
        <f t="shared" si="41"/>
        <v>1.584419216426107E-3</v>
      </c>
      <c r="W63" s="2"/>
      <c r="X63" s="7">
        <f t="shared" si="42"/>
        <v>304.32000000000005</v>
      </c>
      <c r="Y63" s="2"/>
      <c r="Z63" s="6">
        <f t="shared" si="43"/>
        <v>0.38566431793987938</v>
      </c>
    </row>
    <row r="64" spans="1:26" s="24" customFormat="1" hidden="1" outlineLevel="2" x14ac:dyDescent="0.25">
      <c r="A64" s="29"/>
      <c r="B64" s="11" t="str">
        <f>CONCATENATE("          ", "6243", " - ", "PAPER SUPPLIES")</f>
        <v xml:space="preserve">          6243 - PAPER SUPPLIES</v>
      </c>
      <c r="C64" s="11"/>
      <c r="D64" s="7">
        <v>1679.05</v>
      </c>
      <c r="E64" s="2"/>
      <c r="F64" s="6">
        <f t="shared" si="36"/>
        <v>6.9386377384367676E-3</v>
      </c>
      <c r="G64" s="2"/>
      <c r="H64" s="7">
        <v>2290.2399999999998</v>
      </c>
      <c r="I64" s="2"/>
      <c r="J64" s="6">
        <f t="shared" si="37"/>
        <v>1.0701803532206365E-2</v>
      </c>
      <c r="K64" s="2"/>
      <c r="L64" s="7">
        <f t="shared" si="38"/>
        <v>-611.18999999999983</v>
      </c>
      <c r="M64" s="2"/>
      <c r="N64" s="6">
        <f t="shared" si="39"/>
        <v>-0.26686722788878015</v>
      </c>
      <c r="O64" s="11"/>
      <c r="P64" s="7">
        <v>3845.61</v>
      </c>
      <c r="Q64" s="2"/>
      <c r="R64" s="6">
        <f t="shared" si="40"/>
        <v>7.8725216544961174E-3</v>
      </c>
      <c r="S64" s="2"/>
      <c r="T64" s="7">
        <v>3588.51</v>
      </c>
      <c r="U64" s="2"/>
      <c r="V64" s="6">
        <f t="shared" si="41"/>
        <v>7.20548512487612E-3</v>
      </c>
      <c r="W64" s="2"/>
      <c r="X64" s="7">
        <f t="shared" si="42"/>
        <v>257.09999999999991</v>
      </c>
      <c r="Y64" s="2"/>
      <c r="Z64" s="6">
        <f t="shared" si="43"/>
        <v>7.1645334693229187E-2</v>
      </c>
    </row>
    <row r="65" spans="1:26" s="24" customFormat="1" hidden="1" outlineLevel="2" x14ac:dyDescent="0.25">
      <c r="A65" s="29"/>
      <c r="B65" s="11" t="str">
        <f>CONCATENATE("          ", "6245", " - ", "PRINTING")</f>
        <v xml:space="preserve">          6245 - PRINTING</v>
      </c>
      <c r="C65" s="11"/>
      <c r="D65" s="7">
        <v>441</v>
      </c>
      <c r="E65" s="2"/>
      <c r="F65" s="6">
        <f t="shared" si="36"/>
        <v>1.8224229431229651E-3</v>
      </c>
      <c r="G65" s="2"/>
      <c r="H65" s="7"/>
      <c r="I65" s="2"/>
      <c r="J65" s="6">
        <f t="shared" si="37"/>
        <v>0</v>
      </c>
      <c r="K65" s="2"/>
      <c r="L65" s="7">
        <f t="shared" si="38"/>
        <v>441</v>
      </c>
      <c r="M65" s="2"/>
      <c r="N65" s="6">
        <f t="shared" si="39"/>
        <v>0</v>
      </c>
      <c r="O65" s="11"/>
      <c r="P65" s="7">
        <v>441</v>
      </c>
      <c r="Q65" s="2"/>
      <c r="R65" s="6">
        <f t="shared" si="40"/>
        <v>9.0279098755016436E-4</v>
      </c>
      <c r="S65" s="2"/>
      <c r="T65" s="7"/>
      <c r="U65" s="2"/>
      <c r="V65" s="6">
        <f t="shared" si="41"/>
        <v>0</v>
      </c>
      <c r="W65" s="2"/>
      <c r="X65" s="7">
        <f t="shared" si="42"/>
        <v>441</v>
      </c>
      <c r="Y65" s="2"/>
      <c r="Z65" s="6">
        <f t="shared" si="43"/>
        <v>0</v>
      </c>
    </row>
    <row r="66" spans="1:26" s="24" customFormat="1" hidden="1" outlineLevel="2" x14ac:dyDescent="0.25">
      <c r="A66" s="29"/>
      <c r="B66" s="11" t="str">
        <f>CONCATENATE("          ", "6248", " - ", "UNIFORMS")</f>
        <v xml:space="preserve">          6248 - UNIFORMS</v>
      </c>
      <c r="C66" s="11"/>
      <c r="D66" s="7"/>
      <c r="E66" s="2"/>
      <c r="F66" s="6">
        <f t="shared" si="36"/>
        <v>0</v>
      </c>
      <c r="G66" s="2"/>
      <c r="H66" s="7"/>
      <c r="I66" s="2"/>
      <c r="J66" s="6">
        <f t="shared" si="37"/>
        <v>0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>
        <v>1222.42</v>
      </c>
      <c r="Q66" s="2"/>
      <c r="R66" s="6">
        <f t="shared" si="40"/>
        <v>2.5024711088459683E-3</v>
      </c>
      <c r="S66" s="2"/>
      <c r="T66" s="7">
        <v>2907.43</v>
      </c>
      <c r="U66" s="2"/>
      <c r="V66" s="6">
        <f t="shared" si="41"/>
        <v>5.8379225964588577E-3</v>
      </c>
      <c r="W66" s="2"/>
      <c r="X66" s="7">
        <f t="shared" si="42"/>
        <v>-1685.0099999999998</v>
      </c>
      <c r="Y66" s="2"/>
      <c r="Z66" s="6">
        <f t="shared" si="43"/>
        <v>-0.57955307608437689</v>
      </c>
    </row>
    <row r="67" spans="1:26" s="27" customFormat="1" outlineLevel="1" collapsed="1" x14ac:dyDescent="0.25">
      <c r="A67" s="28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SUM(OSRRefD22_11x_0)</f>
        <v>190.5</v>
      </c>
      <c r="E67" s="1"/>
      <c r="F67" s="5">
        <f t="shared" ref="F67:F73" si="44">IF(D$12=0,0,D67/D$12)</f>
        <v>7.8723712168917196E-4</v>
      </c>
      <c r="G67" s="1"/>
      <c r="H67" s="1">
        <f>SUM(OSRRefH22_11x_0)</f>
        <v>176.25</v>
      </c>
      <c r="I67" s="1"/>
      <c r="J67" s="5">
        <f t="shared" ref="J67:J73" si="45">IF(H$12=0,0,H67/H$12)</f>
        <v>8.2357869592329712E-4</v>
      </c>
      <c r="K67" s="1"/>
      <c r="L67" s="1">
        <f t="shared" ref="L67:L73" si="46">+D67-H67</f>
        <v>14.25</v>
      </c>
      <c r="M67" s="1"/>
      <c r="N67" s="5">
        <f t="shared" ref="N67:N73" si="47">IF(H67=0,0,L67/H67)</f>
        <v>8.085106382978724E-2</v>
      </c>
      <c r="O67" s="14"/>
      <c r="P67" s="1">
        <f>SUM(OSRRefP22_11x_0)</f>
        <v>270.3</v>
      </c>
      <c r="Q67" s="1"/>
      <c r="R67" s="5">
        <f t="shared" ref="R67:R73" si="48">IF(P$12=0,0,P67/P$12)</f>
        <v>5.5334331958006671E-4</v>
      </c>
      <c r="S67" s="1"/>
      <c r="T67" s="1">
        <f>SUM(OSRRefT22_11x_0)</f>
        <v>274.2</v>
      </c>
      <c r="U67" s="1"/>
      <c r="V67" s="5">
        <f t="shared" ref="V67:V73" si="49">IF(T$12=0,0,T67/T$12)</f>
        <v>5.5057503566690127E-4</v>
      </c>
      <c r="W67" s="1"/>
      <c r="X67" s="1">
        <f t="shared" ref="X67:X73" si="50">+P67-T67</f>
        <v>-3.8999999999999773</v>
      </c>
      <c r="Y67" s="1"/>
      <c r="Z67" s="5">
        <f t="shared" ref="Z67:Z73" si="51">IF(T67=0,0,X67/T67)</f>
        <v>-1.4223194748358779E-2</v>
      </c>
    </row>
    <row r="68" spans="1:26" s="24" customFormat="1" hidden="1" outlineLevel="2" x14ac:dyDescent="0.25">
      <c r="A68" s="29"/>
      <c r="B68" s="11" t="str">
        <f>CONCATENATE("          ", "6309", " - ", "TELEPHONE")</f>
        <v xml:space="preserve">          6309 - TELEPHONE</v>
      </c>
      <c r="C68" s="11"/>
      <c r="D68" s="7">
        <v>190.5</v>
      </c>
      <c r="E68" s="2"/>
      <c r="F68" s="6">
        <f t="shared" si="44"/>
        <v>7.8723712168917196E-4</v>
      </c>
      <c r="G68" s="2"/>
      <c r="H68" s="7">
        <v>176.25</v>
      </c>
      <c r="I68" s="2"/>
      <c r="J68" s="6">
        <f t="shared" si="45"/>
        <v>8.2357869592329712E-4</v>
      </c>
      <c r="K68" s="2"/>
      <c r="L68" s="7">
        <f t="shared" si="46"/>
        <v>14.25</v>
      </c>
      <c r="M68" s="2"/>
      <c r="N68" s="6">
        <f t="shared" si="47"/>
        <v>8.085106382978724E-2</v>
      </c>
      <c r="O68" s="11"/>
      <c r="P68" s="7">
        <v>270.3</v>
      </c>
      <c r="Q68" s="2"/>
      <c r="R68" s="6">
        <f t="shared" si="48"/>
        <v>5.5334331958006671E-4</v>
      </c>
      <c r="S68" s="2"/>
      <c r="T68" s="7">
        <v>274.2</v>
      </c>
      <c r="U68" s="2"/>
      <c r="V68" s="6">
        <f t="shared" si="49"/>
        <v>5.5057503566690127E-4</v>
      </c>
      <c r="W68" s="2"/>
      <c r="X68" s="7">
        <f t="shared" si="50"/>
        <v>-3.8999999999999773</v>
      </c>
      <c r="Y68" s="2"/>
      <c r="Z68" s="6">
        <f t="shared" si="51"/>
        <v>-1.4223194748358779E-2</v>
      </c>
    </row>
    <row r="69" spans="1:26" s="27" customFormat="1" outlineLevel="1" collapsed="1" x14ac:dyDescent="0.25">
      <c r="A69" s="28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SUM(OSRRefD22_12x_0)</f>
        <v>129.16999999999999</v>
      </c>
      <c r="E69" s="1"/>
      <c r="F69" s="5">
        <f t="shared" si="44"/>
        <v>5.3379222576687845E-4</v>
      </c>
      <c r="G69" s="1"/>
      <c r="H69" s="1">
        <f>SUM(OSRRefH22_12x_0)</f>
        <v>34.35</v>
      </c>
      <c r="I69" s="1"/>
      <c r="J69" s="5">
        <f t="shared" si="45"/>
        <v>1.6051023095015748E-4</v>
      </c>
      <c r="K69" s="1"/>
      <c r="L69" s="1">
        <f t="shared" si="46"/>
        <v>94.82</v>
      </c>
      <c r="M69" s="1"/>
      <c r="N69" s="5">
        <f t="shared" si="47"/>
        <v>2.7604075691411931</v>
      </c>
      <c r="O69" s="14"/>
      <c r="P69" s="1">
        <f>SUM(OSRRefP22_12x_0)</f>
        <v>473.37</v>
      </c>
      <c r="Q69" s="1"/>
      <c r="R69" s="5">
        <f t="shared" si="48"/>
        <v>9.6905707432340426E-4</v>
      </c>
      <c r="S69" s="1"/>
      <c r="T69" s="1">
        <f>SUM(OSRRefT22_12x_0)</f>
        <v>894.1</v>
      </c>
      <c r="U69" s="1"/>
      <c r="V69" s="5">
        <f t="shared" si="49"/>
        <v>1.7952922661917451E-3</v>
      </c>
      <c r="W69" s="1"/>
      <c r="X69" s="1">
        <f t="shared" si="50"/>
        <v>-420.73</v>
      </c>
      <c r="Y69" s="1"/>
      <c r="Z69" s="5">
        <f t="shared" si="51"/>
        <v>-0.47056257689296499</v>
      </c>
    </row>
    <row r="70" spans="1:26" s="24" customFormat="1" hidden="1" outlineLevel="2" x14ac:dyDescent="0.25">
      <c r="A70" s="29"/>
      <c r="B70" s="11" t="str">
        <f>CONCATENATE("          ", "6376", " - ", "TRAINING")</f>
        <v xml:space="preserve">          6376 - TRAINING</v>
      </c>
      <c r="C70" s="11"/>
      <c r="D70" s="7">
        <v>129.16999999999999</v>
      </c>
      <c r="E70" s="2"/>
      <c r="F70" s="6">
        <f t="shared" si="44"/>
        <v>5.3379222576687845E-4</v>
      </c>
      <c r="G70" s="2"/>
      <c r="H70" s="7">
        <v>34.35</v>
      </c>
      <c r="I70" s="2"/>
      <c r="J70" s="6">
        <f t="shared" si="45"/>
        <v>1.6051023095015748E-4</v>
      </c>
      <c r="K70" s="2"/>
      <c r="L70" s="7">
        <f t="shared" si="46"/>
        <v>94.82</v>
      </c>
      <c r="M70" s="2"/>
      <c r="N70" s="6">
        <f t="shared" si="47"/>
        <v>2.7604075691411931</v>
      </c>
      <c r="O70" s="11"/>
      <c r="P70" s="7">
        <v>473.37</v>
      </c>
      <c r="Q70" s="2"/>
      <c r="R70" s="6">
        <f t="shared" si="48"/>
        <v>9.6905707432340426E-4</v>
      </c>
      <c r="S70" s="2"/>
      <c r="T70" s="7">
        <v>894.1</v>
      </c>
      <c r="U70" s="2"/>
      <c r="V70" s="6">
        <f t="shared" si="49"/>
        <v>1.7952922661917451E-3</v>
      </c>
      <c r="W70" s="2"/>
      <c r="X70" s="7">
        <f t="shared" si="50"/>
        <v>-420.73</v>
      </c>
      <c r="Y70" s="2"/>
      <c r="Z70" s="6">
        <f t="shared" si="51"/>
        <v>-0.47056257689296499</v>
      </c>
    </row>
    <row r="71" spans="1:26" s="27" customFormat="1" outlineLevel="1" collapsed="1" x14ac:dyDescent="0.25">
      <c r="A71" s="28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SUM(OSRRefD22_13x_0)</f>
        <v>0</v>
      </c>
      <c r="E71" s="1"/>
      <c r="F71" s="5">
        <f t="shared" si="44"/>
        <v>0</v>
      </c>
      <c r="G71" s="1"/>
      <c r="H71" s="1">
        <f>SUM(OSRRefH22_13x_0)</f>
        <v>60</v>
      </c>
      <c r="I71" s="1"/>
      <c r="J71" s="5">
        <f t="shared" si="45"/>
        <v>2.8036721563346281E-4</v>
      </c>
      <c r="K71" s="1"/>
      <c r="L71" s="1">
        <f t="shared" si="46"/>
        <v>-60</v>
      </c>
      <c r="M71" s="1"/>
      <c r="N71" s="5">
        <f t="shared" si="47"/>
        <v>-1</v>
      </c>
      <c r="O71" s="14"/>
      <c r="P71" s="1">
        <f>SUM(OSRRefP22_13x_0)</f>
        <v>1429.86</v>
      </c>
      <c r="Q71" s="1"/>
      <c r="R71" s="5">
        <f t="shared" si="48"/>
        <v>2.9271308876609474E-3</v>
      </c>
      <c r="S71" s="1"/>
      <c r="T71" s="1">
        <f>SUM(OSRRefT22_13x_0)</f>
        <v>118</v>
      </c>
      <c r="U71" s="1"/>
      <c r="V71" s="5">
        <f t="shared" si="49"/>
        <v>2.3693601097262711E-4</v>
      </c>
      <c r="W71" s="1"/>
      <c r="X71" s="1">
        <f t="shared" si="50"/>
        <v>1311.86</v>
      </c>
      <c r="Y71" s="1"/>
      <c r="Z71" s="5">
        <f t="shared" si="51"/>
        <v>11.117457627118643</v>
      </c>
    </row>
    <row r="72" spans="1:26" s="24" customFormat="1" hidden="1" outlineLevel="2" x14ac:dyDescent="0.25">
      <c r="A72" s="29"/>
      <c r="B72" s="11" t="str">
        <f>CONCATENATE("          ", "6292", " - ", "TRAVEL/CONFERENCE")</f>
        <v xml:space="preserve">          6292 - TRAVEL/CONFERENCE</v>
      </c>
      <c r="C72" s="11"/>
      <c r="D72" s="7"/>
      <c r="E72" s="2"/>
      <c r="F72" s="6">
        <f t="shared" si="44"/>
        <v>0</v>
      </c>
      <c r="G72" s="2"/>
      <c r="H72" s="7"/>
      <c r="I72" s="2"/>
      <c r="J72" s="6">
        <f t="shared" si="45"/>
        <v>0</v>
      </c>
      <c r="K72" s="2"/>
      <c r="L72" s="7">
        <f t="shared" si="46"/>
        <v>0</v>
      </c>
      <c r="M72" s="2"/>
      <c r="N72" s="6">
        <f t="shared" si="47"/>
        <v>0</v>
      </c>
      <c r="O72" s="11"/>
      <c r="P72" s="7">
        <v>1429.86</v>
      </c>
      <c r="Q72" s="2"/>
      <c r="R72" s="6">
        <f t="shared" si="48"/>
        <v>2.9271308876609474E-3</v>
      </c>
      <c r="S72" s="2"/>
      <c r="T72" s="7"/>
      <c r="U72" s="2"/>
      <c r="V72" s="6">
        <f t="shared" si="49"/>
        <v>0</v>
      </c>
      <c r="W72" s="2"/>
      <c r="X72" s="7">
        <f t="shared" si="50"/>
        <v>1429.86</v>
      </c>
      <c r="Y72" s="2"/>
      <c r="Z72" s="6">
        <f t="shared" si="51"/>
        <v>0</v>
      </c>
    </row>
    <row r="73" spans="1:26" s="24" customFormat="1" hidden="1" outlineLevel="2" x14ac:dyDescent="0.25">
      <c r="A73" s="29"/>
      <c r="B73" s="11" t="str">
        <f>CONCATENATE("          ", "6294", " - ", "TRAVEL OPERATIONAL")</f>
        <v xml:space="preserve">          6294 - TRAVEL OPERATIONAL</v>
      </c>
      <c r="C73" s="11"/>
      <c r="D73" s="7"/>
      <c r="E73" s="2"/>
      <c r="F73" s="6">
        <f t="shared" si="44"/>
        <v>0</v>
      </c>
      <c r="G73" s="2"/>
      <c r="H73" s="7">
        <v>60</v>
      </c>
      <c r="I73" s="2"/>
      <c r="J73" s="6">
        <f t="shared" si="45"/>
        <v>2.8036721563346281E-4</v>
      </c>
      <c r="K73" s="2"/>
      <c r="L73" s="7">
        <f t="shared" si="46"/>
        <v>-60</v>
      </c>
      <c r="M73" s="2"/>
      <c r="N73" s="6">
        <f t="shared" si="47"/>
        <v>-1</v>
      </c>
      <c r="O73" s="11"/>
      <c r="P73" s="7"/>
      <c r="Q73" s="2"/>
      <c r="R73" s="6">
        <f t="shared" si="48"/>
        <v>0</v>
      </c>
      <c r="S73" s="2"/>
      <c r="T73" s="7">
        <v>118</v>
      </c>
      <c r="U73" s="2"/>
      <c r="V73" s="6">
        <f t="shared" si="49"/>
        <v>2.3693601097262711E-4</v>
      </c>
      <c r="W73" s="2"/>
      <c r="X73" s="7">
        <f t="shared" si="50"/>
        <v>-118</v>
      </c>
      <c r="Y73" s="2"/>
      <c r="Z73" s="6">
        <f t="shared" si="51"/>
        <v>-1</v>
      </c>
    </row>
    <row r="74" spans="1:26" s="62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5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6" t="s">
        <v>3</v>
      </c>
      <c r="C77" s="26"/>
      <c r="D77" s="20">
        <f>+D22-D24+D75</f>
        <v>65341.279999999999</v>
      </c>
      <c r="E77" s="13"/>
      <c r="F77" s="19">
        <f>IF(D$12=0,0,D77/D$12)</f>
        <v>0.2700214235941536</v>
      </c>
      <c r="G77" s="13"/>
      <c r="H77" s="20">
        <f>+H22-H24+H75</f>
        <v>27705.550000000032</v>
      </c>
      <c r="I77" s="13"/>
      <c r="J77" s="19">
        <f>IF(H$12=0,0,H77/H$12)</f>
        <v>0.12946213185156158</v>
      </c>
      <c r="K77" s="15"/>
      <c r="L77" s="20">
        <f>+D77-H77</f>
        <v>37635.729999999967</v>
      </c>
      <c r="M77" s="15"/>
      <c r="N77" s="19">
        <f>IF(H77=0,0,L77/H77)</f>
        <v>1.3584184396267147</v>
      </c>
      <c r="O77" s="25"/>
      <c r="P77" s="20">
        <f>+P22-P24+P75</f>
        <v>91013.160000000091</v>
      </c>
      <c r="Q77" s="13"/>
      <c r="R77" s="19">
        <f>IF(P$12=0,0,P77/P$12)</f>
        <v>0.18631714420966258</v>
      </c>
      <c r="S77" s="13"/>
      <c r="T77" s="20">
        <f>+T22-T24+T75</f>
        <v>121694.82000000007</v>
      </c>
      <c r="U77" s="13"/>
      <c r="V77" s="19">
        <f>IF(T$12=0,0,T77/T$12)</f>
        <v>0.24435495937993132</v>
      </c>
      <c r="W77" s="15"/>
      <c r="X77" s="20">
        <f>+P77-T77</f>
        <v>-30681.659999999974</v>
      </c>
      <c r="Y77" s="15"/>
      <c r="Z77" s="19">
        <f>IF(T77=0,0,X77/T77)</f>
        <v>-0.25211968759228992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9650.66</v>
      </c>
      <c r="E79" s="4"/>
      <c r="F79" s="12">
        <f>IF(D$12=0,0,D79/D$12)</f>
        <v>3.9881143311290418E-2</v>
      </c>
      <c r="G79" s="4"/>
      <c r="H79" s="4">
        <v>-7463.45</v>
      </c>
      <c r="I79" s="4"/>
      <c r="J79" s="12">
        <f>IF(H$12=0,0,H79/H$12)</f>
        <v>-3.4875111591992802E-2</v>
      </c>
      <c r="K79" s="4"/>
      <c r="L79" s="4">
        <f>+D79-H79</f>
        <v>17114.11</v>
      </c>
      <c r="M79" s="4"/>
      <c r="N79" s="12">
        <f>IF(H79=0,0,L79/H79)</f>
        <v>-2.2930561603547956</v>
      </c>
      <c r="O79" s="10"/>
      <c r="P79" s="4">
        <v>60905.19</v>
      </c>
      <c r="Q79" s="4"/>
      <c r="R79" s="12">
        <f>IF(P$12=0,0,P79/P$12)</f>
        <v>0.12468176105902584</v>
      </c>
      <c r="S79" s="4"/>
      <c r="T79" s="4">
        <v>50845.97</v>
      </c>
      <c r="U79" s="4"/>
      <c r="V79" s="12">
        <f>IF(T$12=0,0,T79/T$12)</f>
        <v>0.10209526530367685</v>
      </c>
      <c r="W79" s="4"/>
      <c r="X79" s="4">
        <f>+P79-T79</f>
        <v>10059.220000000001</v>
      </c>
      <c r="Y79" s="4"/>
      <c r="Z79" s="12">
        <f>IF(T79=0,0,X79/T79)</f>
        <v>0.19783711472118637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4</v>
      </c>
      <c r="C81" s="26"/>
      <c r="D81" s="31">
        <f>+D77-D79</f>
        <v>55690.619999999995</v>
      </c>
      <c r="E81" s="13"/>
      <c r="F81" s="36">
        <f>IF(D$12=0,0,D81/D$12)</f>
        <v>0.23014028028286315</v>
      </c>
      <c r="G81" s="13"/>
      <c r="H81" s="31">
        <f>+H77-H79</f>
        <v>35169.000000000029</v>
      </c>
      <c r="I81" s="13"/>
      <c r="J81" s="36">
        <f>IF(H$12=0,0,H81/H$12)</f>
        <v>0.16433724344355438</v>
      </c>
      <c r="K81" s="15"/>
      <c r="L81" s="31">
        <f>D81-H81</f>
        <v>20521.619999999966</v>
      </c>
      <c r="M81" s="15"/>
      <c r="N81" s="36">
        <f>IF(H81=0,0,L81/H81)</f>
        <v>0.5835144587562896</v>
      </c>
      <c r="O81" s="25"/>
      <c r="P81" s="31">
        <f>+P77-P79</f>
        <v>30107.970000000088</v>
      </c>
      <c r="Q81" s="13"/>
      <c r="R81" s="36">
        <f>IF(P$12=0,0,P81/P$12)</f>
        <v>6.1635383150636734E-2</v>
      </c>
      <c r="S81" s="13"/>
      <c r="T81" s="31">
        <f>+T77-T79</f>
        <v>70848.850000000064</v>
      </c>
      <c r="U81" s="13"/>
      <c r="V81" s="36">
        <f>IF(T$12=0,0,T81/T$12)</f>
        <v>0.14225969407625447</v>
      </c>
      <c r="W81" s="15"/>
      <c r="X81" s="31">
        <f>P81-T81</f>
        <v>-40740.879999999976</v>
      </c>
      <c r="Y81" s="15"/>
      <c r="Z81" s="36">
        <f>IF(T81=0,0,X81/T81)</f>
        <v>-0.57503939725203634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5</v>
      </c>
      <c r="C84" s="26"/>
      <c r="D84" s="32">
        <f>SUM(D81:D83)</f>
        <v>55690.619999999995</v>
      </c>
      <c r="E84" s="13"/>
      <c r="F84" s="30">
        <f>IF(D$12=0,0,D84/D$12)</f>
        <v>0.23014028028286315</v>
      </c>
      <c r="G84" s="13"/>
      <c r="H84" s="32">
        <f>SUM(H81:H83)</f>
        <v>35169.000000000029</v>
      </c>
      <c r="I84" s="13"/>
      <c r="J84" s="30">
        <f>IF(H$12=0,0,H84/H$12)</f>
        <v>0.16433724344355438</v>
      </c>
      <c r="K84" s="15"/>
      <c r="L84" s="32">
        <f>+D84-H84</f>
        <v>20521.619999999966</v>
      </c>
      <c r="M84" s="15"/>
      <c r="N84" s="30">
        <f>IF(H84=0,0,L84/H84)</f>
        <v>0.5835144587562896</v>
      </c>
      <c r="O84" s="25"/>
      <c r="P84" s="32">
        <f>SUM(P81:P83)</f>
        <v>30107.970000000088</v>
      </c>
      <c r="Q84" s="13"/>
      <c r="R84" s="30">
        <f>IF(P$12=0,0,P84/P$12)</f>
        <v>6.1635383150636734E-2</v>
      </c>
      <c r="S84" s="13"/>
      <c r="T84" s="32">
        <f>SUM(T81:T83)</f>
        <v>70848.850000000064</v>
      </c>
      <c r="U84" s="13"/>
      <c r="V84" s="30">
        <f>IF(T$12=0,0,T84/T$12)</f>
        <v>0.14225969407625447</v>
      </c>
      <c r="W84" s="15"/>
      <c r="X84" s="32">
        <f>+P84-T84</f>
        <v>-40740.879999999976</v>
      </c>
      <c r="Y84" s="15"/>
      <c r="Z84" s="30">
        <f>IF(T84=0,0,X84/T84)</f>
        <v>-0.57503939725203634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7">
        <v>43732.710205671297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60" t="s">
        <v>313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6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","435", " - ", "Ground Floor Coffee House")</f>
        <v>Department 435 - Ground Floor Coffee House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316.64</v>
      </c>
      <c r="E12" s="4"/>
      <c r="F12" s="12"/>
      <c r="G12" s="4"/>
      <c r="H12" s="4">
        <f>SUM(OSRRefH13x_0)</f>
        <v>397.38</v>
      </c>
      <c r="I12" s="4"/>
      <c r="J12" s="12"/>
      <c r="K12" s="4"/>
      <c r="L12" s="4">
        <f t="shared" ref="L12:L14" si="0">+D12-H12</f>
        <v>-80.740000000000009</v>
      </c>
      <c r="M12" s="4"/>
      <c r="N12" s="12">
        <f t="shared" ref="N12:N14" si="1">IF(H12=0,0,L12/H12)</f>
        <v>-0.20318083446575069</v>
      </c>
      <c r="O12" s="10"/>
      <c r="P12" s="4">
        <f>SUM(OSRRefP13x_0)</f>
        <v>316.64</v>
      </c>
      <c r="Q12" s="4"/>
      <c r="R12" s="12"/>
      <c r="S12" s="4"/>
      <c r="T12" s="4">
        <f>SUM(OSRRefT13x_0)</f>
        <v>397.38</v>
      </c>
      <c r="U12" s="4"/>
      <c r="V12" s="12"/>
      <c r="W12" s="4"/>
      <c r="X12" s="4">
        <f t="shared" ref="X12:X14" si="2">+P12-T12</f>
        <v>-80.740000000000009</v>
      </c>
      <c r="Y12" s="4"/>
      <c r="Z12" s="12">
        <f t="shared" ref="Z12:Z14" si="3">IF(T12=0,0,X12/T12)</f>
        <v>-0.20318083446575069</v>
      </c>
    </row>
    <row r="13" spans="1:26" s="24" customFormat="1" hidden="1" outlineLevel="1" x14ac:dyDescent="0.25">
      <c r="A13" s="50"/>
      <c r="B13" s="11" t="str">
        <f>CONCATENATE("          ", "4055", " - ", "TAXABLE SALES-FOOD")</f>
        <v xml:space="preserve">          4055 - TAXABLE SALES-FOOD</v>
      </c>
      <c r="C13" s="11"/>
      <c r="D13" s="2">
        <f>--45.65</f>
        <v>45.65</v>
      </c>
      <c r="E13" s="2"/>
      <c r="F13" s="21"/>
      <c r="G13" s="2"/>
      <c r="H13" s="2">
        <f>--34.72</f>
        <v>34.72</v>
      </c>
      <c r="I13" s="2"/>
      <c r="J13" s="21"/>
      <c r="K13" s="2"/>
      <c r="L13" s="2">
        <f t="shared" si="0"/>
        <v>10.93</v>
      </c>
      <c r="M13" s="2"/>
      <c r="N13" s="21">
        <f t="shared" si="1"/>
        <v>0.31480414746543778</v>
      </c>
      <c r="O13" s="11"/>
      <c r="P13" s="2">
        <f>--45.65</f>
        <v>45.65</v>
      </c>
      <c r="Q13" s="2"/>
      <c r="R13" s="21"/>
      <c r="S13" s="2"/>
      <c r="T13" s="2">
        <f>--34.72</f>
        <v>34.72</v>
      </c>
      <c r="U13" s="2"/>
      <c r="V13" s="21"/>
      <c r="W13" s="2"/>
      <c r="X13" s="2">
        <f t="shared" si="2"/>
        <v>10.93</v>
      </c>
      <c r="Y13" s="2"/>
      <c r="Z13" s="21">
        <f t="shared" si="3"/>
        <v>0.31480414746543778</v>
      </c>
    </row>
    <row r="14" spans="1:26" s="24" customFormat="1" hidden="1" outlineLevel="1" x14ac:dyDescent="0.25">
      <c r="A14" s="50"/>
      <c r="B14" s="11" t="str">
        <f>CONCATENATE("          ", "4155", " - ", "NON-TAXABLE SALES-FOOD")</f>
        <v xml:space="preserve">          4155 - NON-TAXABLE SALES-FOOD</v>
      </c>
      <c r="C14" s="11"/>
      <c r="D14" s="2">
        <f>--270.99</f>
        <v>270.99</v>
      </c>
      <c r="E14" s="2"/>
      <c r="F14" s="21"/>
      <c r="G14" s="2"/>
      <c r="H14" s="2">
        <f>--362.66</f>
        <v>362.66</v>
      </c>
      <c r="I14" s="2"/>
      <c r="J14" s="21"/>
      <c r="K14" s="2"/>
      <c r="L14" s="2">
        <f t="shared" si="0"/>
        <v>-91.670000000000016</v>
      </c>
      <c r="M14" s="2"/>
      <c r="N14" s="21">
        <f t="shared" si="1"/>
        <v>-0.25277119064688691</v>
      </c>
      <c r="O14" s="11"/>
      <c r="P14" s="2">
        <f>--270.99</f>
        <v>270.99</v>
      </c>
      <c r="Q14" s="2"/>
      <c r="R14" s="21"/>
      <c r="S14" s="2"/>
      <c r="T14" s="2">
        <f>--362.66</f>
        <v>362.66</v>
      </c>
      <c r="U14" s="2"/>
      <c r="V14" s="21"/>
      <c r="W14" s="2"/>
      <c r="X14" s="2">
        <f t="shared" si="2"/>
        <v>-91.670000000000016</v>
      </c>
      <c r="Y14" s="2"/>
      <c r="Z14" s="21">
        <f t="shared" si="3"/>
        <v>-0.25277119064688691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349.06000000000017</v>
      </c>
      <c r="E16" s="4"/>
      <c r="F16" s="12">
        <f t="shared" ref="F16:F18" si="4">IF(D$12=0,0,D16/D$12)</f>
        <v>1.1023875694795358</v>
      </c>
      <c r="G16" s="4"/>
      <c r="H16" s="4">
        <f>SUM(OSRRefH16x_0)</f>
        <v>477.71999999999997</v>
      </c>
      <c r="I16" s="4"/>
      <c r="J16" s="12">
        <f t="shared" ref="J16:J18" si="5">IF(H$12=0,0,H16/H$12)</f>
        <v>1.2021742412803864</v>
      </c>
      <c r="K16" s="4"/>
      <c r="L16" s="4">
        <f t="shared" ref="L16:L18" si="6">+D16-H16</f>
        <v>-128.6599999999998</v>
      </c>
      <c r="M16" s="4"/>
      <c r="N16" s="12">
        <f t="shared" ref="N16:N18" si="7">IF(H16=0,0,L16/H16)</f>
        <v>-0.26932094113706734</v>
      </c>
      <c r="O16" s="10"/>
      <c r="P16" s="4">
        <f>SUM(OSRRefP16x_0)</f>
        <v>349.06000000000017</v>
      </c>
      <c r="Q16" s="4"/>
      <c r="R16" s="12">
        <f t="shared" ref="R16:R18" si="8">IF(P$12=0,0,P16/P$12)</f>
        <v>1.1023875694795358</v>
      </c>
      <c r="S16" s="4"/>
      <c r="T16" s="4">
        <f>SUM(OSRRefT16x_0)</f>
        <v>477.71999999999997</v>
      </c>
      <c r="U16" s="4"/>
      <c r="V16" s="12">
        <f t="shared" ref="V16:V18" si="9">IF(T$12=0,0,T16/T$12)</f>
        <v>1.2021742412803864</v>
      </c>
      <c r="W16" s="4"/>
      <c r="X16" s="4">
        <f t="shared" ref="X16:X18" si="10">+P16-T16</f>
        <v>-128.6599999999998</v>
      </c>
      <c r="Y16" s="4"/>
      <c r="Z16" s="12">
        <f t="shared" ref="Z16:Z18" si="11">IF(T16=0,0,X16/T16)</f>
        <v>-0.26932094113706734</v>
      </c>
    </row>
    <row r="17" spans="1:26" s="24" customFormat="1" hidden="1" outlineLevel="1" x14ac:dyDescent="0.25">
      <c r="A17" s="50"/>
      <c r="B17" s="11" t="str">
        <f>CONCATENATE("          ", "5053", " - ", "PURCHASES @ COST-FOOD")</f>
        <v xml:space="preserve">          5053 - PURCHASES @ COST-FOOD</v>
      </c>
      <c r="C17" s="11"/>
      <c r="D17" s="2">
        <v>2308.2600000000002</v>
      </c>
      <c r="E17" s="2"/>
      <c r="F17" s="21">
        <f t="shared" si="4"/>
        <v>7.2898559878726639</v>
      </c>
      <c r="G17" s="2"/>
      <c r="H17" s="2">
        <v>540.53</v>
      </c>
      <c r="I17" s="2"/>
      <c r="J17" s="21">
        <f t="shared" si="5"/>
        <v>1.3602345362121897</v>
      </c>
      <c r="K17" s="2"/>
      <c r="L17" s="2">
        <f t="shared" si="6"/>
        <v>1767.7300000000002</v>
      </c>
      <c r="M17" s="2"/>
      <c r="N17" s="21">
        <f t="shared" si="7"/>
        <v>3.2703642721033068</v>
      </c>
      <c r="O17" s="11"/>
      <c r="P17" s="2">
        <v>2308.2600000000002</v>
      </c>
      <c r="Q17" s="2"/>
      <c r="R17" s="21">
        <f t="shared" si="8"/>
        <v>7.2898559878726639</v>
      </c>
      <c r="S17" s="2"/>
      <c r="T17" s="2">
        <v>540.53</v>
      </c>
      <c r="U17" s="2"/>
      <c r="V17" s="21">
        <f t="shared" si="9"/>
        <v>1.3602345362121897</v>
      </c>
      <c r="W17" s="2"/>
      <c r="X17" s="2">
        <f t="shared" si="10"/>
        <v>1767.7300000000002</v>
      </c>
      <c r="Y17" s="2"/>
      <c r="Z17" s="21">
        <f t="shared" si="11"/>
        <v>3.2703642721033068</v>
      </c>
    </row>
    <row r="18" spans="1:26" s="24" customFormat="1" hidden="1" outlineLevel="1" x14ac:dyDescent="0.25">
      <c r="A18" s="50"/>
      <c r="B18" s="11" t="str">
        <f>CONCATENATE("          ", "5059", " - ", "PURCHASES @ COST-FOOD")</f>
        <v xml:space="preserve">          5059 - PURCHASES @ COST-FOOD</v>
      </c>
      <c r="C18" s="11"/>
      <c r="D18" s="2">
        <v>-1959.2</v>
      </c>
      <c r="E18" s="2"/>
      <c r="F18" s="21">
        <f t="shared" si="4"/>
        <v>-6.1874684183931281</v>
      </c>
      <c r="G18" s="2"/>
      <c r="H18" s="2">
        <v>-62.81</v>
      </c>
      <c r="I18" s="2"/>
      <c r="J18" s="21">
        <f t="shared" si="5"/>
        <v>-0.15806029493180332</v>
      </c>
      <c r="K18" s="2"/>
      <c r="L18" s="2">
        <f t="shared" si="6"/>
        <v>-1896.39</v>
      </c>
      <c r="M18" s="2"/>
      <c r="N18" s="21">
        <f t="shared" si="7"/>
        <v>30.192485273045694</v>
      </c>
      <c r="O18" s="11"/>
      <c r="P18" s="2">
        <v>-1959.2</v>
      </c>
      <c r="Q18" s="2"/>
      <c r="R18" s="21">
        <f t="shared" si="8"/>
        <v>-6.1874684183931281</v>
      </c>
      <c r="S18" s="2"/>
      <c r="T18" s="2">
        <v>-62.81</v>
      </c>
      <c r="U18" s="2"/>
      <c r="V18" s="21">
        <f t="shared" si="9"/>
        <v>-0.15806029493180332</v>
      </c>
      <c r="W18" s="2"/>
      <c r="X18" s="2">
        <f t="shared" si="10"/>
        <v>-1896.39</v>
      </c>
      <c r="Y18" s="2"/>
      <c r="Z18" s="21">
        <f t="shared" si="11"/>
        <v>30.192485273045694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-32.420000000000186</v>
      </c>
      <c r="E20" s="13"/>
      <c r="F20" s="19">
        <f>IF(D$12=0,0,D20/D$12)</f>
        <v>-0.10238756947953571</v>
      </c>
      <c r="G20" s="13"/>
      <c r="H20" s="20">
        <f>H12-H16</f>
        <v>-80.339999999999975</v>
      </c>
      <c r="I20" s="13"/>
      <c r="J20" s="19">
        <f>IF(H$12=0,0,H20/H$12)</f>
        <v>-0.20217424128038647</v>
      </c>
      <c r="K20" s="15"/>
      <c r="L20" s="20">
        <f>+D20-H20</f>
        <v>47.919999999999789</v>
      </c>
      <c r="M20" s="15"/>
      <c r="N20" s="19">
        <f>IF(H20=0,0,L20/H20)</f>
        <v>-0.59646502364948717</v>
      </c>
      <c r="O20" s="25"/>
      <c r="P20" s="20">
        <f>P12-P16</f>
        <v>-32.420000000000186</v>
      </c>
      <c r="Q20" s="13"/>
      <c r="R20" s="19">
        <f>IF(P$12=0,0,P20/P$12)</f>
        <v>-0.10238756947953571</v>
      </c>
      <c r="S20" s="13"/>
      <c r="T20" s="20">
        <f>T12-T16</f>
        <v>-80.339999999999975</v>
      </c>
      <c r="U20" s="13"/>
      <c r="V20" s="19">
        <f>IF(T$12=0,0,T20/T$12)</f>
        <v>-0.20217424128038647</v>
      </c>
      <c r="W20" s="15"/>
      <c r="X20" s="20">
        <f>+P20-T20</f>
        <v>47.919999999999789</v>
      </c>
      <c r="Y20" s="15"/>
      <c r="Z20" s="19">
        <f>IF(T20=0,0,X20/T20)</f>
        <v>-0.59646502364948717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2">
        <f>SUM(OSRRefD22x_0)</f>
        <v>2542.7600000000002</v>
      </c>
      <c r="E22" s="22"/>
      <c r="F22" s="33">
        <f t="shared" ref="F22:F26" si="12">IF(D$12=0,0,D22/D$12)</f>
        <v>8.0304446690247602</v>
      </c>
      <c r="G22" s="22"/>
      <c r="H22" s="22">
        <f>SUM(OSRRefH22x_0)</f>
        <v>725.15</v>
      </c>
      <c r="I22" s="22"/>
      <c r="J22" s="33">
        <f t="shared" ref="J22:J26" si="13">IF(H$12=0,0,H22/H$12)</f>
        <v>1.8248276209170065</v>
      </c>
      <c r="K22" s="4"/>
      <c r="L22" s="22">
        <f t="shared" ref="L22:L26" si="14">+D22-H22</f>
        <v>1817.6100000000001</v>
      </c>
      <c r="M22" s="4"/>
      <c r="N22" s="33">
        <f t="shared" ref="N22:N26" si="15">IF(H22=0,0,L22/H22)</f>
        <v>2.5065296835137558</v>
      </c>
      <c r="O22" s="10"/>
      <c r="P22" s="22">
        <f>SUM(OSRRefP22x_0)</f>
        <v>3904.96</v>
      </c>
      <c r="Q22" s="22"/>
      <c r="R22" s="33">
        <f t="shared" ref="R22:R26" si="16">IF(P$12=0,0,P22/P$12)</f>
        <v>12.332491157150077</v>
      </c>
      <c r="S22" s="22"/>
      <c r="T22" s="22">
        <f>SUM(OSRRefT22x_0)</f>
        <v>1810.35</v>
      </c>
      <c r="U22" s="22"/>
      <c r="V22" s="33">
        <f t="shared" ref="V22:V26" si="17">IF(T$12=0,0,T22/T$12)</f>
        <v>4.5557149328099049</v>
      </c>
      <c r="W22" s="4"/>
      <c r="X22" s="22">
        <f t="shared" ref="X22:X26" si="18">+P22-T22</f>
        <v>2094.61</v>
      </c>
      <c r="Y22" s="4"/>
      <c r="Z22" s="33">
        <f t="shared" ref="Z22:Z26" si="19">IF(T22=0,0,X22/T22)</f>
        <v>1.1570193608970643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75.820000000000007</v>
      </c>
      <c r="E23" s="1"/>
      <c r="F23" s="5">
        <f t="shared" si="12"/>
        <v>0.23945174330469937</v>
      </c>
      <c r="G23" s="1"/>
      <c r="H23" s="1">
        <f>SUM(OSRRefH22_0x_0)</f>
        <v>55.109999999999992</v>
      </c>
      <c r="I23" s="1"/>
      <c r="J23" s="5">
        <f t="shared" si="13"/>
        <v>0.1386833761135437</v>
      </c>
      <c r="K23" s="1"/>
      <c r="L23" s="1">
        <f t="shared" si="14"/>
        <v>20.710000000000015</v>
      </c>
      <c r="M23" s="1"/>
      <c r="N23" s="5">
        <f t="shared" si="15"/>
        <v>0.37579386681183119</v>
      </c>
      <c r="O23" s="14"/>
      <c r="P23" s="1">
        <f>SUM(OSRRefP22_0x_0)</f>
        <v>96.36999999999999</v>
      </c>
      <c r="Q23" s="1"/>
      <c r="R23" s="5">
        <f t="shared" si="16"/>
        <v>0.30435194542698329</v>
      </c>
      <c r="S23" s="1"/>
      <c r="T23" s="1">
        <f>SUM(OSRRefT22_0x_0)</f>
        <v>55.109999999999992</v>
      </c>
      <c r="U23" s="1"/>
      <c r="V23" s="5">
        <f t="shared" si="17"/>
        <v>0.1386833761135437</v>
      </c>
      <c r="W23" s="1"/>
      <c r="X23" s="1">
        <f t="shared" si="18"/>
        <v>41.26</v>
      </c>
      <c r="Y23" s="1"/>
      <c r="Z23" s="5">
        <f t="shared" si="19"/>
        <v>0.74868444928325173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45.32</v>
      </c>
      <c r="E24" s="2"/>
      <c r="F24" s="6">
        <f t="shared" si="12"/>
        <v>0.14312784234461851</v>
      </c>
      <c r="G24" s="2"/>
      <c r="H24" s="7">
        <v>44.05</v>
      </c>
      <c r="I24" s="2"/>
      <c r="J24" s="6">
        <f t="shared" si="13"/>
        <v>0.11085107453822537</v>
      </c>
      <c r="K24" s="2"/>
      <c r="L24" s="7">
        <f t="shared" si="14"/>
        <v>1.2700000000000031</v>
      </c>
      <c r="M24" s="2"/>
      <c r="N24" s="6">
        <f t="shared" si="15"/>
        <v>2.8830874006810517E-2</v>
      </c>
      <c r="O24" s="11"/>
      <c r="P24" s="7">
        <v>45.32</v>
      </c>
      <c r="Q24" s="2"/>
      <c r="R24" s="6">
        <f t="shared" si="16"/>
        <v>0.14312784234461851</v>
      </c>
      <c r="S24" s="2"/>
      <c r="T24" s="7">
        <v>44.05</v>
      </c>
      <c r="U24" s="2"/>
      <c r="V24" s="6">
        <f t="shared" si="17"/>
        <v>0.11085107453822537</v>
      </c>
      <c r="W24" s="2"/>
      <c r="X24" s="7">
        <f t="shared" si="18"/>
        <v>1.2700000000000031</v>
      </c>
      <c r="Y24" s="2"/>
      <c r="Z24" s="6">
        <f t="shared" si="19"/>
        <v>2.8830874006810517E-2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26.83</v>
      </c>
      <c r="E25" s="2"/>
      <c r="F25" s="6">
        <f t="shared" si="12"/>
        <v>8.4733451237998983E-2</v>
      </c>
      <c r="G25" s="2"/>
      <c r="H25" s="7">
        <v>9.08</v>
      </c>
      <c r="I25" s="2"/>
      <c r="J25" s="6">
        <f t="shared" si="13"/>
        <v>2.2849665307765867E-2</v>
      </c>
      <c r="K25" s="2"/>
      <c r="L25" s="7">
        <f t="shared" si="14"/>
        <v>17.75</v>
      </c>
      <c r="M25" s="2"/>
      <c r="N25" s="6">
        <f t="shared" si="15"/>
        <v>1.9548458149779735</v>
      </c>
      <c r="O25" s="11"/>
      <c r="P25" s="7">
        <v>44.91</v>
      </c>
      <c r="Q25" s="2"/>
      <c r="R25" s="6">
        <f t="shared" si="16"/>
        <v>0.14183299646286002</v>
      </c>
      <c r="S25" s="2"/>
      <c r="T25" s="7">
        <v>9.08</v>
      </c>
      <c r="U25" s="2"/>
      <c r="V25" s="6">
        <f t="shared" si="17"/>
        <v>2.2849665307765867E-2</v>
      </c>
      <c r="W25" s="2"/>
      <c r="X25" s="7">
        <f t="shared" si="18"/>
        <v>35.83</v>
      </c>
      <c r="Y25" s="2"/>
      <c r="Z25" s="6">
        <f t="shared" si="19"/>
        <v>3.9460352422907485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>
        <v>3.67</v>
      </c>
      <c r="E26" s="2"/>
      <c r="F26" s="6">
        <f t="shared" si="12"/>
        <v>1.1590449722081861E-2</v>
      </c>
      <c r="G26" s="2"/>
      <c r="H26" s="7">
        <v>1.98</v>
      </c>
      <c r="I26" s="2"/>
      <c r="J26" s="6">
        <f t="shared" si="13"/>
        <v>4.9826362675524684E-3</v>
      </c>
      <c r="K26" s="2"/>
      <c r="L26" s="7">
        <f t="shared" si="14"/>
        <v>1.69</v>
      </c>
      <c r="M26" s="2"/>
      <c r="N26" s="6">
        <f t="shared" si="15"/>
        <v>0.85353535353535348</v>
      </c>
      <c r="O26" s="11"/>
      <c r="P26" s="7">
        <v>6.14</v>
      </c>
      <c r="Q26" s="2"/>
      <c r="R26" s="6">
        <f t="shared" si="16"/>
        <v>1.93911066195048E-2</v>
      </c>
      <c r="S26" s="2"/>
      <c r="T26" s="7">
        <v>1.98</v>
      </c>
      <c r="U26" s="2"/>
      <c r="V26" s="6">
        <f t="shared" si="17"/>
        <v>4.9826362675524684E-3</v>
      </c>
      <c r="W26" s="2"/>
      <c r="X26" s="7">
        <f t="shared" si="18"/>
        <v>4.16</v>
      </c>
      <c r="Y26" s="2"/>
      <c r="Z26" s="6">
        <f t="shared" si="19"/>
        <v>2.1010101010101012</v>
      </c>
    </row>
    <row r="27" spans="1:26" s="27" customFormat="1" outlineLevel="1" collapsed="1" x14ac:dyDescent="0.25">
      <c r="A27" s="28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1188.56</v>
      </c>
      <c r="E27" s="1"/>
      <c r="F27" s="5">
        <f t="shared" ref="F27:F29" si="20">IF(D$12=0,0,D27/D$12)</f>
        <v>3.7536634663971702</v>
      </c>
      <c r="G27" s="1"/>
      <c r="H27" s="1">
        <f>SUM(OSRRefH22_1x_0)</f>
        <v>575.77</v>
      </c>
      <c r="I27" s="1"/>
      <c r="J27" s="5">
        <f t="shared" ref="J27:J29" si="21">IF(H$12=0,0,H27/H$12)</f>
        <v>1.4489153958427701</v>
      </c>
      <c r="K27" s="1"/>
      <c r="L27" s="1">
        <f t="shared" ref="L27:L29" si="22">+D27-H27</f>
        <v>612.79</v>
      </c>
      <c r="M27" s="1"/>
      <c r="N27" s="5">
        <f t="shared" ref="N27:N29" si="23">IF(H27=0,0,L27/H27)</f>
        <v>1.0642965072858954</v>
      </c>
      <c r="O27" s="14"/>
      <c r="P27" s="1">
        <f>SUM(OSRRefP22_1x_0)</f>
        <v>1188.56</v>
      </c>
      <c r="Q27" s="1"/>
      <c r="R27" s="5">
        <f t="shared" ref="R27:R29" si="24">IF(P$12=0,0,P27/P$12)</f>
        <v>3.7536634663971702</v>
      </c>
      <c r="S27" s="1"/>
      <c r="T27" s="1">
        <f>SUM(OSRRefT22_1x_0)</f>
        <v>575.77</v>
      </c>
      <c r="U27" s="1"/>
      <c r="V27" s="5">
        <f t="shared" ref="V27:V29" si="25">IF(T$12=0,0,T27/T$12)</f>
        <v>1.4489153958427701</v>
      </c>
      <c r="W27" s="1"/>
      <c r="X27" s="1">
        <f t="shared" ref="X27:X29" si="26">+P27-T27</f>
        <v>612.79</v>
      </c>
      <c r="Y27" s="1"/>
      <c r="Z27" s="5">
        <f t="shared" ref="Z27:Z29" si="27">IF(T27=0,0,X27/T27)</f>
        <v>1.0642965072858954</v>
      </c>
    </row>
    <row r="28" spans="1:26" s="24" customFormat="1" hidden="1" outlineLevel="2" x14ac:dyDescent="0.25">
      <c r="A28" s="29"/>
      <c r="B28" s="11" t="str">
        <f>CONCATENATE("          ", "6005", " - ", "TEMPORARY WAGES-HOURLY")</f>
        <v xml:space="preserve">          6005 - TEMPORARY WAGES-HOURLY</v>
      </c>
      <c r="C28" s="11"/>
      <c r="D28" s="7">
        <v>496.56</v>
      </c>
      <c r="E28" s="2"/>
      <c r="F28" s="6">
        <f t="shared" si="20"/>
        <v>1.5682162708438605</v>
      </c>
      <c r="G28" s="2"/>
      <c r="H28" s="7">
        <v>575.77</v>
      </c>
      <c r="I28" s="2"/>
      <c r="J28" s="6">
        <f t="shared" si="21"/>
        <v>1.4489153958427701</v>
      </c>
      <c r="K28" s="2"/>
      <c r="L28" s="7">
        <f t="shared" si="22"/>
        <v>-79.20999999999998</v>
      </c>
      <c r="M28" s="2"/>
      <c r="N28" s="6">
        <f t="shared" si="23"/>
        <v>-0.13757229449259251</v>
      </c>
      <c r="O28" s="11"/>
      <c r="P28" s="7">
        <v>496.56</v>
      </c>
      <c r="Q28" s="2"/>
      <c r="R28" s="6">
        <f t="shared" si="24"/>
        <v>1.5682162708438605</v>
      </c>
      <c r="S28" s="2"/>
      <c r="T28" s="7">
        <v>575.77</v>
      </c>
      <c r="U28" s="2"/>
      <c r="V28" s="6">
        <f t="shared" si="25"/>
        <v>1.4489153958427701</v>
      </c>
      <c r="W28" s="2"/>
      <c r="X28" s="7">
        <f t="shared" si="26"/>
        <v>-79.20999999999998</v>
      </c>
      <c r="Y28" s="2"/>
      <c r="Z28" s="6">
        <f t="shared" si="27"/>
        <v>-0.13757229449259251</v>
      </c>
    </row>
    <row r="29" spans="1:26" s="24" customFormat="1" hidden="1" outlineLevel="2" x14ac:dyDescent="0.25">
      <c r="A29" s="29"/>
      <c r="B29" s="11" t="str">
        <f>CONCATENATE("          ", "6007", " - ", "STUDENT HOURLY")</f>
        <v xml:space="preserve">          6007 - STUDENT HOURLY</v>
      </c>
      <c r="C29" s="11"/>
      <c r="D29" s="7">
        <v>692</v>
      </c>
      <c r="E29" s="2"/>
      <c r="F29" s="6">
        <f t="shared" si="20"/>
        <v>2.1854471955533099</v>
      </c>
      <c r="G29" s="2"/>
      <c r="H29" s="7"/>
      <c r="I29" s="2"/>
      <c r="J29" s="6">
        <f t="shared" si="21"/>
        <v>0</v>
      </c>
      <c r="K29" s="2"/>
      <c r="L29" s="7">
        <f t="shared" si="22"/>
        <v>692</v>
      </c>
      <c r="M29" s="2"/>
      <c r="N29" s="6">
        <f t="shared" si="23"/>
        <v>0</v>
      </c>
      <c r="O29" s="11"/>
      <c r="P29" s="7">
        <v>692</v>
      </c>
      <c r="Q29" s="2"/>
      <c r="R29" s="6">
        <f t="shared" si="24"/>
        <v>2.1854471955533099</v>
      </c>
      <c r="S29" s="2"/>
      <c r="T29" s="7"/>
      <c r="U29" s="2"/>
      <c r="V29" s="6">
        <f t="shared" si="25"/>
        <v>0</v>
      </c>
      <c r="W29" s="2"/>
      <c r="X29" s="7">
        <f t="shared" si="26"/>
        <v>692</v>
      </c>
      <c r="Y29" s="2"/>
      <c r="Z29" s="6">
        <f t="shared" si="27"/>
        <v>0</v>
      </c>
    </row>
    <row r="30" spans="1:26" s="27" customFormat="1" outlineLevel="1" collapsed="1" x14ac:dyDescent="0.25">
      <c r="A30" s="28"/>
      <c r="B30" s="14" t="str">
        <f>CONCATENATE("     ","Bad Debts/Over/Short                              ")</f>
        <v xml:space="preserve">     Bad Debts/Over/Short                              </v>
      </c>
      <c r="C30" s="14"/>
      <c r="D30" s="1">
        <f>SUM(OSRRefD22_2x_0)</f>
        <v>-0.28999999999999998</v>
      </c>
      <c r="E30" s="1"/>
      <c r="F30" s="5">
        <f t="shared" ref="F30:F40" si="28">IF(D$12=0,0,D30/D$12)</f>
        <v>-9.1586659929257194E-4</v>
      </c>
      <c r="G30" s="1"/>
      <c r="H30" s="1">
        <f>SUM(OSRRefH22_2x_0)</f>
        <v>-0.21</v>
      </c>
      <c r="I30" s="1"/>
      <c r="J30" s="5">
        <f t="shared" ref="J30:J40" si="29">IF(H$12=0,0,H30/H$12)</f>
        <v>-5.2846142231617089E-4</v>
      </c>
      <c r="K30" s="1"/>
      <c r="L30" s="1">
        <f t="shared" ref="L30:L40" si="30">+D30-H30</f>
        <v>-7.9999999999999988E-2</v>
      </c>
      <c r="M30" s="1"/>
      <c r="N30" s="5">
        <f t="shared" ref="N30:N40" si="31">IF(H30=0,0,L30/H30)</f>
        <v>0.38095238095238093</v>
      </c>
      <c r="O30" s="14"/>
      <c r="P30" s="1">
        <f>SUM(OSRRefP22_2x_0)</f>
        <v>-0.28999999999999998</v>
      </c>
      <c r="Q30" s="1"/>
      <c r="R30" s="5">
        <f t="shared" ref="R30:R40" si="32">IF(P$12=0,0,P30/P$12)</f>
        <v>-9.1586659929257194E-4</v>
      </c>
      <c r="S30" s="1"/>
      <c r="T30" s="1">
        <f>SUM(OSRRefT22_2x_0)</f>
        <v>-0.21</v>
      </c>
      <c r="U30" s="1"/>
      <c r="V30" s="5">
        <f t="shared" ref="V30:V40" si="33">IF(T$12=0,0,T30/T$12)</f>
        <v>-5.2846142231617089E-4</v>
      </c>
      <c r="W30" s="1"/>
      <c r="X30" s="1">
        <f t="shared" ref="X30:X40" si="34">+P30-T30</f>
        <v>-7.9999999999999988E-2</v>
      </c>
      <c r="Y30" s="1"/>
      <c r="Z30" s="5">
        <f t="shared" ref="Z30:Z40" si="35">IF(T30=0,0,X30/T30)</f>
        <v>0.38095238095238093</v>
      </c>
    </row>
    <row r="31" spans="1:26" s="24" customFormat="1" hidden="1" outlineLevel="2" x14ac:dyDescent="0.25">
      <c r="A31" s="29"/>
      <c r="B31" s="11" t="str">
        <f>CONCATENATE("          ", "6272", " - ", "CASH (OVER/SHORT)")</f>
        <v xml:space="preserve">          6272 - CASH (OVER/SHORT)</v>
      </c>
      <c r="C31" s="11"/>
      <c r="D31" s="7">
        <v>-0.28999999999999998</v>
      </c>
      <c r="E31" s="2"/>
      <c r="F31" s="6">
        <f t="shared" si="28"/>
        <v>-9.1586659929257194E-4</v>
      </c>
      <c r="G31" s="2"/>
      <c r="H31" s="7">
        <v>-0.21</v>
      </c>
      <c r="I31" s="2"/>
      <c r="J31" s="6">
        <f t="shared" si="29"/>
        <v>-5.2846142231617089E-4</v>
      </c>
      <c r="K31" s="2"/>
      <c r="L31" s="7">
        <f t="shared" si="30"/>
        <v>-7.9999999999999988E-2</v>
      </c>
      <c r="M31" s="2"/>
      <c r="N31" s="6">
        <f t="shared" si="31"/>
        <v>0.38095238095238093</v>
      </c>
      <c r="O31" s="11"/>
      <c r="P31" s="7">
        <v>-0.28999999999999998</v>
      </c>
      <c r="Q31" s="2"/>
      <c r="R31" s="6">
        <f t="shared" si="32"/>
        <v>-9.1586659929257194E-4</v>
      </c>
      <c r="S31" s="2"/>
      <c r="T31" s="7">
        <v>-0.21</v>
      </c>
      <c r="U31" s="2"/>
      <c r="V31" s="6">
        <f t="shared" si="33"/>
        <v>-5.2846142231617089E-4</v>
      </c>
      <c r="W31" s="2"/>
      <c r="X31" s="7">
        <f t="shared" si="34"/>
        <v>-7.9999999999999988E-2</v>
      </c>
      <c r="Y31" s="2"/>
      <c r="Z31" s="6">
        <f t="shared" si="35"/>
        <v>0.38095238095238093</v>
      </c>
    </row>
    <row r="32" spans="1:26" s="27" customFormat="1" outlineLevel="1" collapsed="1" x14ac:dyDescent="0.25">
      <c r="A32" s="28"/>
      <c r="B32" s="14" t="str">
        <f>CONCATENATE("     ","Bank/card Fees                                    ")</f>
        <v xml:space="preserve">     Bank/card Fees                                    </v>
      </c>
      <c r="C32" s="14"/>
      <c r="D32" s="1">
        <f>SUM(OSRRefD22_3x_0)</f>
        <v>8.19</v>
      </c>
      <c r="E32" s="1"/>
      <c r="F32" s="5">
        <f t="shared" si="28"/>
        <v>2.5865336028297121E-2</v>
      </c>
      <c r="G32" s="1"/>
      <c r="H32" s="1">
        <f>SUM(OSRRefH22_3x_0)</f>
        <v>7.19</v>
      </c>
      <c r="I32" s="1"/>
      <c r="J32" s="5">
        <f t="shared" si="29"/>
        <v>1.8093512506920328E-2</v>
      </c>
      <c r="K32" s="1"/>
      <c r="L32" s="1">
        <f t="shared" si="30"/>
        <v>0.99999999999999911</v>
      </c>
      <c r="M32" s="1"/>
      <c r="N32" s="5">
        <f t="shared" si="31"/>
        <v>0.13908205841446442</v>
      </c>
      <c r="O32" s="14"/>
      <c r="P32" s="1">
        <f>SUM(OSRRefP22_3x_0)</f>
        <v>8.19</v>
      </c>
      <c r="Q32" s="1"/>
      <c r="R32" s="5">
        <f t="shared" si="32"/>
        <v>2.5865336028297121E-2</v>
      </c>
      <c r="S32" s="1"/>
      <c r="T32" s="1">
        <f>SUM(OSRRefT22_3x_0)</f>
        <v>7.19</v>
      </c>
      <c r="U32" s="1"/>
      <c r="V32" s="5">
        <f t="shared" si="33"/>
        <v>1.8093512506920328E-2</v>
      </c>
      <c r="W32" s="1"/>
      <c r="X32" s="1">
        <f t="shared" si="34"/>
        <v>0.99999999999999911</v>
      </c>
      <c r="Y32" s="1"/>
      <c r="Z32" s="5">
        <f t="shared" si="35"/>
        <v>0.13908205841446442</v>
      </c>
    </row>
    <row r="33" spans="1:26" s="24" customFormat="1" hidden="1" outlineLevel="2" x14ac:dyDescent="0.25">
      <c r="A33" s="29"/>
      <c r="B33" s="11" t="str">
        <f>CONCATENATE("          ", "6381", " - ", "BANK/CREDIT CARD FEES")</f>
        <v xml:space="preserve">          6381 - BANK/CREDIT CARD FEES</v>
      </c>
      <c r="C33" s="11"/>
      <c r="D33" s="7">
        <v>8.19</v>
      </c>
      <c r="E33" s="2"/>
      <c r="F33" s="6">
        <f t="shared" si="28"/>
        <v>2.5865336028297121E-2</v>
      </c>
      <c r="G33" s="2"/>
      <c r="H33" s="7">
        <v>7.19</v>
      </c>
      <c r="I33" s="2"/>
      <c r="J33" s="6">
        <f t="shared" si="29"/>
        <v>1.8093512506920328E-2</v>
      </c>
      <c r="K33" s="2"/>
      <c r="L33" s="7">
        <f t="shared" si="30"/>
        <v>0.99999999999999911</v>
      </c>
      <c r="M33" s="2"/>
      <c r="N33" s="6">
        <f t="shared" si="31"/>
        <v>0.13908205841446442</v>
      </c>
      <c r="O33" s="11"/>
      <c r="P33" s="7">
        <v>8.19</v>
      </c>
      <c r="Q33" s="2"/>
      <c r="R33" s="6">
        <f t="shared" si="32"/>
        <v>2.5865336028297121E-2</v>
      </c>
      <c r="S33" s="2"/>
      <c r="T33" s="7">
        <v>7.19</v>
      </c>
      <c r="U33" s="2"/>
      <c r="V33" s="6">
        <f t="shared" si="33"/>
        <v>1.8093512506920328E-2</v>
      </c>
      <c r="W33" s="2"/>
      <c r="X33" s="7">
        <f t="shared" si="34"/>
        <v>0.99999999999999911</v>
      </c>
      <c r="Y33" s="2"/>
      <c r="Z33" s="6">
        <f t="shared" si="35"/>
        <v>0.13908205841446442</v>
      </c>
    </row>
    <row r="34" spans="1:26" s="27" customFormat="1" outlineLevel="1" collapsed="1" x14ac:dyDescent="0.25">
      <c r="A34" s="28"/>
      <c r="B34" s="14" t="str">
        <f>CONCATENATE("     ","General                                           ")</f>
        <v xml:space="preserve">     General                                           </v>
      </c>
      <c r="C34" s="14"/>
      <c r="D34" s="1">
        <f>SUM(OSRRefD22_4x_0)</f>
        <v>15</v>
      </c>
      <c r="E34" s="1"/>
      <c r="F34" s="5">
        <f t="shared" si="28"/>
        <v>4.7372410308236482E-2</v>
      </c>
      <c r="G34" s="1"/>
      <c r="H34" s="1">
        <f>SUM(OSRRefH22_4x_0)</f>
        <v>0</v>
      </c>
      <c r="I34" s="1"/>
      <c r="J34" s="5">
        <f t="shared" si="29"/>
        <v>0</v>
      </c>
      <c r="K34" s="1"/>
      <c r="L34" s="1">
        <f t="shared" si="30"/>
        <v>15</v>
      </c>
      <c r="M34" s="1"/>
      <c r="N34" s="5">
        <f t="shared" si="31"/>
        <v>0</v>
      </c>
      <c r="O34" s="14"/>
      <c r="P34" s="1">
        <f>SUM(OSRRefP22_4x_0)</f>
        <v>1089.55</v>
      </c>
      <c r="Q34" s="1"/>
      <c r="R34" s="5">
        <f t="shared" si="32"/>
        <v>3.4409739767559375</v>
      </c>
      <c r="S34" s="1"/>
      <c r="T34" s="1">
        <f>SUM(OSRRefT22_4x_0)</f>
        <v>1034.2</v>
      </c>
      <c r="U34" s="1"/>
      <c r="V34" s="5">
        <f t="shared" si="33"/>
        <v>2.6025466807589712</v>
      </c>
      <c r="W34" s="1"/>
      <c r="X34" s="1">
        <f t="shared" si="34"/>
        <v>55.349999999999909</v>
      </c>
      <c r="Y34" s="1"/>
      <c r="Z34" s="5">
        <f t="shared" si="35"/>
        <v>5.3519628698510839E-2</v>
      </c>
    </row>
    <row r="35" spans="1:26" s="24" customFormat="1" hidden="1" outlineLevel="2" x14ac:dyDescent="0.25">
      <c r="A35" s="29"/>
      <c r="B35" s="11" t="str">
        <f>CONCATENATE("          ", "6279", " - ", "GENERAL EXPENSE")</f>
        <v xml:space="preserve">          6279 - GENERAL EXPENSE</v>
      </c>
      <c r="C35" s="11"/>
      <c r="D35" s="7">
        <v>15</v>
      </c>
      <c r="E35" s="2"/>
      <c r="F35" s="6">
        <f t="shared" si="28"/>
        <v>4.7372410308236482E-2</v>
      </c>
      <c r="G35" s="2"/>
      <c r="H35" s="7"/>
      <c r="I35" s="2"/>
      <c r="J35" s="6">
        <f t="shared" si="29"/>
        <v>0</v>
      </c>
      <c r="K35" s="2"/>
      <c r="L35" s="7">
        <f t="shared" si="30"/>
        <v>15</v>
      </c>
      <c r="M35" s="2"/>
      <c r="N35" s="6">
        <f t="shared" si="31"/>
        <v>0</v>
      </c>
      <c r="O35" s="11"/>
      <c r="P35" s="7">
        <v>1089.55</v>
      </c>
      <c r="Q35" s="2"/>
      <c r="R35" s="6">
        <f t="shared" si="32"/>
        <v>3.4409739767559375</v>
      </c>
      <c r="S35" s="2"/>
      <c r="T35" s="7">
        <v>1034.2</v>
      </c>
      <c r="U35" s="2"/>
      <c r="V35" s="6">
        <f t="shared" si="33"/>
        <v>2.6025466807589712</v>
      </c>
      <c r="W35" s="2"/>
      <c r="X35" s="7">
        <f t="shared" si="34"/>
        <v>55.349999999999909</v>
      </c>
      <c r="Y35" s="2"/>
      <c r="Z35" s="6">
        <f t="shared" si="35"/>
        <v>5.3519628698510839E-2</v>
      </c>
    </row>
    <row r="36" spans="1:26" s="27" customFormat="1" outlineLevel="1" collapsed="1" x14ac:dyDescent="0.25">
      <c r="A36" s="28"/>
      <c r="B36" s="14" t="str">
        <f>CONCATENATE("     ","R/H Commissions                                   ")</f>
        <v xml:space="preserve">     R/H Commissions                                   </v>
      </c>
      <c r="C36" s="14"/>
      <c r="D36" s="1">
        <f>SUM(OSRRefD22_5x_0)</f>
        <v>0</v>
      </c>
      <c r="E36" s="1"/>
      <c r="F36" s="5">
        <f t="shared" si="28"/>
        <v>0</v>
      </c>
      <c r="G36" s="1"/>
      <c r="H36" s="1">
        <f>SUM(OSRRefH22_5x_0)</f>
        <v>31.79</v>
      </c>
      <c r="I36" s="1"/>
      <c r="J36" s="5">
        <f t="shared" si="29"/>
        <v>7.9998993406814628E-2</v>
      </c>
      <c r="K36" s="1"/>
      <c r="L36" s="1">
        <f t="shared" si="30"/>
        <v>-31.79</v>
      </c>
      <c r="M36" s="1"/>
      <c r="N36" s="5">
        <f t="shared" si="31"/>
        <v>-1</v>
      </c>
      <c r="O36" s="14"/>
      <c r="P36" s="1">
        <f>SUM(OSRRefP22_5x_0)</f>
        <v>0</v>
      </c>
      <c r="Q36" s="1"/>
      <c r="R36" s="5">
        <f t="shared" si="32"/>
        <v>0</v>
      </c>
      <c r="S36" s="1"/>
      <c r="T36" s="1">
        <f>SUM(OSRRefT22_5x_0)</f>
        <v>31.79</v>
      </c>
      <c r="U36" s="1"/>
      <c r="V36" s="5">
        <f t="shared" si="33"/>
        <v>7.9998993406814628E-2</v>
      </c>
      <c r="W36" s="1"/>
      <c r="X36" s="1">
        <f t="shared" si="34"/>
        <v>-31.79</v>
      </c>
      <c r="Y36" s="1"/>
      <c r="Z36" s="5">
        <f t="shared" si="35"/>
        <v>-1</v>
      </c>
    </row>
    <row r="37" spans="1:26" s="24" customFormat="1" hidden="1" outlineLevel="2" x14ac:dyDescent="0.25">
      <c r="A37" s="29"/>
      <c r="B37" s="11" t="str">
        <f>CONCATENATE("          ", "6387", " - ", "COMMISSION DUE HOUSING")</f>
        <v xml:space="preserve">          6387 - COMMISSION DUE HOUSING</v>
      </c>
      <c r="C37" s="11"/>
      <c r="D37" s="7"/>
      <c r="E37" s="2"/>
      <c r="F37" s="6">
        <f t="shared" si="28"/>
        <v>0</v>
      </c>
      <c r="G37" s="2"/>
      <c r="H37" s="7">
        <v>31.79</v>
      </c>
      <c r="I37" s="2"/>
      <c r="J37" s="6">
        <f t="shared" si="29"/>
        <v>7.9998993406814628E-2</v>
      </c>
      <c r="K37" s="2"/>
      <c r="L37" s="7">
        <f t="shared" si="30"/>
        <v>-31.79</v>
      </c>
      <c r="M37" s="2"/>
      <c r="N37" s="6">
        <f t="shared" si="31"/>
        <v>-1</v>
      </c>
      <c r="O37" s="11"/>
      <c r="P37" s="7"/>
      <c r="Q37" s="2"/>
      <c r="R37" s="6">
        <f t="shared" si="32"/>
        <v>0</v>
      </c>
      <c r="S37" s="2"/>
      <c r="T37" s="7">
        <v>31.79</v>
      </c>
      <c r="U37" s="2"/>
      <c r="V37" s="6">
        <f t="shared" si="33"/>
        <v>7.9998993406814628E-2</v>
      </c>
      <c r="W37" s="2"/>
      <c r="X37" s="7">
        <f t="shared" si="34"/>
        <v>-31.79</v>
      </c>
      <c r="Y37" s="2"/>
      <c r="Z37" s="6">
        <f t="shared" si="35"/>
        <v>-1</v>
      </c>
    </row>
    <row r="38" spans="1:26" s="27" customFormat="1" outlineLevel="1" collapsed="1" x14ac:dyDescent="0.25">
      <c r="A38" s="28"/>
      <c r="B38" s="14" t="str">
        <f>CONCATENATE("     ","Supplies                                          ")</f>
        <v xml:space="preserve">     Supplies                                          </v>
      </c>
      <c r="C38" s="14"/>
      <c r="D38" s="1">
        <f>SUM(OSRRefD22_6x_0)</f>
        <v>1179.98</v>
      </c>
      <c r="E38" s="1"/>
      <c r="F38" s="5">
        <f t="shared" si="28"/>
        <v>3.7265664477008591</v>
      </c>
      <c r="G38" s="1"/>
      <c r="H38" s="1">
        <f>SUM(OSRRefH22_6x_0)</f>
        <v>-20</v>
      </c>
      <c r="I38" s="1"/>
      <c r="J38" s="5">
        <f t="shared" si="29"/>
        <v>-5.0329659268206754E-2</v>
      </c>
      <c r="K38" s="1"/>
      <c r="L38" s="1">
        <f t="shared" si="30"/>
        <v>1199.98</v>
      </c>
      <c r="M38" s="1"/>
      <c r="N38" s="5">
        <f t="shared" si="31"/>
        <v>-59.999000000000002</v>
      </c>
      <c r="O38" s="14"/>
      <c r="P38" s="1">
        <f>SUM(OSRRefP22_6x_0)</f>
        <v>1336.08</v>
      </c>
      <c r="Q38" s="1"/>
      <c r="R38" s="5">
        <f t="shared" si="32"/>
        <v>4.2195553309752398</v>
      </c>
      <c r="S38" s="1"/>
      <c r="T38" s="1">
        <f>SUM(OSRRefT22_6x_0)</f>
        <v>-20</v>
      </c>
      <c r="U38" s="1"/>
      <c r="V38" s="5">
        <f t="shared" si="33"/>
        <v>-5.0329659268206754E-2</v>
      </c>
      <c r="W38" s="1"/>
      <c r="X38" s="1">
        <f t="shared" si="34"/>
        <v>1356.08</v>
      </c>
      <c r="Y38" s="1"/>
      <c r="Z38" s="5">
        <f t="shared" si="35"/>
        <v>-67.804000000000002</v>
      </c>
    </row>
    <row r="39" spans="1:26" s="24" customFormat="1" hidden="1" outlineLevel="2" x14ac:dyDescent="0.25">
      <c r="A39" s="29"/>
      <c r="B39" s="11" t="str">
        <f>CONCATENATE("          ", "6247", " - ", "STORE SUPPLIES")</f>
        <v xml:space="preserve">          6247 - STORE SUPPLIES</v>
      </c>
      <c r="C39" s="11"/>
      <c r="D39" s="7">
        <v>66.38</v>
      </c>
      <c r="E39" s="2"/>
      <c r="F39" s="6">
        <f t="shared" si="28"/>
        <v>0.2096387064173825</v>
      </c>
      <c r="G39" s="2"/>
      <c r="H39" s="7">
        <v>-20</v>
      </c>
      <c r="I39" s="2"/>
      <c r="J39" s="6">
        <f t="shared" si="29"/>
        <v>-5.0329659268206754E-2</v>
      </c>
      <c r="K39" s="2"/>
      <c r="L39" s="7">
        <f t="shared" si="30"/>
        <v>86.38</v>
      </c>
      <c r="M39" s="2"/>
      <c r="N39" s="6">
        <f t="shared" si="31"/>
        <v>-4.319</v>
      </c>
      <c r="O39" s="11"/>
      <c r="P39" s="7">
        <v>222.48</v>
      </c>
      <c r="Q39" s="2"/>
      <c r="R39" s="6">
        <f t="shared" si="32"/>
        <v>0.70262758969176353</v>
      </c>
      <c r="S39" s="2"/>
      <c r="T39" s="7">
        <v>-20</v>
      </c>
      <c r="U39" s="2"/>
      <c r="V39" s="6">
        <f t="shared" si="33"/>
        <v>-5.0329659268206754E-2</v>
      </c>
      <c r="W39" s="2"/>
      <c r="X39" s="7">
        <f t="shared" si="34"/>
        <v>242.48</v>
      </c>
      <c r="Y39" s="2"/>
      <c r="Z39" s="6">
        <f t="shared" si="35"/>
        <v>-12.123999999999999</v>
      </c>
    </row>
    <row r="40" spans="1:26" s="24" customFormat="1" hidden="1" outlineLevel="2" x14ac:dyDescent="0.25">
      <c r="A40" s="29"/>
      <c r="B40" s="11" t="str">
        <f>CONCATENATE("          ", "6248", " - ", "UNIFORMS")</f>
        <v xml:space="preserve">          6248 - UNIFORMS</v>
      </c>
      <c r="C40" s="11"/>
      <c r="D40" s="7">
        <v>1113.5999999999999</v>
      </c>
      <c r="E40" s="2"/>
      <c r="F40" s="6">
        <f t="shared" si="28"/>
        <v>3.5169277412834763</v>
      </c>
      <c r="G40" s="2"/>
      <c r="H40" s="7"/>
      <c r="I40" s="2"/>
      <c r="J40" s="6">
        <f t="shared" si="29"/>
        <v>0</v>
      </c>
      <c r="K40" s="2"/>
      <c r="L40" s="7">
        <f t="shared" si="30"/>
        <v>1113.5999999999999</v>
      </c>
      <c r="M40" s="2"/>
      <c r="N40" s="6">
        <f t="shared" si="31"/>
        <v>0</v>
      </c>
      <c r="O40" s="11"/>
      <c r="P40" s="7">
        <v>1113.5999999999999</v>
      </c>
      <c r="Q40" s="2"/>
      <c r="R40" s="6">
        <f t="shared" si="32"/>
        <v>3.5169277412834763</v>
      </c>
      <c r="S40" s="2"/>
      <c r="T40" s="7"/>
      <c r="U40" s="2"/>
      <c r="V40" s="6">
        <f t="shared" si="33"/>
        <v>0</v>
      </c>
      <c r="W40" s="2"/>
      <c r="X40" s="7">
        <f t="shared" si="34"/>
        <v>1113.5999999999999</v>
      </c>
      <c r="Y40" s="2"/>
      <c r="Z40" s="6">
        <f t="shared" si="35"/>
        <v>0</v>
      </c>
    </row>
    <row r="41" spans="1:26" s="27" customFormat="1" outlineLevel="1" collapsed="1" x14ac:dyDescent="0.25">
      <c r="A41" s="28"/>
      <c r="B41" s="14" t="str">
        <f>CONCATENATE("     ","Telephone/Data Lines                              ")</f>
        <v xml:space="preserve">     Telephone/Data Lines                              </v>
      </c>
      <c r="C41" s="14"/>
      <c r="D41" s="1">
        <f>SUM(OSRRefD22_7x_0)</f>
        <v>75.5</v>
      </c>
      <c r="E41" s="1"/>
      <c r="F41" s="5">
        <f t="shared" ref="F41:F42" si="36">IF(D$12=0,0,D41/D$12)</f>
        <v>0.2384411318847903</v>
      </c>
      <c r="G41" s="1"/>
      <c r="H41" s="1">
        <f>SUM(OSRRefH22_7x_0)</f>
        <v>75.5</v>
      </c>
      <c r="I41" s="1"/>
      <c r="J41" s="5">
        <f t="shared" ref="J41:J42" si="37">IF(H$12=0,0,H41/H$12)</f>
        <v>0.1899944637374805</v>
      </c>
      <c r="K41" s="1"/>
      <c r="L41" s="1">
        <f t="shared" ref="L41:L42" si="38">+D41-H41</f>
        <v>0</v>
      </c>
      <c r="M41" s="1"/>
      <c r="N41" s="5">
        <f t="shared" ref="N41:N42" si="39">IF(H41=0,0,L41/H41)</f>
        <v>0</v>
      </c>
      <c r="O41" s="14"/>
      <c r="P41" s="1">
        <f>SUM(OSRRefP22_7x_0)</f>
        <v>186.5</v>
      </c>
      <c r="Q41" s="1"/>
      <c r="R41" s="5">
        <f t="shared" ref="R41:R42" si="40">IF(P$12=0,0,P41/P$12)</f>
        <v>0.58899696816574032</v>
      </c>
      <c r="S41" s="1"/>
      <c r="T41" s="1">
        <f>SUM(OSRRefT22_7x_0)</f>
        <v>126.5</v>
      </c>
      <c r="U41" s="1"/>
      <c r="V41" s="5">
        <f t="shared" ref="V41:V42" si="41">IF(T$12=0,0,T41/T$12)</f>
        <v>0.31833509487140771</v>
      </c>
      <c r="W41" s="1"/>
      <c r="X41" s="1">
        <f t="shared" ref="X41:X42" si="42">+P41-T41</f>
        <v>60</v>
      </c>
      <c r="Y41" s="1"/>
      <c r="Z41" s="5">
        <f t="shared" ref="Z41:Z42" si="43">IF(T41=0,0,X41/T41)</f>
        <v>0.4743083003952569</v>
      </c>
    </row>
    <row r="42" spans="1:26" s="24" customFormat="1" hidden="1" outlineLevel="2" x14ac:dyDescent="0.25">
      <c r="A42" s="29"/>
      <c r="B42" s="11" t="str">
        <f>CONCATENATE("          ", "6309", " - ", "TELEPHONE")</f>
        <v xml:space="preserve">          6309 - TELEPHONE</v>
      </c>
      <c r="C42" s="11"/>
      <c r="D42" s="7">
        <v>75.5</v>
      </c>
      <c r="E42" s="2"/>
      <c r="F42" s="6">
        <f t="shared" si="36"/>
        <v>0.2384411318847903</v>
      </c>
      <c r="G42" s="2"/>
      <c r="H42" s="7">
        <v>75.5</v>
      </c>
      <c r="I42" s="2"/>
      <c r="J42" s="6">
        <f t="shared" si="37"/>
        <v>0.1899944637374805</v>
      </c>
      <c r="K42" s="2"/>
      <c r="L42" s="7">
        <f t="shared" si="38"/>
        <v>0</v>
      </c>
      <c r="M42" s="2"/>
      <c r="N42" s="6">
        <f t="shared" si="39"/>
        <v>0</v>
      </c>
      <c r="O42" s="11"/>
      <c r="P42" s="7">
        <v>186.5</v>
      </c>
      <c r="Q42" s="2"/>
      <c r="R42" s="6">
        <f t="shared" si="40"/>
        <v>0.58899696816574032</v>
      </c>
      <c r="S42" s="2"/>
      <c r="T42" s="7">
        <v>126.5</v>
      </c>
      <c r="U42" s="2"/>
      <c r="V42" s="6">
        <f t="shared" si="41"/>
        <v>0.31833509487140771</v>
      </c>
      <c r="W42" s="2"/>
      <c r="X42" s="7">
        <f t="shared" si="42"/>
        <v>60</v>
      </c>
      <c r="Y42" s="2"/>
      <c r="Z42" s="6">
        <f t="shared" si="43"/>
        <v>0.4743083003952569</v>
      </c>
    </row>
    <row r="43" spans="1:26" s="62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5" t="s">
        <v>0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6" t="s">
        <v>3</v>
      </c>
      <c r="C46" s="26"/>
      <c r="D46" s="20">
        <f>+D20-D22+D44</f>
        <v>-2575.1800000000003</v>
      </c>
      <c r="E46" s="13"/>
      <c r="F46" s="19">
        <f>IF(D$12=0,0,D46/D$12)</f>
        <v>-8.1328322385042959</v>
      </c>
      <c r="G46" s="13"/>
      <c r="H46" s="20">
        <f>+H20-H22+H44</f>
        <v>-805.49</v>
      </c>
      <c r="I46" s="13"/>
      <c r="J46" s="19">
        <f>IF(H$12=0,0,H46/H$12)</f>
        <v>-2.0270018621973929</v>
      </c>
      <c r="K46" s="15"/>
      <c r="L46" s="20">
        <f>+D46-H46</f>
        <v>-1769.6900000000003</v>
      </c>
      <c r="M46" s="15"/>
      <c r="N46" s="19">
        <f>IF(H46=0,0,L46/H46)</f>
        <v>2.1970353449453133</v>
      </c>
      <c r="O46" s="25"/>
      <c r="P46" s="20">
        <f>+P20-P22+P44</f>
        <v>-3937.38</v>
      </c>
      <c r="Q46" s="13"/>
      <c r="R46" s="19">
        <f>IF(P$12=0,0,P46/P$12)</f>
        <v>-12.434878726629611</v>
      </c>
      <c r="S46" s="13"/>
      <c r="T46" s="20">
        <f>+T20-T22+T44</f>
        <v>-1890.6899999999998</v>
      </c>
      <c r="U46" s="13"/>
      <c r="V46" s="19">
        <f>IF(T$12=0,0,T46/T$12)</f>
        <v>-4.7578891740902911</v>
      </c>
      <c r="W46" s="15"/>
      <c r="X46" s="20">
        <f>+P46-T46</f>
        <v>-2046.6900000000003</v>
      </c>
      <c r="Y46" s="15"/>
      <c r="Z46" s="19">
        <f>IF(T46=0,0,X46/T46)</f>
        <v>1.0825095600019043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>
        <v>39.479999999999997</v>
      </c>
      <c r="E48" s="4"/>
      <c r="F48" s="12">
        <f>IF(D$12=0,0,D48/D$12)</f>
        <v>0.12468418393127842</v>
      </c>
      <c r="G48" s="4"/>
      <c r="H48" s="4">
        <v>40.57</v>
      </c>
      <c r="I48" s="4"/>
      <c r="J48" s="12">
        <f>IF(H$12=0,0,H48/H$12)</f>
        <v>0.1020937138255574</v>
      </c>
      <c r="K48" s="4"/>
      <c r="L48" s="4">
        <f>+D48-H48</f>
        <v>-1.0900000000000034</v>
      </c>
      <c r="M48" s="4"/>
      <c r="N48" s="12">
        <f>IF(H48=0,0,L48/H48)</f>
        <v>-2.6867143209268016E-2</v>
      </c>
      <c r="O48" s="10"/>
      <c r="P48" s="4">
        <v>39.479999999999997</v>
      </c>
      <c r="Q48" s="4"/>
      <c r="R48" s="12">
        <f>IF(P$12=0,0,P48/P$12)</f>
        <v>0.12468418393127842</v>
      </c>
      <c r="S48" s="4"/>
      <c r="T48" s="4">
        <v>40.57</v>
      </c>
      <c r="U48" s="4"/>
      <c r="V48" s="12">
        <f>IF(T$12=0,0,T48/T$12)</f>
        <v>0.1020937138255574</v>
      </c>
      <c r="W48" s="4"/>
      <c r="X48" s="4">
        <f>+P48-T48</f>
        <v>-1.0900000000000034</v>
      </c>
      <c r="Y48" s="4"/>
      <c r="Z48" s="12">
        <f>IF(T48=0,0,X48/T48)</f>
        <v>-2.6867143209268016E-2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6" t="s">
        <v>4</v>
      </c>
      <c r="C50" s="26"/>
      <c r="D50" s="31">
        <f>+D46-D48</f>
        <v>-2614.6600000000003</v>
      </c>
      <c r="E50" s="13"/>
      <c r="F50" s="36">
        <f>IF(D$12=0,0,D50/D$12)</f>
        <v>-8.2575164224355753</v>
      </c>
      <c r="G50" s="13"/>
      <c r="H50" s="31">
        <f>+H46-H48</f>
        <v>-846.06000000000006</v>
      </c>
      <c r="I50" s="13"/>
      <c r="J50" s="36">
        <f>IF(H$12=0,0,H50/H$12)</f>
        <v>-2.1290955760229506</v>
      </c>
      <c r="K50" s="15"/>
      <c r="L50" s="31">
        <f>D50-H50</f>
        <v>-1768.6000000000004</v>
      </c>
      <c r="M50" s="15"/>
      <c r="N50" s="36">
        <f>IF(H50=0,0,L50/H50)</f>
        <v>2.0903954802259892</v>
      </c>
      <c r="O50" s="25"/>
      <c r="P50" s="31">
        <f>+P46-P48</f>
        <v>-3976.86</v>
      </c>
      <c r="Q50" s="13"/>
      <c r="R50" s="36">
        <f>IF(P$12=0,0,P50/P$12)</f>
        <v>-12.55956291056089</v>
      </c>
      <c r="S50" s="13"/>
      <c r="T50" s="31">
        <f>+T46-T48</f>
        <v>-1931.2599999999998</v>
      </c>
      <c r="U50" s="13"/>
      <c r="V50" s="36">
        <f>IF(T$12=0,0,T50/T$12)</f>
        <v>-4.859982887915848</v>
      </c>
      <c r="W50" s="15"/>
      <c r="X50" s="31">
        <f>P50-T50</f>
        <v>-2045.6000000000004</v>
      </c>
      <c r="Y50" s="15"/>
      <c r="Z50" s="36">
        <f>IF(T50=0,0,X50/T50)</f>
        <v>1.0592048714310867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6" t="s">
        <v>5</v>
      </c>
      <c r="C53" s="26"/>
      <c r="D53" s="32">
        <f>SUM(D50:D52)</f>
        <v>-2614.6600000000003</v>
      </c>
      <c r="E53" s="13"/>
      <c r="F53" s="30">
        <f>IF(D$12=0,0,D53/D$12)</f>
        <v>-8.2575164224355753</v>
      </c>
      <c r="G53" s="13"/>
      <c r="H53" s="32">
        <f>SUM(H50:H52)</f>
        <v>-846.06000000000006</v>
      </c>
      <c r="I53" s="13"/>
      <c r="J53" s="30">
        <f>IF(H$12=0,0,H53/H$12)</f>
        <v>-2.1290955760229506</v>
      </c>
      <c r="K53" s="15"/>
      <c r="L53" s="32">
        <f>+D53-H53</f>
        <v>-1768.6000000000004</v>
      </c>
      <c r="M53" s="15"/>
      <c r="N53" s="30">
        <f>IF(H53=0,0,L53/H53)</f>
        <v>2.0903954802259892</v>
      </c>
      <c r="O53" s="25"/>
      <c r="P53" s="32">
        <f>SUM(P50:P52)</f>
        <v>-3976.86</v>
      </c>
      <c r="Q53" s="13"/>
      <c r="R53" s="30">
        <f>IF(P$12=0,0,P53/P$12)</f>
        <v>-12.55956291056089</v>
      </c>
      <c r="S53" s="13"/>
      <c r="T53" s="32">
        <f>SUM(T50:T52)</f>
        <v>-1931.2599999999998</v>
      </c>
      <c r="U53" s="13"/>
      <c r="V53" s="30">
        <f>IF(T$12=0,0,T53/T$12)</f>
        <v>-4.859982887915848</v>
      </c>
      <c r="W53" s="15"/>
      <c r="X53" s="32">
        <f>+P53-T53</f>
        <v>-2045.6000000000004</v>
      </c>
      <c r="Y53" s="15"/>
      <c r="Z53" s="30">
        <f>IF(T53=0,0,X53/T53)</f>
        <v>1.0592048714310867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57">
        <v>43732.710221759262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60" t="s">
        <v>313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56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","444", " - ", "Parkside Dining Hall")</f>
        <v>Department 444 - Parkside Dining Hall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185248.81</v>
      </c>
      <c r="E12" s="4"/>
      <c r="F12" s="12"/>
      <c r="G12" s="4"/>
      <c r="H12" s="4">
        <f>SUM(OSRRefH13x_0)</f>
        <v>170061.61000000002</v>
      </c>
      <c r="I12" s="4"/>
      <c r="J12" s="12"/>
      <c r="K12" s="4"/>
      <c r="L12" s="4">
        <f t="shared" ref="L12:L15" si="0">+D12-H12</f>
        <v>15187.199999999983</v>
      </c>
      <c r="M12" s="4"/>
      <c r="N12" s="12">
        <f t="shared" ref="N12:N15" si="1">IF(H12=0,0,L12/H12)</f>
        <v>8.9304105729682212E-2</v>
      </c>
      <c r="O12" s="10"/>
      <c r="P12" s="4">
        <f>SUM(OSRRefP13x_0)</f>
        <v>401506.20999999996</v>
      </c>
      <c r="Q12" s="4"/>
      <c r="R12" s="12"/>
      <c r="S12" s="4"/>
      <c r="T12" s="4">
        <f>SUM(OSRRefT13x_0)</f>
        <v>391865.09</v>
      </c>
      <c r="U12" s="4"/>
      <c r="V12" s="12"/>
      <c r="W12" s="4"/>
      <c r="X12" s="4">
        <f t="shared" ref="X12:X15" si="2">+P12-T12</f>
        <v>9641.1199999999371</v>
      </c>
      <c r="Y12" s="4"/>
      <c r="Z12" s="12">
        <f t="shared" ref="Z12:Z15" si="3">IF(T12=0,0,X12/T12)</f>
        <v>2.4603161256339361E-2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2">
        <f>--212.97</f>
        <v>212.97</v>
      </c>
      <c r="E13" s="2"/>
      <c r="F13" s="21"/>
      <c r="G13" s="2"/>
      <c r="H13" s="2">
        <f>-5.27</f>
        <v>-5.27</v>
      </c>
      <c r="I13" s="2"/>
      <c r="J13" s="21"/>
      <c r="K13" s="2"/>
      <c r="L13" s="2">
        <f t="shared" si="0"/>
        <v>218.24</v>
      </c>
      <c r="M13" s="2"/>
      <c r="N13" s="21">
        <f t="shared" si="1"/>
        <v>-41.411764705882355</v>
      </c>
      <c r="O13" s="11"/>
      <c r="P13" s="2">
        <f>--698.42</f>
        <v>698.42</v>
      </c>
      <c r="Q13" s="2"/>
      <c r="R13" s="21"/>
      <c r="S13" s="2"/>
      <c r="T13" s="2">
        <f>--299.03</f>
        <v>299.02999999999997</v>
      </c>
      <c r="U13" s="2"/>
      <c r="V13" s="21"/>
      <c r="W13" s="2"/>
      <c r="X13" s="2">
        <f t="shared" si="2"/>
        <v>399.39</v>
      </c>
      <c r="Y13" s="2"/>
      <c r="Z13" s="21">
        <f t="shared" si="3"/>
        <v>1.3356184998160721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--181504.91</f>
        <v>181504.91</v>
      </c>
      <c r="E14" s="2"/>
      <c r="F14" s="21"/>
      <c r="G14" s="2"/>
      <c r="H14" s="2">
        <f>--166723.53</f>
        <v>166723.53</v>
      </c>
      <c r="I14" s="2"/>
      <c r="J14" s="21"/>
      <c r="K14" s="2"/>
      <c r="L14" s="2">
        <f t="shared" si="0"/>
        <v>14781.380000000005</v>
      </c>
      <c r="M14" s="2"/>
      <c r="N14" s="21">
        <f t="shared" si="1"/>
        <v>8.8658031652760746E-2</v>
      </c>
      <c r="O14" s="11"/>
      <c r="P14" s="2">
        <f>--382161.91</f>
        <v>382161.91</v>
      </c>
      <c r="Q14" s="2"/>
      <c r="R14" s="21"/>
      <c r="S14" s="2"/>
      <c r="T14" s="2">
        <f>--365708.7</f>
        <v>365708.7</v>
      </c>
      <c r="U14" s="2"/>
      <c r="V14" s="21"/>
      <c r="W14" s="2"/>
      <c r="X14" s="2">
        <f t="shared" si="2"/>
        <v>16453.209999999963</v>
      </c>
      <c r="Y14" s="2"/>
      <c r="Z14" s="21">
        <f t="shared" si="3"/>
        <v>4.4989933244683436E-2</v>
      </c>
    </row>
    <row r="15" spans="1:26" s="24" customFormat="1" hidden="1" outlineLevel="1" x14ac:dyDescent="0.25">
      <c r="A15" s="50"/>
      <c r="B15" s="11" t="str">
        <f>CONCATENATE("          ", "4153", " - ", "NON-TAXABLE SALES-FOOD")</f>
        <v xml:space="preserve">          4153 - NON-TAXABLE SALES-FOOD</v>
      </c>
      <c r="C15" s="11"/>
      <c r="D15" s="2">
        <f>--3530.93</f>
        <v>3530.93</v>
      </c>
      <c r="E15" s="2"/>
      <c r="F15" s="21"/>
      <c r="G15" s="2"/>
      <c r="H15" s="2">
        <f>--3343.35</f>
        <v>3343.35</v>
      </c>
      <c r="I15" s="2"/>
      <c r="J15" s="21"/>
      <c r="K15" s="2"/>
      <c r="L15" s="2">
        <f t="shared" si="0"/>
        <v>187.57999999999993</v>
      </c>
      <c r="M15" s="2"/>
      <c r="N15" s="21">
        <f t="shared" si="1"/>
        <v>5.6105403263194083E-2</v>
      </c>
      <c r="O15" s="11"/>
      <c r="P15" s="2">
        <f>--18645.88</f>
        <v>18645.88</v>
      </c>
      <c r="Q15" s="2"/>
      <c r="R15" s="21"/>
      <c r="S15" s="2"/>
      <c r="T15" s="2">
        <f>--25857.36</f>
        <v>25857.360000000001</v>
      </c>
      <c r="U15" s="2"/>
      <c r="V15" s="21"/>
      <c r="W15" s="2"/>
      <c r="X15" s="2">
        <f t="shared" si="2"/>
        <v>-7211.48</v>
      </c>
      <c r="Y15" s="2"/>
      <c r="Z15" s="21">
        <f t="shared" si="3"/>
        <v>-0.27889467447566185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54615.399999999994</v>
      </c>
      <c r="E17" s="4"/>
      <c r="F17" s="12">
        <f t="shared" ref="F17:F19" si="4">IF(D$12=0,0,D17/D$12)</f>
        <v>0.29482186687191131</v>
      </c>
      <c r="G17" s="4"/>
      <c r="H17" s="4">
        <f>SUM(OSRRefH16x_0)</f>
        <v>72428.25</v>
      </c>
      <c r="I17" s="4"/>
      <c r="J17" s="12">
        <f t="shared" ref="J17:J19" si="5">IF(H$12=0,0,H17/H$12)</f>
        <v>0.42589418035028598</v>
      </c>
      <c r="K17" s="4"/>
      <c r="L17" s="4">
        <f t="shared" ref="L17:L19" si="6">+D17-H17</f>
        <v>-17812.850000000006</v>
      </c>
      <c r="M17" s="4"/>
      <c r="N17" s="12">
        <f t="shared" ref="N17:N19" si="7">IF(H17=0,0,L17/H17)</f>
        <v>-0.24593787645014212</v>
      </c>
      <c r="O17" s="10"/>
      <c r="P17" s="4">
        <f>SUM(OSRRefP16x_0)</f>
        <v>131572.5</v>
      </c>
      <c r="Q17" s="4"/>
      <c r="R17" s="12">
        <f t="shared" ref="R17:R19" si="8">IF(P$12=0,0,P17/P$12)</f>
        <v>0.32769729763332928</v>
      </c>
      <c r="S17" s="4"/>
      <c r="T17" s="4">
        <f>SUM(OSRRefT16x_0)</f>
        <v>147705.59</v>
      </c>
      <c r="U17" s="4"/>
      <c r="V17" s="12">
        <f t="shared" ref="V17:V19" si="9">IF(T$12=0,0,T17/T$12)</f>
        <v>0.37692969792231296</v>
      </c>
      <c r="W17" s="4"/>
      <c r="X17" s="4">
        <f t="shared" ref="X17:X19" si="10">+P17-T17</f>
        <v>-16133.089999999997</v>
      </c>
      <c r="Y17" s="4"/>
      <c r="Z17" s="12">
        <f t="shared" ref="Z17:Z19" si="11">IF(T17=0,0,X17/T17)</f>
        <v>-0.10922464071942029</v>
      </c>
    </row>
    <row r="18" spans="1:26" s="24" customFormat="1" hidden="1" outlineLevel="1" x14ac:dyDescent="0.25">
      <c r="A18" s="50"/>
      <c r="B18" s="11" t="str">
        <f>CONCATENATE("          ", "5053", " - ", "PURCHASES @ COST-FOOD")</f>
        <v xml:space="preserve">          5053 - PURCHASES @ COST-FOOD</v>
      </c>
      <c r="C18" s="11"/>
      <c r="D18" s="2">
        <v>70099.149999999994</v>
      </c>
      <c r="E18" s="2"/>
      <c r="F18" s="21">
        <f t="shared" si="4"/>
        <v>0.3784053997431886</v>
      </c>
      <c r="G18" s="2"/>
      <c r="H18" s="2">
        <v>83450.25</v>
      </c>
      <c r="I18" s="2"/>
      <c r="J18" s="21">
        <f t="shared" si="5"/>
        <v>0.4907059859071074</v>
      </c>
      <c r="K18" s="2"/>
      <c r="L18" s="2">
        <f t="shared" si="6"/>
        <v>-13351.100000000006</v>
      </c>
      <c r="M18" s="2"/>
      <c r="N18" s="21">
        <f t="shared" si="7"/>
        <v>-0.15998873580366751</v>
      </c>
      <c r="O18" s="11"/>
      <c r="P18" s="2">
        <v>143653.25</v>
      </c>
      <c r="Q18" s="2"/>
      <c r="R18" s="21">
        <f t="shared" si="8"/>
        <v>0.3577858733492566</v>
      </c>
      <c r="S18" s="2"/>
      <c r="T18" s="2">
        <v>159664.59</v>
      </c>
      <c r="U18" s="2"/>
      <c r="V18" s="21">
        <f t="shared" si="9"/>
        <v>0.40744785405609873</v>
      </c>
      <c r="W18" s="2"/>
      <c r="X18" s="2">
        <f t="shared" si="10"/>
        <v>-16011.339999999997</v>
      </c>
      <c r="Y18" s="2"/>
      <c r="Z18" s="21">
        <f t="shared" si="11"/>
        <v>-0.10028109551403976</v>
      </c>
    </row>
    <row r="19" spans="1:26" s="24" customFormat="1" hidden="1" outlineLevel="1" x14ac:dyDescent="0.25">
      <c r="A19" s="50"/>
      <c r="B19" s="11" t="str">
        <f>CONCATENATE("          ", "5059", " - ", "PURCHASES @ COST-FOOD")</f>
        <v xml:space="preserve">          5059 - PURCHASES @ COST-FOOD</v>
      </c>
      <c r="C19" s="11"/>
      <c r="D19" s="2">
        <v>-15483.750000000002</v>
      </c>
      <c r="E19" s="2"/>
      <c r="F19" s="21">
        <f t="shared" si="4"/>
        <v>-8.3583532871277288E-2</v>
      </c>
      <c r="G19" s="2"/>
      <c r="H19" s="2">
        <v>-11022</v>
      </c>
      <c r="I19" s="2"/>
      <c r="J19" s="21">
        <f t="shared" si="5"/>
        <v>-6.4811805556821436E-2</v>
      </c>
      <c r="K19" s="2"/>
      <c r="L19" s="2">
        <f t="shared" si="6"/>
        <v>-4461.7500000000018</v>
      </c>
      <c r="M19" s="2"/>
      <c r="N19" s="21">
        <f t="shared" si="7"/>
        <v>0.4048040283070225</v>
      </c>
      <c r="O19" s="11"/>
      <c r="P19" s="2">
        <v>-12080.75</v>
      </c>
      <c r="Q19" s="2"/>
      <c r="R19" s="21">
        <f t="shared" si="8"/>
        <v>-3.0088575715927286E-2</v>
      </c>
      <c r="S19" s="2"/>
      <c r="T19" s="2">
        <v>-11959</v>
      </c>
      <c r="U19" s="2"/>
      <c r="V19" s="21">
        <f t="shared" si="9"/>
        <v>-3.0518156133785734E-2</v>
      </c>
      <c r="W19" s="2"/>
      <c r="X19" s="2">
        <f t="shared" si="10"/>
        <v>-121.75</v>
      </c>
      <c r="Y19" s="2"/>
      <c r="Z19" s="21">
        <f t="shared" si="11"/>
        <v>1.0180617108453884E-2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0">
        <f>D12-D17</f>
        <v>130633.41</v>
      </c>
      <c r="E21" s="13"/>
      <c r="F21" s="19">
        <f>IF(D$12=0,0,D21/D$12)</f>
        <v>0.70517813312808864</v>
      </c>
      <c r="G21" s="13"/>
      <c r="H21" s="20">
        <f>H12-H17</f>
        <v>97633.360000000015</v>
      </c>
      <c r="I21" s="13"/>
      <c r="J21" s="19">
        <f>IF(H$12=0,0,H21/H$12)</f>
        <v>0.57410581964971408</v>
      </c>
      <c r="K21" s="15"/>
      <c r="L21" s="20">
        <f>+D21-H21</f>
        <v>33000.049999999988</v>
      </c>
      <c r="M21" s="15"/>
      <c r="N21" s="19">
        <f>IF(H21=0,0,L21/H21)</f>
        <v>0.33799973697514851</v>
      </c>
      <c r="O21" s="25"/>
      <c r="P21" s="20">
        <f>P12-P17</f>
        <v>269933.70999999996</v>
      </c>
      <c r="Q21" s="13"/>
      <c r="R21" s="19">
        <f>IF(P$12=0,0,P21/P$12)</f>
        <v>0.67230270236667067</v>
      </c>
      <c r="S21" s="13"/>
      <c r="T21" s="20">
        <f>T12-T17</f>
        <v>244159.50000000003</v>
      </c>
      <c r="U21" s="13"/>
      <c r="V21" s="19">
        <f>IF(T$12=0,0,T21/T$12)</f>
        <v>0.62307030207768699</v>
      </c>
      <c r="W21" s="15"/>
      <c r="X21" s="20">
        <f>+P21-T21</f>
        <v>25774.209999999934</v>
      </c>
      <c r="Y21" s="15"/>
      <c r="Z21" s="19">
        <f>IF(T21=0,0,X21/T21)</f>
        <v>0.10556300287312159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2">
        <f>SUM(OSRRefD22x_0)</f>
        <v>138560.36999999997</v>
      </c>
      <c r="E23" s="22"/>
      <c r="F23" s="33">
        <f t="shared" ref="F23:F33" si="12">IF(D$12=0,0,D23/D$12)</f>
        <v>0.74796901529353932</v>
      </c>
      <c r="G23" s="22"/>
      <c r="H23" s="22">
        <f>SUM(OSRRefH22x_0)</f>
        <v>138741.54999999996</v>
      </c>
      <c r="I23" s="22"/>
      <c r="J23" s="33">
        <f t="shared" ref="J23:J33" si="13">IF(H$12=0,0,H23/H$12)</f>
        <v>0.81583109791798369</v>
      </c>
      <c r="K23" s="4"/>
      <c r="L23" s="22">
        <f t="shared" ref="L23:L33" si="14">+D23-H23</f>
        <v>-181.17999999999302</v>
      </c>
      <c r="M23" s="4"/>
      <c r="N23" s="33">
        <f t="shared" ref="N23:N33" si="15">IF(H23=0,0,L23/H23)</f>
        <v>-1.3058813311512885E-3</v>
      </c>
      <c r="O23" s="10"/>
      <c r="P23" s="22">
        <f>SUM(OSRRefP22x_0)</f>
        <v>291829.07000000007</v>
      </c>
      <c r="Q23" s="22"/>
      <c r="R23" s="33">
        <f t="shared" ref="R23:R33" si="16">IF(P$12=0,0,P23/P$12)</f>
        <v>0.72683575678692514</v>
      </c>
      <c r="S23" s="22"/>
      <c r="T23" s="22">
        <f>SUM(OSRRefT22x_0)</f>
        <v>276563.68000000005</v>
      </c>
      <c r="U23" s="22"/>
      <c r="V23" s="33">
        <f t="shared" ref="V23:V33" si="17">IF(T$12=0,0,T23/T$12)</f>
        <v>0.70576248575753464</v>
      </c>
      <c r="W23" s="4"/>
      <c r="X23" s="22">
        <f t="shared" ref="X23:X33" si="18">+P23-T23</f>
        <v>15265.390000000014</v>
      </c>
      <c r="Y23" s="4"/>
      <c r="Z23" s="33">
        <f t="shared" ref="Z23:Z33" si="19">IF(T23=0,0,X23/T23)</f>
        <v>5.5196654889752735E-2</v>
      </c>
    </row>
    <row r="24" spans="1:26" s="27" customFormat="1" outlineLevel="1" collapsed="1" x14ac:dyDescent="0.25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31822.109999999997</v>
      </c>
      <c r="E24" s="1"/>
      <c r="F24" s="5">
        <f t="shared" si="12"/>
        <v>0.17178037472953267</v>
      </c>
      <c r="G24" s="1"/>
      <c r="H24" s="1">
        <f>SUM(OSRRefH22_0x_0)</f>
        <v>31647.05</v>
      </c>
      <c r="I24" s="1"/>
      <c r="J24" s="5">
        <f t="shared" si="13"/>
        <v>0.18609167583442257</v>
      </c>
      <c r="K24" s="1"/>
      <c r="L24" s="1">
        <f t="shared" si="14"/>
        <v>175.05999999999767</v>
      </c>
      <c r="M24" s="1"/>
      <c r="N24" s="5">
        <f t="shared" si="15"/>
        <v>5.5316372300103066E-3</v>
      </c>
      <c r="O24" s="14"/>
      <c r="P24" s="1">
        <f>SUM(OSRRefP22_0x_0)</f>
        <v>66991.350000000006</v>
      </c>
      <c r="Q24" s="1"/>
      <c r="R24" s="5">
        <f t="shared" si="16"/>
        <v>0.16685009678928756</v>
      </c>
      <c r="S24" s="1"/>
      <c r="T24" s="1">
        <f>SUM(OSRRefT22_0x_0)</f>
        <v>55138.640000000007</v>
      </c>
      <c r="U24" s="1"/>
      <c r="V24" s="5">
        <f t="shared" si="17"/>
        <v>0.14070822180153891</v>
      </c>
      <c r="W24" s="1"/>
      <c r="X24" s="1">
        <f t="shared" si="18"/>
        <v>11852.71</v>
      </c>
      <c r="Y24" s="1"/>
      <c r="Z24" s="5">
        <f t="shared" si="19"/>
        <v>0.21496195771241361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7">
        <v>5021.96</v>
      </c>
      <c r="E25" s="2"/>
      <c r="F25" s="6">
        <f t="shared" si="12"/>
        <v>2.7109269959682873E-2</v>
      </c>
      <c r="G25" s="2"/>
      <c r="H25" s="7">
        <v>5205.33</v>
      </c>
      <c r="I25" s="2"/>
      <c r="J25" s="6">
        <f t="shared" si="13"/>
        <v>3.0608495356476983E-2</v>
      </c>
      <c r="K25" s="2"/>
      <c r="L25" s="7">
        <f t="shared" si="14"/>
        <v>-183.36999999999989</v>
      </c>
      <c r="M25" s="2"/>
      <c r="N25" s="6">
        <f t="shared" si="15"/>
        <v>-3.5227353501122868E-2</v>
      </c>
      <c r="O25" s="11"/>
      <c r="P25" s="7">
        <v>10131.61</v>
      </c>
      <c r="Q25" s="2"/>
      <c r="R25" s="6">
        <f t="shared" si="16"/>
        <v>2.523400572060891E-2</v>
      </c>
      <c r="S25" s="2"/>
      <c r="T25" s="7">
        <v>9820.7800000000007</v>
      </c>
      <c r="U25" s="2"/>
      <c r="V25" s="6">
        <f t="shared" si="17"/>
        <v>2.506163537047916E-2</v>
      </c>
      <c r="W25" s="2"/>
      <c r="X25" s="7">
        <f t="shared" si="18"/>
        <v>310.82999999999993</v>
      </c>
      <c r="Y25" s="2"/>
      <c r="Z25" s="6">
        <f t="shared" si="19"/>
        <v>3.1650235521007486E-2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>
        <v>2731.16</v>
      </c>
      <c r="E26" s="2"/>
      <c r="F26" s="6">
        <f t="shared" si="12"/>
        <v>1.4743198620277237E-2</v>
      </c>
      <c r="G26" s="2"/>
      <c r="H26" s="7">
        <v>2520.48</v>
      </c>
      <c r="I26" s="2"/>
      <c r="J26" s="6">
        <f t="shared" si="13"/>
        <v>1.4820981643064533E-2</v>
      </c>
      <c r="K26" s="2"/>
      <c r="L26" s="7">
        <f t="shared" si="14"/>
        <v>210.67999999999984</v>
      </c>
      <c r="M26" s="2"/>
      <c r="N26" s="6">
        <f t="shared" si="15"/>
        <v>8.3587253221608523E-2</v>
      </c>
      <c r="O26" s="11"/>
      <c r="P26" s="7">
        <v>5430.76</v>
      </c>
      <c r="Q26" s="2"/>
      <c r="R26" s="6">
        <f t="shared" si="16"/>
        <v>1.352596763073727E-2</v>
      </c>
      <c r="S26" s="2"/>
      <c r="T26" s="7">
        <v>5615.85</v>
      </c>
      <c r="U26" s="2"/>
      <c r="V26" s="6">
        <f t="shared" si="17"/>
        <v>1.4331080117394484E-2</v>
      </c>
      <c r="W26" s="2"/>
      <c r="X26" s="7">
        <f t="shared" si="18"/>
        <v>-185.09000000000015</v>
      </c>
      <c r="Y26" s="2"/>
      <c r="Z26" s="6">
        <f t="shared" si="19"/>
        <v>-3.2958501384474322E-2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7">
        <v>16686.48</v>
      </c>
      <c r="E27" s="2"/>
      <c r="F27" s="6">
        <f t="shared" si="12"/>
        <v>9.0076044213185491E-2</v>
      </c>
      <c r="G27" s="2"/>
      <c r="H27" s="7">
        <v>16500.550000000003</v>
      </c>
      <c r="I27" s="2"/>
      <c r="J27" s="6">
        <f t="shared" si="13"/>
        <v>9.702689513523953E-2</v>
      </c>
      <c r="K27" s="2"/>
      <c r="L27" s="7">
        <f t="shared" si="14"/>
        <v>185.92999999999665</v>
      </c>
      <c r="M27" s="2"/>
      <c r="N27" s="6">
        <f t="shared" si="15"/>
        <v>1.1268109244843149E-2</v>
      </c>
      <c r="O27" s="11"/>
      <c r="P27" s="7">
        <v>33372.959999999999</v>
      </c>
      <c r="Q27" s="2"/>
      <c r="R27" s="6">
        <f t="shared" si="16"/>
        <v>8.3119411776968535E-2</v>
      </c>
      <c r="S27" s="2"/>
      <c r="T27" s="7">
        <v>22760.75</v>
      </c>
      <c r="U27" s="2"/>
      <c r="V27" s="6">
        <f t="shared" si="17"/>
        <v>5.808312753759208E-2</v>
      </c>
      <c r="W27" s="2"/>
      <c r="X27" s="7">
        <f t="shared" si="18"/>
        <v>10612.21</v>
      </c>
      <c r="Y27" s="2"/>
      <c r="Z27" s="6">
        <f t="shared" si="19"/>
        <v>0.46625045308260926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183</v>
      </c>
      <c r="E28" s="2"/>
      <c r="F28" s="6">
        <f t="shared" si="12"/>
        <v>9.878605967833208E-4</v>
      </c>
      <c r="G28" s="2"/>
      <c r="H28" s="7">
        <v>187.23</v>
      </c>
      <c r="I28" s="2"/>
      <c r="J28" s="6">
        <f t="shared" si="13"/>
        <v>1.1009539425153037E-3</v>
      </c>
      <c r="K28" s="2"/>
      <c r="L28" s="7">
        <f t="shared" si="14"/>
        <v>-4.2299999999999898</v>
      </c>
      <c r="M28" s="2"/>
      <c r="N28" s="6">
        <f t="shared" si="15"/>
        <v>-2.2592533247876891E-2</v>
      </c>
      <c r="O28" s="11"/>
      <c r="P28" s="7">
        <v>363.9</v>
      </c>
      <c r="Q28" s="2"/>
      <c r="R28" s="6">
        <f t="shared" si="16"/>
        <v>9.0633716474771342E-4</v>
      </c>
      <c r="S28" s="2"/>
      <c r="T28" s="7">
        <v>417.16</v>
      </c>
      <c r="U28" s="2"/>
      <c r="V28" s="6">
        <f t="shared" si="17"/>
        <v>1.0645500470582872E-3</v>
      </c>
      <c r="W28" s="2"/>
      <c r="X28" s="7">
        <f t="shared" si="18"/>
        <v>-53.260000000000048</v>
      </c>
      <c r="Y28" s="2"/>
      <c r="Z28" s="6">
        <f t="shared" si="19"/>
        <v>-0.12767283536293039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7">
        <v>1216.6600000000001</v>
      </c>
      <c r="E29" s="2"/>
      <c r="F29" s="6">
        <f t="shared" si="12"/>
        <v>6.5677075064611758E-3</v>
      </c>
      <c r="G29" s="2"/>
      <c r="H29" s="7">
        <v>956.85</v>
      </c>
      <c r="I29" s="2"/>
      <c r="J29" s="6">
        <f t="shared" si="13"/>
        <v>5.6264903054839945E-3</v>
      </c>
      <c r="K29" s="2"/>
      <c r="L29" s="7">
        <f t="shared" si="14"/>
        <v>259.81000000000006</v>
      </c>
      <c r="M29" s="2"/>
      <c r="N29" s="6">
        <f t="shared" si="15"/>
        <v>0.27152636254376344</v>
      </c>
      <c r="O29" s="11"/>
      <c r="P29" s="7">
        <v>2433.3200000000002</v>
      </c>
      <c r="Q29" s="2"/>
      <c r="R29" s="6">
        <f t="shared" si="16"/>
        <v>6.0604791143828145E-3</v>
      </c>
      <c r="S29" s="2"/>
      <c r="T29" s="7">
        <v>2143.64</v>
      </c>
      <c r="U29" s="2"/>
      <c r="V29" s="6">
        <f t="shared" si="17"/>
        <v>5.4703520540704447E-3</v>
      </c>
      <c r="W29" s="2"/>
      <c r="X29" s="7">
        <f t="shared" si="18"/>
        <v>289.68000000000029</v>
      </c>
      <c r="Y29" s="2"/>
      <c r="Z29" s="6">
        <f t="shared" si="19"/>
        <v>0.13513463081487578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7">
        <v>593.1</v>
      </c>
      <c r="E30" s="2"/>
      <c r="F30" s="6">
        <f t="shared" si="12"/>
        <v>3.2016399997387298E-3</v>
      </c>
      <c r="G30" s="2"/>
      <c r="H30" s="7">
        <v>692.55</v>
      </c>
      <c r="I30" s="2"/>
      <c r="J30" s="6">
        <f t="shared" si="13"/>
        <v>4.0723476627088258E-3</v>
      </c>
      <c r="K30" s="2"/>
      <c r="L30" s="7">
        <f t="shared" si="14"/>
        <v>-99.449999999999932</v>
      </c>
      <c r="M30" s="2"/>
      <c r="N30" s="6">
        <f t="shared" si="15"/>
        <v>-0.14359974009096807</v>
      </c>
      <c r="O30" s="11"/>
      <c r="P30" s="7">
        <v>1270.56</v>
      </c>
      <c r="Q30" s="2"/>
      <c r="R30" s="6">
        <f t="shared" si="16"/>
        <v>3.1644840561743741E-3</v>
      </c>
      <c r="S30" s="2"/>
      <c r="T30" s="7">
        <v>1248.5</v>
      </c>
      <c r="U30" s="2"/>
      <c r="V30" s="6">
        <f t="shared" si="17"/>
        <v>3.1860454831533981E-3</v>
      </c>
      <c r="W30" s="2"/>
      <c r="X30" s="7">
        <f t="shared" si="18"/>
        <v>22.059999999999945</v>
      </c>
      <c r="Y30" s="2"/>
      <c r="Z30" s="6">
        <f t="shared" si="19"/>
        <v>1.766920304365234E-2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7">
        <v>2637.87</v>
      </c>
      <c r="E31" s="2"/>
      <c r="F31" s="6">
        <f t="shared" si="12"/>
        <v>1.4239605641731247E-2</v>
      </c>
      <c r="G31" s="2"/>
      <c r="H31" s="7">
        <v>2670.76</v>
      </c>
      <c r="I31" s="2"/>
      <c r="J31" s="6">
        <f t="shared" si="13"/>
        <v>1.5704661387129053E-2</v>
      </c>
      <c r="K31" s="2"/>
      <c r="L31" s="7">
        <f t="shared" si="14"/>
        <v>-32.890000000000327</v>
      </c>
      <c r="M31" s="2"/>
      <c r="N31" s="6">
        <f t="shared" si="15"/>
        <v>-1.2314846710299811E-2</v>
      </c>
      <c r="O31" s="11"/>
      <c r="P31" s="7">
        <v>6093.25</v>
      </c>
      <c r="Q31" s="2"/>
      <c r="R31" s="6">
        <f t="shared" si="16"/>
        <v>1.5175979469906582E-2</v>
      </c>
      <c r="S31" s="2"/>
      <c r="T31" s="7">
        <v>5703.35</v>
      </c>
      <c r="U31" s="2"/>
      <c r="V31" s="6">
        <f t="shared" si="17"/>
        <v>1.4554371250575038E-2</v>
      </c>
      <c r="W31" s="2"/>
      <c r="X31" s="7">
        <f t="shared" si="18"/>
        <v>389.89999999999964</v>
      </c>
      <c r="Y31" s="2"/>
      <c r="Z31" s="6">
        <f t="shared" si="19"/>
        <v>6.8363330323406357E-2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7">
        <v>1637.04</v>
      </c>
      <c r="E32" s="2"/>
      <c r="F32" s="6">
        <f t="shared" si="12"/>
        <v>8.836979843487254E-3</v>
      </c>
      <c r="G32" s="2"/>
      <c r="H32" s="7">
        <v>1642.76</v>
      </c>
      <c r="I32" s="2"/>
      <c r="J32" s="6">
        <f t="shared" si="13"/>
        <v>9.6597932949123548E-3</v>
      </c>
      <c r="K32" s="2"/>
      <c r="L32" s="7">
        <f t="shared" si="14"/>
        <v>-5.7200000000000273</v>
      </c>
      <c r="M32" s="2"/>
      <c r="N32" s="6">
        <f t="shared" si="15"/>
        <v>-3.4819450193576832E-3</v>
      </c>
      <c r="O32" s="11"/>
      <c r="P32" s="7">
        <v>5366.33</v>
      </c>
      <c r="Q32" s="2"/>
      <c r="R32" s="6">
        <f t="shared" si="16"/>
        <v>1.3365496887333326E-2</v>
      </c>
      <c r="S32" s="2"/>
      <c r="T32" s="7">
        <v>4931.37</v>
      </c>
      <c r="U32" s="2"/>
      <c r="V32" s="6">
        <f t="shared" si="17"/>
        <v>1.2584356519229614E-2</v>
      </c>
      <c r="W32" s="2"/>
      <c r="X32" s="7">
        <f t="shared" si="18"/>
        <v>434.96000000000004</v>
      </c>
      <c r="Y32" s="2"/>
      <c r="Z32" s="6">
        <f t="shared" si="19"/>
        <v>8.8202669846310464E-2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7">
        <v>1114.8399999999999</v>
      </c>
      <c r="E33" s="2"/>
      <c r="F33" s="6">
        <f t="shared" si="12"/>
        <v>6.0180683481853405E-3</v>
      </c>
      <c r="G33" s="2"/>
      <c r="H33" s="7">
        <v>1270.54</v>
      </c>
      <c r="I33" s="2"/>
      <c r="J33" s="6">
        <f t="shared" si="13"/>
        <v>7.4710571068920253E-3</v>
      </c>
      <c r="K33" s="2"/>
      <c r="L33" s="7">
        <f t="shared" si="14"/>
        <v>-155.70000000000005</v>
      </c>
      <c r="M33" s="2"/>
      <c r="N33" s="6">
        <f t="shared" si="15"/>
        <v>-0.1225463188880319</v>
      </c>
      <c r="O33" s="11"/>
      <c r="P33" s="7">
        <v>2528.66</v>
      </c>
      <c r="Q33" s="2"/>
      <c r="R33" s="6">
        <f t="shared" si="16"/>
        <v>6.2979349684280104E-3</v>
      </c>
      <c r="S33" s="2"/>
      <c r="T33" s="7">
        <v>2497.2399999999998</v>
      </c>
      <c r="U33" s="2"/>
      <c r="V33" s="6">
        <f t="shared" si="17"/>
        <v>6.3727034219863768E-3</v>
      </c>
      <c r="W33" s="2"/>
      <c r="X33" s="7">
        <f t="shared" si="18"/>
        <v>31.420000000000073</v>
      </c>
      <c r="Y33" s="2"/>
      <c r="Z33" s="6">
        <f t="shared" si="19"/>
        <v>1.2581890407009369E-2</v>
      </c>
    </row>
    <row r="34" spans="1:26" s="27" customFormat="1" outlineLevel="1" collapsed="1" x14ac:dyDescent="0.25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72770.200000000012</v>
      </c>
      <c r="E34" s="1"/>
      <c r="F34" s="5">
        <f t="shared" ref="F34:F40" si="20">IF(D$12=0,0,D34/D$12)</f>
        <v>0.39282411584722199</v>
      </c>
      <c r="G34" s="1"/>
      <c r="H34" s="1">
        <f>SUM(OSRRefH22_1x_0)</f>
        <v>76309.77</v>
      </c>
      <c r="I34" s="1"/>
      <c r="J34" s="5">
        <f t="shared" ref="J34:J40" si="21">IF(H$12=0,0,H34/H$12)</f>
        <v>0.44871837918034529</v>
      </c>
      <c r="K34" s="1"/>
      <c r="L34" s="1">
        <f t="shared" ref="L34:L40" si="22">+D34-H34</f>
        <v>-3539.5699999999924</v>
      </c>
      <c r="M34" s="1"/>
      <c r="N34" s="5">
        <f t="shared" ref="N34:N40" si="23">IF(H34=0,0,L34/H34)</f>
        <v>-4.6384231010000325E-2</v>
      </c>
      <c r="O34" s="14"/>
      <c r="P34" s="1">
        <f>SUM(OSRRefP22_1x_0)</f>
        <v>157079.34</v>
      </c>
      <c r="Q34" s="1"/>
      <c r="R34" s="5">
        <f t="shared" ref="R34:R40" si="24">IF(P$12=0,0,P34/P$12)</f>
        <v>0.39122518179731269</v>
      </c>
      <c r="S34" s="1"/>
      <c r="T34" s="1">
        <f>SUM(OSRRefT22_1x_0)</f>
        <v>151673.51</v>
      </c>
      <c r="U34" s="1"/>
      <c r="V34" s="5">
        <f t="shared" ref="V34:V40" si="25">IF(T$12=0,0,T34/T$12)</f>
        <v>0.38705542767282486</v>
      </c>
      <c r="W34" s="1"/>
      <c r="X34" s="1">
        <f t="shared" ref="X34:X40" si="26">+P34-T34</f>
        <v>5405.8299999999872</v>
      </c>
      <c r="Y34" s="1"/>
      <c r="Z34" s="5">
        <f t="shared" ref="Z34:Z40" si="27">IF(T34=0,0,X34/T34)</f>
        <v>3.5641227001339829E-2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7">
        <v>14021.36</v>
      </c>
      <c r="E35" s="2"/>
      <c r="F35" s="6">
        <f t="shared" si="20"/>
        <v>7.5689339111004283E-2</v>
      </c>
      <c r="G35" s="2"/>
      <c r="H35" s="7">
        <v>11202.72</v>
      </c>
      <c r="I35" s="2"/>
      <c r="J35" s="6">
        <f t="shared" si="21"/>
        <v>6.5874479254900614E-2</v>
      </c>
      <c r="K35" s="2"/>
      <c r="L35" s="7">
        <f t="shared" si="22"/>
        <v>2818.6400000000012</v>
      </c>
      <c r="M35" s="2"/>
      <c r="N35" s="6">
        <f t="shared" si="23"/>
        <v>0.25160318208435106</v>
      </c>
      <c r="O35" s="11"/>
      <c r="P35" s="7">
        <v>32301.779999999995</v>
      </c>
      <c r="Q35" s="2"/>
      <c r="R35" s="6">
        <f t="shared" si="24"/>
        <v>8.0451507835956004E-2</v>
      </c>
      <c r="S35" s="2"/>
      <c r="T35" s="7">
        <v>26514.94</v>
      </c>
      <c r="U35" s="2"/>
      <c r="V35" s="6">
        <f t="shared" si="25"/>
        <v>6.7663439986450427E-2</v>
      </c>
      <c r="W35" s="2"/>
      <c r="X35" s="7">
        <f t="shared" si="26"/>
        <v>5786.8399999999965</v>
      </c>
      <c r="Y35" s="2"/>
      <c r="Z35" s="6">
        <f t="shared" si="27"/>
        <v>0.21824827814055006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7">
        <v>13780.45</v>
      </c>
      <c r="E36" s="2"/>
      <c r="F36" s="6">
        <f t="shared" si="20"/>
        <v>7.4388871917719743E-2</v>
      </c>
      <c r="G36" s="2"/>
      <c r="H36" s="7">
        <v>18312.59</v>
      </c>
      <c r="I36" s="2"/>
      <c r="J36" s="6">
        <f t="shared" si="21"/>
        <v>0.10768209238992855</v>
      </c>
      <c r="K36" s="2"/>
      <c r="L36" s="7">
        <f t="shared" si="22"/>
        <v>-4532.1399999999994</v>
      </c>
      <c r="M36" s="2"/>
      <c r="N36" s="6">
        <f t="shared" si="23"/>
        <v>-0.24748765739854381</v>
      </c>
      <c r="O36" s="11"/>
      <c r="P36" s="7">
        <v>32184.52</v>
      </c>
      <c r="Q36" s="2"/>
      <c r="R36" s="6">
        <f t="shared" si="24"/>
        <v>8.0159457558576744E-2</v>
      </c>
      <c r="S36" s="2"/>
      <c r="T36" s="7">
        <v>34816.199999999997</v>
      </c>
      <c r="U36" s="2"/>
      <c r="V36" s="6">
        <f t="shared" si="25"/>
        <v>8.8847414297609395E-2</v>
      </c>
      <c r="W36" s="2"/>
      <c r="X36" s="7">
        <f t="shared" si="26"/>
        <v>-2631.6799999999967</v>
      </c>
      <c r="Y36" s="2"/>
      <c r="Z36" s="6">
        <f t="shared" si="27"/>
        <v>-7.5587801081105827E-2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>
        <v>14670.57</v>
      </c>
      <c r="E37" s="2"/>
      <c r="F37" s="6">
        <f t="shared" si="20"/>
        <v>7.9193869045636509E-2</v>
      </c>
      <c r="G37" s="2"/>
      <c r="H37" s="7">
        <v>15801.270000000002</v>
      </c>
      <c r="I37" s="2"/>
      <c r="J37" s="6">
        <f t="shared" si="21"/>
        <v>9.2914973579281065E-2</v>
      </c>
      <c r="K37" s="2"/>
      <c r="L37" s="7">
        <f t="shared" si="22"/>
        <v>-1130.7000000000025</v>
      </c>
      <c r="M37" s="2"/>
      <c r="N37" s="6">
        <f t="shared" si="23"/>
        <v>-7.1557539362342548E-2</v>
      </c>
      <c r="O37" s="11"/>
      <c r="P37" s="7">
        <v>32867.08</v>
      </c>
      <c r="Q37" s="2"/>
      <c r="R37" s="6">
        <f t="shared" si="24"/>
        <v>8.1859456171300582E-2</v>
      </c>
      <c r="S37" s="2"/>
      <c r="T37" s="7">
        <v>31276.16</v>
      </c>
      <c r="U37" s="2"/>
      <c r="V37" s="6">
        <f t="shared" si="25"/>
        <v>7.9813590947843807E-2</v>
      </c>
      <c r="W37" s="2"/>
      <c r="X37" s="7">
        <f t="shared" si="26"/>
        <v>1590.9200000000019</v>
      </c>
      <c r="Y37" s="2"/>
      <c r="Z37" s="6">
        <f t="shared" si="27"/>
        <v>5.0866858335550207E-2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>
        <v>1971</v>
      </c>
      <c r="E38" s="2"/>
      <c r="F38" s="6">
        <f t="shared" si="20"/>
        <v>1.0639744460436751E-2</v>
      </c>
      <c r="G38" s="2"/>
      <c r="H38" s="7">
        <v>1229.69</v>
      </c>
      <c r="I38" s="2"/>
      <c r="J38" s="6">
        <f t="shared" si="21"/>
        <v>7.2308500431108461E-3</v>
      </c>
      <c r="K38" s="2"/>
      <c r="L38" s="7">
        <f t="shared" si="22"/>
        <v>741.31</v>
      </c>
      <c r="M38" s="2"/>
      <c r="N38" s="6">
        <f t="shared" si="23"/>
        <v>0.60284299294944244</v>
      </c>
      <c r="O38" s="11"/>
      <c r="P38" s="7">
        <v>4422</v>
      </c>
      <c r="Q38" s="2"/>
      <c r="R38" s="6">
        <f t="shared" si="24"/>
        <v>1.1013528283908735E-2</v>
      </c>
      <c r="S38" s="2"/>
      <c r="T38" s="7">
        <v>3638.5</v>
      </c>
      <c r="U38" s="2"/>
      <c r="V38" s="6">
        <f t="shared" si="25"/>
        <v>9.2850832923136884E-3</v>
      </c>
      <c r="W38" s="2"/>
      <c r="X38" s="7">
        <f t="shared" si="26"/>
        <v>783.5</v>
      </c>
      <c r="Y38" s="2"/>
      <c r="Z38" s="6">
        <f t="shared" si="27"/>
        <v>0.21533599010581284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>
        <v>22635.82</v>
      </c>
      <c r="E39" s="2"/>
      <c r="F39" s="6">
        <f t="shared" si="20"/>
        <v>0.12219144619606463</v>
      </c>
      <c r="G39" s="2"/>
      <c r="H39" s="7">
        <v>25718.25</v>
      </c>
      <c r="I39" s="2"/>
      <c r="J39" s="6">
        <f t="shared" si="21"/>
        <v>0.15122901635471991</v>
      </c>
      <c r="K39" s="2"/>
      <c r="L39" s="7">
        <f t="shared" si="22"/>
        <v>-3082.4300000000003</v>
      </c>
      <c r="M39" s="2"/>
      <c r="N39" s="6">
        <f t="shared" si="23"/>
        <v>-0.1198538003168956</v>
      </c>
      <c r="O39" s="11"/>
      <c r="P39" s="7">
        <v>44518.96</v>
      </c>
      <c r="Q39" s="2"/>
      <c r="R39" s="6">
        <f t="shared" si="24"/>
        <v>0.11087987904346487</v>
      </c>
      <c r="S39" s="2"/>
      <c r="T39" s="7">
        <v>49996.460000000006</v>
      </c>
      <c r="U39" s="2"/>
      <c r="V39" s="6">
        <f t="shared" si="25"/>
        <v>0.12758589952475738</v>
      </c>
      <c r="W39" s="2"/>
      <c r="X39" s="7">
        <f t="shared" si="26"/>
        <v>-5477.5000000000073</v>
      </c>
      <c r="Y39" s="2"/>
      <c r="Z39" s="6">
        <f t="shared" si="27"/>
        <v>-0.10955775668917372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>
        <v>5691</v>
      </c>
      <c r="E40" s="2"/>
      <c r="F40" s="6">
        <f t="shared" si="20"/>
        <v>3.0720845116359991E-2</v>
      </c>
      <c r="G40" s="2"/>
      <c r="H40" s="7">
        <v>4045.25</v>
      </c>
      <c r="I40" s="2"/>
      <c r="J40" s="6">
        <f t="shared" si="21"/>
        <v>2.3786967558404273E-2</v>
      </c>
      <c r="K40" s="2"/>
      <c r="L40" s="7">
        <f t="shared" si="22"/>
        <v>1645.75</v>
      </c>
      <c r="M40" s="2"/>
      <c r="N40" s="6">
        <f t="shared" si="23"/>
        <v>0.40683517705951422</v>
      </c>
      <c r="O40" s="11"/>
      <c r="P40" s="7">
        <v>10785</v>
      </c>
      <c r="Q40" s="2"/>
      <c r="R40" s="6">
        <f t="shared" si="24"/>
        <v>2.6861352904105771E-2</v>
      </c>
      <c r="S40" s="2"/>
      <c r="T40" s="7">
        <v>5431.25</v>
      </c>
      <c r="U40" s="2"/>
      <c r="V40" s="6">
        <f t="shared" si="25"/>
        <v>1.3859999623850136E-2</v>
      </c>
      <c r="W40" s="2"/>
      <c r="X40" s="7">
        <f t="shared" si="26"/>
        <v>5353.75</v>
      </c>
      <c r="Y40" s="2"/>
      <c r="Z40" s="6">
        <f t="shared" si="27"/>
        <v>0.98573072497123126</v>
      </c>
    </row>
    <row r="41" spans="1:26" s="27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1717.46</v>
      </c>
      <c r="E41" s="1"/>
      <c r="F41" s="5">
        <f t="shared" ref="F41:F59" si="28">IF(D$12=0,0,D41/D$12)</f>
        <v>9.2710986915381533E-3</v>
      </c>
      <c r="G41" s="1"/>
      <c r="H41" s="1">
        <f>SUM(OSRRefH22_2x_0)</f>
        <v>609.09</v>
      </c>
      <c r="I41" s="1"/>
      <c r="J41" s="5">
        <f t="shared" ref="J41:J59" si="29">IF(H$12=0,0,H41/H$12)</f>
        <v>3.581584344638393E-3</v>
      </c>
      <c r="K41" s="1"/>
      <c r="L41" s="1">
        <f t="shared" ref="L41:L59" si="30">+D41-H41</f>
        <v>1108.3699999999999</v>
      </c>
      <c r="M41" s="1"/>
      <c r="N41" s="5">
        <f t="shared" ref="N41:N59" si="31">IF(H41=0,0,L41/H41)</f>
        <v>1.8197146562905315</v>
      </c>
      <c r="O41" s="14"/>
      <c r="P41" s="1">
        <f>SUM(OSRRefP22_2x_0)</f>
        <v>2140.15</v>
      </c>
      <c r="Q41" s="1"/>
      <c r="R41" s="5">
        <f t="shared" ref="R41:R59" si="32">IF(P$12=0,0,P41/P$12)</f>
        <v>5.3303036085045868E-3</v>
      </c>
      <c r="S41" s="1"/>
      <c r="T41" s="1">
        <f>SUM(OSRRefT22_2x_0)</f>
        <v>1071.4100000000001</v>
      </c>
      <c r="U41" s="1"/>
      <c r="V41" s="5">
        <f t="shared" ref="V41:V59" si="33">IF(T$12=0,0,T41/T$12)</f>
        <v>2.7341297485826053E-3</v>
      </c>
      <c r="W41" s="1"/>
      <c r="X41" s="1">
        <f t="shared" ref="X41:X59" si="34">+P41-T41</f>
        <v>1068.74</v>
      </c>
      <c r="Y41" s="1"/>
      <c r="Z41" s="5">
        <f t="shared" ref="Z41:Z59" si="35">IF(T41=0,0,X41/T41)</f>
        <v>0.99750795680458459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>
        <v>1717.46</v>
      </c>
      <c r="E42" s="2"/>
      <c r="F42" s="6">
        <f t="shared" si="28"/>
        <v>9.2710986915381533E-3</v>
      </c>
      <c r="G42" s="2"/>
      <c r="H42" s="7">
        <v>609.09</v>
      </c>
      <c r="I42" s="2"/>
      <c r="J42" s="6">
        <f t="shared" si="29"/>
        <v>3.581584344638393E-3</v>
      </c>
      <c r="K42" s="2"/>
      <c r="L42" s="7">
        <f t="shared" si="30"/>
        <v>1108.3699999999999</v>
      </c>
      <c r="M42" s="2"/>
      <c r="N42" s="6">
        <f t="shared" si="31"/>
        <v>1.8197146562905315</v>
      </c>
      <c r="O42" s="11"/>
      <c r="P42" s="7">
        <v>2140.15</v>
      </c>
      <c r="Q42" s="2"/>
      <c r="R42" s="6">
        <f t="shared" si="32"/>
        <v>5.3303036085045868E-3</v>
      </c>
      <c r="S42" s="2"/>
      <c r="T42" s="7">
        <v>1071.4100000000001</v>
      </c>
      <c r="U42" s="2"/>
      <c r="V42" s="6">
        <f t="shared" si="33"/>
        <v>2.7341297485826053E-3</v>
      </c>
      <c r="W42" s="2"/>
      <c r="X42" s="7">
        <f t="shared" si="34"/>
        <v>1068.74</v>
      </c>
      <c r="Y42" s="2"/>
      <c r="Z42" s="6">
        <f t="shared" si="35"/>
        <v>0.99750795680458459</v>
      </c>
    </row>
    <row r="43" spans="1:26" s="27" customFormat="1" outlineLevel="1" collapsed="1" x14ac:dyDescent="0.25">
      <c r="A43" s="28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-16.84</v>
      </c>
      <c r="I43" s="1"/>
      <c r="J43" s="5">
        <f t="shared" si="29"/>
        <v>-9.9022936452265736E-5</v>
      </c>
      <c r="K43" s="1"/>
      <c r="L43" s="1">
        <f t="shared" si="30"/>
        <v>16.84</v>
      </c>
      <c r="M43" s="1"/>
      <c r="N43" s="5">
        <f t="shared" si="31"/>
        <v>-1</v>
      </c>
      <c r="O43" s="14"/>
      <c r="P43" s="1">
        <f>SUM(OSRRefP22_3x_0)</f>
        <v>-2</v>
      </c>
      <c r="Q43" s="1"/>
      <c r="R43" s="5">
        <f t="shared" si="32"/>
        <v>-4.9812430049338466E-6</v>
      </c>
      <c r="S43" s="1"/>
      <c r="T43" s="1">
        <f>SUM(OSRRefT22_3x_0)</f>
        <v>-16.89</v>
      </c>
      <c r="U43" s="1"/>
      <c r="V43" s="5">
        <f t="shared" si="33"/>
        <v>-4.3101568450509333E-5</v>
      </c>
      <c r="W43" s="1"/>
      <c r="X43" s="1">
        <f t="shared" si="34"/>
        <v>14.89</v>
      </c>
      <c r="Y43" s="1"/>
      <c r="Z43" s="5">
        <f t="shared" si="35"/>
        <v>-0.88158673771462404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28"/>
        <v>0</v>
      </c>
      <c r="G44" s="2"/>
      <c r="H44" s="7">
        <v>-16.84</v>
      </c>
      <c r="I44" s="2"/>
      <c r="J44" s="6">
        <f t="shared" si="29"/>
        <v>-9.9022936452265736E-5</v>
      </c>
      <c r="K44" s="2"/>
      <c r="L44" s="7">
        <f t="shared" si="30"/>
        <v>16.84</v>
      </c>
      <c r="M44" s="2"/>
      <c r="N44" s="6">
        <f t="shared" si="31"/>
        <v>-1</v>
      </c>
      <c r="O44" s="11"/>
      <c r="P44" s="7">
        <v>-2</v>
      </c>
      <c r="Q44" s="2"/>
      <c r="R44" s="6">
        <f t="shared" si="32"/>
        <v>-4.9812430049338466E-6</v>
      </c>
      <c r="S44" s="2"/>
      <c r="T44" s="7">
        <v>-16.89</v>
      </c>
      <c r="U44" s="2"/>
      <c r="V44" s="6">
        <f t="shared" si="33"/>
        <v>-4.3101568450509333E-5</v>
      </c>
      <c r="W44" s="2"/>
      <c r="X44" s="7">
        <f t="shared" si="34"/>
        <v>14.89</v>
      </c>
      <c r="Y44" s="2"/>
      <c r="Z44" s="6">
        <f t="shared" si="35"/>
        <v>-0.88158673771462404</v>
      </c>
    </row>
    <row r="45" spans="1:26" s="27" customFormat="1" outlineLevel="1" collapsed="1" x14ac:dyDescent="0.25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73.760000000000005</v>
      </c>
      <c r="E45" s="1"/>
      <c r="F45" s="5">
        <f t="shared" si="28"/>
        <v>3.9816720010239207E-4</v>
      </c>
      <c r="G45" s="1"/>
      <c r="H45" s="1">
        <f>SUM(OSRRefH22_4x_0)</f>
        <v>88.04</v>
      </c>
      <c r="I45" s="1"/>
      <c r="J45" s="5">
        <f t="shared" si="29"/>
        <v>5.1769473427894751E-4</v>
      </c>
      <c r="K45" s="1"/>
      <c r="L45" s="1">
        <f t="shared" si="30"/>
        <v>-14.280000000000001</v>
      </c>
      <c r="M45" s="1"/>
      <c r="N45" s="5">
        <f t="shared" si="31"/>
        <v>-0.16219900045433894</v>
      </c>
      <c r="O45" s="14"/>
      <c r="P45" s="1">
        <f>SUM(OSRRefP22_4x_0)</f>
        <v>368.31</v>
      </c>
      <c r="Q45" s="1"/>
      <c r="R45" s="5">
        <f t="shared" si="32"/>
        <v>9.1732080557359254E-4</v>
      </c>
      <c r="S45" s="1"/>
      <c r="T45" s="1">
        <f>SUM(OSRRefT22_4x_0)</f>
        <v>454.6</v>
      </c>
      <c r="U45" s="1"/>
      <c r="V45" s="5">
        <f t="shared" si="33"/>
        <v>1.1600931330729154E-3</v>
      </c>
      <c r="W45" s="1"/>
      <c r="X45" s="1">
        <f t="shared" si="34"/>
        <v>-86.29000000000002</v>
      </c>
      <c r="Y45" s="1"/>
      <c r="Z45" s="5">
        <f t="shared" si="35"/>
        <v>-0.18981522217333924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7">
        <v>73.760000000000005</v>
      </c>
      <c r="E46" s="2"/>
      <c r="F46" s="6">
        <f t="shared" si="28"/>
        <v>3.9816720010239207E-4</v>
      </c>
      <c r="G46" s="2"/>
      <c r="H46" s="7">
        <v>88.04</v>
      </c>
      <c r="I46" s="2"/>
      <c r="J46" s="6">
        <f t="shared" si="29"/>
        <v>5.1769473427894751E-4</v>
      </c>
      <c r="K46" s="2"/>
      <c r="L46" s="7">
        <f t="shared" si="30"/>
        <v>-14.280000000000001</v>
      </c>
      <c r="M46" s="2"/>
      <c r="N46" s="6">
        <f t="shared" si="31"/>
        <v>-0.16219900045433894</v>
      </c>
      <c r="O46" s="11"/>
      <c r="P46" s="7">
        <v>368.31</v>
      </c>
      <c r="Q46" s="2"/>
      <c r="R46" s="6">
        <f t="shared" si="32"/>
        <v>9.1732080557359254E-4</v>
      </c>
      <c r="S46" s="2"/>
      <c r="T46" s="7">
        <v>454.6</v>
      </c>
      <c r="U46" s="2"/>
      <c r="V46" s="6">
        <f t="shared" si="33"/>
        <v>1.1600931330729154E-3</v>
      </c>
      <c r="W46" s="2"/>
      <c r="X46" s="7">
        <f t="shared" si="34"/>
        <v>-86.29000000000002</v>
      </c>
      <c r="Y46" s="2"/>
      <c r="Z46" s="6">
        <f t="shared" si="35"/>
        <v>-0.18981522217333924</v>
      </c>
    </row>
    <row r="47" spans="1:26" s="27" customFormat="1" outlineLevel="1" collapsed="1" x14ac:dyDescent="0.25">
      <c r="A47" s="28"/>
      <c r="B47" s="14" t="str">
        <f>CONCATENATE("     ","Donations                                         ")</f>
        <v xml:space="preserve">     Donations                                         </v>
      </c>
      <c r="C47" s="14"/>
      <c r="D47" s="1">
        <f>SUM(OSRRefD22_5x_0)</f>
        <v>2057.67</v>
      </c>
      <c r="E47" s="1"/>
      <c r="F47" s="5">
        <f t="shared" si="28"/>
        <v>1.1107601716847736E-2</v>
      </c>
      <c r="G47" s="1"/>
      <c r="H47" s="1">
        <f>SUM(OSRRefH22_5x_0)</f>
        <v>2585.37</v>
      </c>
      <c r="I47" s="1"/>
      <c r="J47" s="5">
        <f t="shared" si="29"/>
        <v>1.5202549240831012E-2</v>
      </c>
      <c r="K47" s="1"/>
      <c r="L47" s="1">
        <f t="shared" si="30"/>
        <v>-527.69999999999982</v>
      </c>
      <c r="M47" s="1"/>
      <c r="N47" s="5">
        <f t="shared" si="31"/>
        <v>-0.20411005001218388</v>
      </c>
      <c r="O47" s="14"/>
      <c r="P47" s="1">
        <f>SUM(OSRRefP22_5x_0)</f>
        <v>2057.67</v>
      </c>
      <c r="Q47" s="1"/>
      <c r="R47" s="5">
        <f t="shared" si="32"/>
        <v>5.1248771469811147E-3</v>
      </c>
      <c r="S47" s="1"/>
      <c r="T47" s="1">
        <f>SUM(OSRRefT22_5x_0)</f>
        <v>2585.37</v>
      </c>
      <c r="U47" s="1"/>
      <c r="V47" s="5">
        <f t="shared" si="33"/>
        <v>6.5976022513258318E-3</v>
      </c>
      <c r="W47" s="1"/>
      <c r="X47" s="1">
        <f t="shared" si="34"/>
        <v>-527.69999999999982</v>
      </c>
      <c r="Y47" s="1"/>
      <c r="Z47" s="5">
        <f t="shared" si="35"/>
        <v>-0.20411005001218388</v>
      </c>
    </row>
    <row r="48" spans="1:26" s="24" customFormat="1" hidden="1" outlineLevel="2" x14ac:dyDescent="0.25">
      <c r="A48" s="29"/>
      <c r="B48" s="11" t="str">
        <f>CONCATENATE("          ", "6399", " - ", "DONATION-ON CAMPUS")</f>
        <v xml:space="preserve">          6399 - DONATION-ON CAMPUS</v>
      </c>
      <c r="C48" s="11"/>
      <c r="D48" s="7">
        <v>2057.67</v>
      </c>
      <c r="E48" s="2"/>
      <c r="F48" s="6">
        <f t="shared" si="28"/>
        <v>1.1107601716847736E-2</v>
      </c>
      <c r="G48" s="2"/>
      <c r="H48" s="7">
        <v>2585.37</v>
      </c>
      <c r="I48" s="2"/>
      <c r="J48" s="6">
        <f t="shared" si="29"/>
        <v>1.5202549240831012E-2</v>
      </c>
      <c r="K48" s="2"/>
      <c r="L48" s="7">
        <f t="shared" si="30"/>
        <v>-527.69999999999982</v>
      </c>
      <c r="M48" s="2"/>
      <c r="N48" s="6">
        <f t="shared" si="31"/>
        <v>-0.20411005001218388</v>
      </c>
      <c r="O48" s="11"/>
      <c r="P48" s="7">
        <v>2057.67</v>
      </c>
      <c r="Q48" s="2"/>
      <c r="R48" s="6">
        <f t="shared" si="32"/>
        <v>5.1248771469811147E-3</v>
      </c>
      <c r="S48" s="2"/>
      <c r="T48" s="7">
        <v>2585.37</v>
      </c>
      <c r="U48" s="2"/>
      <c r="V48" s="6">
        <f t="shared" si="33"/>
        <v>6.5976022513258318E-3</v>
      </c>
      <c r="W48" s="2"/>
      <c r="X48" s="7">
        <f t="shared" si="34"/>
        <v>-527.69999999999982</v>
      </c>
      <c r="Y48" s="2"/>
      <c r="Z48" s="6">
        <f t="shared" si="35"/>
        <v>-0.20411005001218388</v>
      </c>
    </row>
    <row r="49" spans="1:26" s="27" customFormat="1" outlineLevel="1" collapsed="1" x14ac:dyDescent="0.25">
      <c r="A49" s="28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SUM(OSRRefD22_6x_0)</f>
        <v>113.06</v>
      </c>
      <c r="E49" s="1"/>
      <c r="F49" s="5">
        <f t="shared" si="28"/>
        <v>6.1031431187061336E-4</v>
      </c>
      <c r="G49" s="1"/>
      <c r="H49" s="1">
        <f>SUM(OSRRefH22_6x_0)</f>
        <v>65</v>
      </c>
      <c r="I49" s="1"/>
      <c r="J49" s="5">
        <f t="shared" si="29"/>
        <v>3.8221442217323471E-4</v>
      </c>
      <c r="K49" s="1"/>
      <c r="L49" s="1">
        <f t="shared" si="30"/>
        <v>48.06</v>
      </c>
      <c r="M49" s="1"/>
      <c r="N49" s="5">
        <f t="shared" si="31"/>
        <v>0.73938461538461542</v>
      </c>
      <c r="O49" s="14"/>
      <c r="P49" s="1">
        <f>SUM(OSRRefP22_6x_0)</f>
        <v>113.06</v>
      </c>
      <c r="Q49" s="1"/>
      <c r="R49" s="5">
        <f t="shared" si="32"/>
        <v>2.8158966706891037E-4</v>
      </c>
      <c r="S49" s="1"/>
      <c r="T49" s="1">
        <f>SUM(OSRRefT22_6x_0)</f>
        <v>65</v>
      </c>
      <c r="U49" s="1"/>
      <c r="V49" s="5">
        <f t="shared" si="33"/>
        <v>1.6587341321984051E-4</v>
      </c>
      <c r="W49" s="1"/>
      <c r="X49" s="1">
        <f t="shared" si="34"/>
        <v>48.06</v>
      </c>
      <c r="Y49" s="1"/>
      <c r="Z49" s="5">
        <f t="shared" si="35"/>
        <v>0.73938461538461542</v>
      </c>
    </row>
    <row r="50" spans="1:26" s="24" customFormat="1" hidden="1" outlineLevel="2" x14ac:dyDescent="0.25">
      <c r="A50" s="29"/>
      <c r="B50" s="11" t="str">
        <f>CONCATENATE("          ", "6277", " - ", "EMPLOYEE APPRECIATION")</f>
        <v xml:space="preserve">          6277 - EMPLOYEE APPRECIATION</v>
      </c>
      <c r="C50" s="11"/>
      <c r="D50" s="7">
        <v>113.06</v>
      </c>
      <c r="E50" s="2"/>
      <c r="F50" s="6">
        <f t="shared" si="28"/>
        <v>6.1031431187061336E-4</v>
      </c>
      <c r="G50" s="2"/>
      <c r="H50" s="7">
        <v>65</v>
      </c>
      <c r="I50" s="2"/>
      <c r="J50" s="6">
        <f t="shared" si="29"/>
        <v>3.8221442217323471E-4</v>
      </c>
      <c r="K50" s="2"/>
      <c r="L50" s="7">
        <f t="shared" si="30"/>
        <v>48.06</v>
      </c>
      <c r="M50" s="2"/>
      <c r="N50" s="6">
        <f t="shared" si="31"/>
        <v>0.73938461538461542</v>
      </c>
      <c r="O50" s="11"/>
      <c r="P50" s="7">
        <v>113.06</v>
      </c>
      <c r="Q50" s="2"/>
      <c r="R50" s="6">
        <f t="shared" si="32"/>
        <v>2.8158966706891037E-4</v>
      </c>
      <c r="S50" s="2"/>
      <c r="T50" s="7">
        <v>65</v>
      </c>
      <c r="U50" s="2"/>
      <c r="V50" s="6">
        <f t="shared" si="33"/>
        <v>1.6587341321984051E-4</v>
      </c>
      <c r="W50" s="2"/>
      <c r="X50" s="7">
        <f t="shared" si="34"/>
        <v>48.06</v>
      </c>
      <c r="Y50" s="2"/>
      <c r="Z50" s="6">
        <f t="shared" si="35"/>
        <v>0.73938461538461542</v>
      </c>
    </row>
    <row r="51" spans="1:26" s="27" customFormat="1" outlineLevel="1" collapsed="1" x14ac:dyDescent="0.25">
      <c r="A51" s="28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SUM(OSRRefD22_7x_0)</f>
        <v>900.45</v>
      </c>
      <c r="E51" s="1"/>
      <c r="F51" s="5">
        <f t="shared" si="28"/>
        <v>4.8607599692543236E-3</v>
      </c>
      <c r="G51" s="1"/>
      <c r="H51" s="1">
        <f>SUM(OSRRefH22_7x_0)</f>
        <v>230.06</v>
      </c>
      <c r="I51" s="1"/>
      <c r="J51" s="5">
        <f t="shared" si="29"/>
        <v>1.3528038456180674E-3</v>
      </c>
      <c r="K51" s="1"/>
      <c r="L51" s="1">
        <f t="shared" si="30"/>
        <v>670.3900000000001</v>
      </c>
      <c r="M51" s="1"/>
      <c r="N51" s="5">
        <f t="shared" si="31"/>
        <v>2.913978962009911</v>
      </c>
      <c r="O51" s="14"/>
      <c r="P51" s="1">
        <f>SUM(OSRRefP22_7x_0)</f>
        <v>1068.3</v>
      </c>
      <c r="Q51" s="1"/>
      <c r="R51" s="5">
        <f t="shared" si="32"/>
        <v>2.660730951085414E-3</v>
      </c>
      <c r="S51" s="1"/>
      <c r="T51" s="1">
        <f>SUM(OSRRefT22_7x_0)</f>
        <v>392.27</v>
      </c>
      <c r="U51" s="1"/>
      <c r="V51" s="5">
        <f t="shared" si="33"/>
        <v>1.0010332892884128E-3</v>
      </c>
      <c r="W51" s="1"/>
      <c r="X51" s="1">
        <f t="shared" si="34"/>
        <v>676.03</v>
      </c>
      <c r="Y51" s="1"/>
      <c r="Z51" s="5">
        <f t="shared" si="35"/>
        <v>1.7233793050704871</v>
      </c>
    </row>
    <row r="52" spans="1:26" s="24" customFormat="1" hidden="1" outlineLevel="2" x14ac:dyDescent="0.25">
      <c r="A52" s="29"/>
      <c r="B52" s="11" t="str">
        <f>CONCATENATE("          ", "6351", " - ", "EQUIPMENT RENTAL")</f>
        <v xml:space="preserve">          6351 - EQUIPMENT RENTAL</v>
      </c>
      <c r="C52" s="11"/>
      <c r="D52" s="7">
        <v>900.45</v>
      </c>
      <c r="E52" s="2"/>
      <c r="F52" s="6">
        <f t="shared" si="28"/>
        <v>4.8607599692543236E-3</v>
      </c>
      <c r="G52" s="2"/>
      <c r="H52" s="7">
        <v>230.06</v>
      </c>
      <c r="I52" s="2"/>
      <c r="J52" s="6">
        <f t="shared" si="29"/>
        <v>1.3528038456180674E-3</v>
      </c>
      <c r="K52" s="2"/>
      <c r="L52" s="7">
        <f t="shared" si="30"/>
        <v>670.3900000000001</v>
      </c>
      <c r="M52" s="2"/>
      <c r="N52" s="6">
        <f t="shared" si="31"/>
        <v>2.913978962009911</v>
      </c>
      <c r="O52" s="11"/>
      <c r="P52" s="7">
        <v>1068.3</v>
      </c>
      <c r="Q52" s="2"/>
      <c r="R52" s="6">
        <f t="shared" si="32"/>
        <v>2.660730951085414E-3</v>
      </c>
      <c r="S52" s="2"/>
      <c r="T52" s="7">
        <v>392.27</v>
      </c>
      <c r="U52" s="2"/>
      <c r="V52" s="6">
        <f t="shared" si="33"/>
        <v>1.0010332892884128E-3</v>
      </c>
      <c r="W52" s="2"/>
      <c r="X52" s="7">
        <f t="shared" si="34"/>
        <v>676.03</v>
      </c>
      <c r="Y52" s="2"/>
      <c r="Z52" s="6">
        <f t="shared" si="35"/>
        <v>1.7233793050704871</v>
      </c>
    </row>
    <row r="53" spans="1:26" s="27" customFormat="1" outlineLevel="1" collapsed="1" x14ac:dyDescent="0.25">
      <c r="A53" s="28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SUM(OSRRefD22_8x_0)</f>
        <v>360</v>
      </c>
      <c r="E53" s="1"/>
      <c r="F53" s="5">
        <f t="shared" si="28"/>
        <v>1.9433323215409589E-3</v>
      </c>
      <c r="G53" s="1"/>
      <c r="H53" s="1">
        <f>SUM(OSRRefH22_8x_0)</f>
        <v>20</v>
      </c>
      <c r="I53" s="1"/>
      <c r="J53" s="5">
        <f t="shared" si="29"/>
        <v>1.1760443759176452E-4</v>
      </c>
      <c r="K53" s="1"/>
      <c r="L53" s="1">
        <f t="shared" si="30"/>
        <v>340</v>
      </c>
      <c r="M53" s="1"/>
      <c r="N53" s="5">
        <f t="shared" si="31"/>
        <v>17</v>
      </c>
      <c r="O53" s="14"/>
      <c r="P53" s="1">
        <f>SUM(OSRRefP22_8x_0)</f>
        <v>1877.1</v>
      </c>
      <c r="Q53" s="1"/>
      <c r="R53" s="5">
        <f t="shared" si="32"/>
        <v>4.6751456222806622E-3</v>
      </c>
      <c r="S53" s="1"/>
      <c r="T53" s="1">
        <f>SUM(OSRRefT22_8x_0)</f>
        <v>1750.53</v>
      </c>
      <c r="U53" s="1"/>
      <c r="V53" s="5">
        <f t="shared" si="33"/>
        <v>4.4671751699034987E-3</v>
      </c>
      <c r="W53" s="1"/>
      <c r="X53" s="1">
        <f t="shared" si="34"/>
        <v>126.56999999999994</v>
      </c>
      <c r="Y53" s="1"/>
      <c r="Z53" s="5">
        <f t="shared" si="35"/>
        <v>7.2303816558413697E-2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7">
        <v>360</v>
      </c>
      <c r="E54" s="2"/>
      <c r="F54" s="6">
        <f t="shared" si="28"/>
        <v>1.9433323215409589E-3</v>
      </c>
      <c r="G54" s="2"/>
      <c r="H54" s="7">
        <v>20</v>
      </c>
      <c r="I54" s="2"/>
      <c r="J54" s="6">
        <f t="shared" si="29"/>
        <v>1.1760443759176452E-4</v>
      </c>
      <c r="K54" s="2"/>
      <c r="L54" s="7">
        <f t="shared" si="30"/>
        <v>340</v>
      </c>
      <c r="M54" s="2"/>
      <c r="N54" s="6">
        <f t="shared" si="31"/>
        <v>17</v>
      </c>
      <c r="O54" s="11"/>
      <c r="P54" s="7">
        <v>1877.1</v>
      </c>
      <c r="Q54" s="2"/>
      <c r="R54" s="6">
        <f t="shared" si="32"/>
        <v>4.6751456222806622E-3</v>
      </c>
      <c r="S54" s="2"/>
      <c r="T54" s="7">
        <v>1750.53</v>
      </c>
      <c r="U54" s="2"/>
      <c r="V54" s="6">
        <f t="shared" si="33"/>
        <v>4.4671751699034987E-3</v>
      </c>
      <c r="W54" s="2"/>
      <c r="X54" s="7">
        <f t="shared" si="34"/>
        <v>126.56999999999994</v>
      </c>
      <c r="Y54" s="2"/>
      <c r="Z54" s="6">
        <f t="shared" si="35"/>
        <v>7.2303816558413697E-2</v>
      </c>
    </row>
    <row r="55" spans="1:26" s="27" customFormat="1" outlineLevel="1" collapsed="1" x14ac:dyDescent="0.25">
      <c r="A55" s="28"/>
      <c r="B55" s="14" t="str">
        <f>CONCATENATE("     ","R/H Commissions                                   ")</f>
        <v xml:space="preserve">     R/H Commissions                                   </v>
      </c>
      <c r="C55" s="14"/>
      <c r="D55" s="1">
        <f>SUM(OSRRefD22_9x_0)</f>
        <v>14713.83</v>
      </c>
      <c r="E55" s="1"/>
      <c r="F55" s="5">
        <f t="shared" si="28"/>
        <v>7.9427392812941686E-2</v>
      </c>
      <c r="G55" s="1"/>
      <c r="H55" s="1">
        <f>SUM(OSRRefH22_9x_0)</f>
        <v>13398.11</v>
      </c>
      <c r="I55" s="1"/>
      <c r="J55" s="5">
        <f t="shared" si="29"/>
        <v>7.8783859567129813E-2</v>
      </c>
      <c r="K55" s="1"/>
      <c r="L55" s="1">
        <f t="shared" si="30"/>
        <v>1315.7199999999993</v>
      </c>
      <c r="M55" s="1"/>
      <c r="N55" s="5">
        <f t="shared" si="31"/>
        <v>9.8201910567983039E-2</v>
      </c>
      <c r="O55" s="14"/>
      <c r="P55" s="1">
        <f>SUM(OSRRefP22_9x_0)</f>
        <v>31336.79</v>
      </c>
      <c r="Q55" s="1"/>
      <c r="R55" s="5">
        <f t="shared" si="32"/>
        <v>7.8048082992290463E-2</v>
      </c>
      <c r="S55" s="1"/>
      <c r="T55" s="1">
        <f>SUM(OSRRefT22_9x_0)</f>
        <v>31142.390000000003</v>
      </c>
      <c r="U55" s="1"/>
      <c r="V55" s="5">
        <f t="shared" si="33"/>
        <v>7.947222346343738E-2</v>
      </c>
      <c r="W55" s="1"/>
      <c r="X55" s="1">
        <f t="shared" si="34"/>
        <v>194.39999999999782</v>
      </c>
      <c r="Y55" s="1"/>
      <c r="Z55" s="5">
        <f t="shared" si="35"/>
        <v>6.2422954692943544E-3</v>
      </c>
    </row>
    <row r="56" spans="1:26" s="24" customFormat="1" hidden="1" outlineLevel="2" x14ac:dyDescent="0.25">
      <c r="A56" s="29"/>
      <c r="B56" s="11" t="str">
        <f>CONCATENATE("          ", "6387", " - ", "COMMISSION DUE HOUSING")</f>
        <v xml:space="preserve">          6387 - COMMISSION DUE HOUSING</v>
      </c>
      <c r="C56" s="11"/>
      <c r="D56" s="7">
        <v>14713.83</v>
      </c>
      <c r="E56" s="2"/>
      <c r="F56" s="6">
        <f t="shared" si="28"/>
        <v>7.9427392812941686E-2</v>
      </c>
      <c r="G56" s="2"/>
      <c r="H56" s="7">
        <v>13398.11</v>
      </c>
      <c r="I56" s="2"/>
      <c r="J56" s="6">
        <f t="shared" si="29"/>
        <v>7.8783859567129813E-2</v>
      </c>
      <c r="K56" s="2"/>
      <c r="L56" s="7">
        <f t="shared" si="30"/>
        <v>1315.7199999999993</v>
      </c>
      <c r="M56" s="2"/>
      <c r="N56" s="6">
        <f t="shared" si="31"/>
        <v>9.8201910567983039E-2</v>
      </c>
      <c r="O56" s="11"/>
      <c r="P56" s="7">
        <v>31336.79</v>
      </c>
      <c r="Q56" s="2"/>
      <c r="R56" s="6">
        <f t="shared" si="32"/>
        <v>7.8048082992290463E-2</v>
      </c>
      <c r="S56" s="2"/>
      <c r="T56" s="7">
        <v>31142.390000000003</v>
      </c>
      <c r="U56" s="2"/>
      <c r="V56" s="6">
        <f t="shared" si="33"/>
        <v>7.947222346343738E-2</v>
      </c>
      <c r="W56" s="2"/>
      <c r="X56" s="7">
        <f t="shared" si="34"/>
        <v>194.39999999999782</v>
      </c>
      <c r="Y56" s="2"/>
      <c r="Z56" s="6">
        <f t="shared" si="35"/>
        <v>6.2422954692943544E-3</v>
      </c>
    </row>
    <row r="57" spans="1:26" s="27" customFormat="1" outlineLevel="1" collapsed="1" x14ac:dyDescent="0.25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SUM(OSRRefD22_10x_0)</f>
        <v>20.39</v>
      </c>
      <c r="E57" s="1"/>
      <c r="F57" s="5">
        <f t="shared" si="28"/>
        <v>1.1006818343394488E-4</v>
      </c>
      <c r="G57" s="1"/>
      <c r="H57" s="1">
        <f>SUM(OSRRefH22_10x_0)</f>
        <v>1767.9499999999998</v>
      </c>
      <c r="I57" s="1"/>
      <c r="J57" s="5">
        <f t="shared" si="29"/>
        <v>1.0395938272018004E-2</v>
      </c>
      <c r="K57" s="1"/>
      <c r="L57" s="1">
        <f t="shared" si="30"/>
        <v>-1747.5599999999997</v>
      </c>
      <c r="M57" s="1"/>
      <c r="N57" s="5">
        <f t="shared" si="31"/>
        <v>-0.98846686840691189</v>
      </c>
      <c r="O57" s="14"/>
      <c r="P57" s="1">
        <f>SUM(OSRRefP22_10x_0)</f>
        <v>29.21</v>
      </c>
      <c r="Q57" s="1"/>
      <c r="R57" s="5">
        <f t="shared" si="32"/>
        <v>7.2751054087058842E-5</v>
      </c>
      <c r="S57" s="1"/>
      <c r="T57" s="1">
        <f>SUM(OSRRefT22_10x_0)</f>
        <v>1840.1699999999998</v>
      </c>
      <c r="U57" s="1"/>
      <c r="V57" s="5">
        <f t="shared" si="33"/>
        <v>4.6959273662269835E-3</v>
      </c>
      <c r="W57" s="1"/>
      <c r="X57" s="1">
        <f t="shared" si="34"/>
        <v>-1810.9599999999998</v>
      </c>
      <c r="Y57" s="1"/>
      <c r="Z57" s="5">
        <f t="shared" si="35"/>
        <v>-0.98412646657645764</v>
      </c>
    </row>
    <row r="58" spans="1:26" s="24" customFormat="1" hidden="1" outlineLevel="2" x14ac:dyDescent="0.25">
      <c r="A58" s="29"/>
      <c r="B58" s="11" t="str">
        <f>CONCATENATE("          ", "6373", " - ", "MAINTENANCE CONTRACTS")</f>
        <v xml:space="preserve">          6373 - MAINTENANCE CONTRACTS</v>
      </c>
      <c r="C58" s="11"/>
      <c r="D58" s="7">
        <v>20.39</v>
      </c>
      <c r="E58" s="2"/>
      <c r="F58" s="6">
        <f t="shared" si="28"/>
        <v>1.1006818343394488E-4</v>
      </c>
      <c r="G58" s="2"/>
      <c r="H58" s="7">
        <v>16.84</v>
      </c>
      <c r="I58" s="2"/>
      <c r="J58" s="6">
        <f t="shared" si="29"/>
        <v>9.9022936452265736E-5</v>
      </c>
      <c r="K58" s="2"/>
      <c r="L58" s="7">
        <f t="shared" si="30"/>
        <v>3.5500000000000007</v>
      </c>
      <c r="M58" s="2"/>
      <c r="N58" s="6">
        <f t="shared" si="31"/>
        <v>0.2108076009501188</v>
      </c>
      <c r="O58" s="11"/>
      <c r="P58" s="7">
        <v>29.21</v>
      </c>
      <c r="Q58" s="2"/>
      <c r="R58" s="6">
        <f t="shared" si="32"/>
        <v>7.2751054087058842E-5</v>
      </c>
      <c r="S58" s="2"/>
      <c r="T58" s="7">
        <v>31.57</v>
      </c>
      <c r="U58" s="2"/>
      <c r="V58" s="6">
        <f t="shared" si="33"/>
        <v>8.056344085154408E-5</v>
      </c>
      <c r="W58" s="2"/>
      <c r="X58" s="7">
        <f t="shared" si="34"/>
        <v>-2.3599999999999994</v>
      </c>
      <c r="Y58" s="2"/>
      <c r="Z58" s="6">
        <f t="shared" si="35"/>
        <v>-7.4754513778904005E-2</v>
      </c>
    </row>
    <row r="59" spans="1:26" s="24" customFormat="1" hidden="1" outlineLevel="2" x14ac:dyDescent="0.25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28"/>
        <v>0</v>
      </c>
      <c r="G59" s="2"/>
      <c r="H59" s="7">
        <v>1751.11</v>
      </c>
      <c r="I59" s="2"/>
      <c r="J59" s="6">
        <f t="shared" si="29"/>
        <v>1.0296915335565739E-2</v>
      </c>
      <c r="K59" s="2"/>
      <c r="L59" s="7">
        <f t="shared" si="30"/>
        <v>-1751.11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1808.6</v>
      </c>
      <c r="U59" s="2"/>
      <c r="V59" s="6">
        <f t="shared" si="33"/>
        <v>4.6153639253754394E-3</v>
      </c>
      <c r="W59" s="2"/>
      <c r="X59" s="7">
        <f t="shared" si="34"/>
        <v>-1808.6</v>
      </c>
      <c r="Y59" s="2"/>
      <c r="Z59" s="6">
        <f t="shared" si="35"/>
        <v>-1</v>
      </c>
    </row>
    <row r="60" spans="1:26" s="27" customFormat="1" outlineLevel="1" collapsed="1" x14ac:dyDescent="0.25">
      <c r="A60" s="28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SUM(OSRRefD22_11x_0)</f>
        <v>5624.88</v>
      </c>
      <c r="E60" s="1"/>
      <c r="F60" s="5">
        <f t="shared" ref="F60:F63" si="36">IF(D$12=0,0,D60/D$12)</f>
        <v>3.0363919746636971E-2</v>
      </c>
      <c r="G60" s="1"/>
      <c r="H60" s="1">
        <f>SUM(OSRRefH22_11x_0)</f>
        <v>1507.54</v>
      </c>
      <c r="I60" s="1"/>
      <c r="J60" s="5">
        <f t="shared" ref="J60:J63" si="37">IF(H$12=0,0,H60/H$12)</f>
        <v>8.8646696923544346E-3</v>
      </c>
      <c r="K60" s="1"/>
      <c r="L60" s="1">
        <f t="shared" ref="L60:L63" si="38">+D60-H60</f>
        <v>4117.34</v>
      </c>
      <c r="M60" s="1"/>
      <c r="N60" s="5">
        <f t="shared" ref="N60:N63" si="39">IF(H60=0,0,L60/H60)</f>
        <v>2.7311646788808259</v>
      </c>
      <c r="O60" s="14"/>
      <c r="P60" s="1">
        <f>SUM(OSRRefP22_11x_0)</f>
        <v>11722.67</v>
      </c>
      <c r="Q60" s="1"/>
      <c r="R60" s="5">
        <f t="shared" ref="R60:R63" si="40">IF(P$12=0,0,P60/P$12)</f>
        <v>2.919673396832393E-2</v>
      </c>
      <c r="S60" s="1"/>
      <c r="T60" s="1">
        <f>SUM(OSRRefT22_11x_0)</f>
        <v>10539.02</v>
      </c>
      <c r="U60" s="1"/>
      <c r="V60" s="5">
        <f t="shared" ref="V60:V63" si="41">IF(T$12=0,0,T60/T$12)</f>
        <v>2.689451106757175E-2</v>
      </c>
      <c r="W60" s="1"/>
      <c r="X60" s="1">
        <f t="shared" ref="X60:X63" si="42">+P60-T60</f>
        <v>1183.6499999999996</v>
      </c>
      <c r="Y60" s="1"/>
      <c r="Z60" s="5">
        <f t="shared" ref="Z60:Z63" si="43">IF(T60=0,0,X60/T60)</f>
        <v>0.11231120161077592</v>
      </c>
    </row>
    <row r="61" spans="1:26" s="24" customFormat="1" hidden="1" outlineLevel="2" x14ac:dyDescent="0.25">
      <c r="A61" s="29"/>
      <c r="B61" s="11" t="str">
        <f>CONCATENATE("          ", "6282", " - ", "JANITORIAL/EXTERMINATOR EXPENS")</f>
        <v xml:space="preserve">          6282 - JANITORIAL/EXTERMINATOR EXPENS</v>
      </c>
      <c r="C61" s="11"/>
      <c r="D61" s="7">
        <v>421.34</v>
      </c>
      <c r="E61" s="2"/>
      <c r="F61" s="6">
        <f t="shared" si="36"/>
        <v>2.2744545565501879E-3</v>
      </c>
      <c r="G61" s="2"/>
      <c r="H61" s="7">
        <v>421.34</v>
      </c>
      <c r="I61" s="2"/>
      <c r="J61" s="6">
        <f t="shared" si="37"/>
        <v>2.4775726867457032E-3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842.68</v>
      </c>
      <c r="Q61" s="2"/>
      <c r="R61" s="6">
        <f t="shared" si="40"/>
        <v>2.098796927698827E-3</v>
      </c>
      <c r="S61" s="2"/>
      <c r="T61" s="7">
        <v>842.68</v>
      </c>
      <c r="U61" s="2"/>
      <c r="V61" s="6">
        <f t="shared" si="41"/>
        <v>2.1504339669553107E-3</v>
      </c>
      <c r="W61" s="2"/>
      <c r="X61" s="7">
        <f t="shared" si="42"/>
        <v>0</v>
      </c>
      <c r="Y61" s="2"/>
      <c r="Z61" s="6">
        <f t="shared" si="43"/>
        <v>0</v>
      </c>
    </row>
    <row r="62" spans="1:26" s="24" customFormat="1" hidden="1" outlineLevel="2" x14ac:dyDescent="0.25">
      <c r="A62" s="29"/>
      <c r="B62" s="11" t="str">
        <f>CONCATENATE("          ", "6285", " - ", "JANITORIAL SERVICES")</f>
        <v xml:space="preserve">          6285 - JANITORIAL SERVICES</v>
      </c>
      <c r="C62" s="11"/>
      <c r="D62" s="7">
        <v>3916.67</v>
      </c>
      <c r="E62" s="2"/>
      <c r="F62" s="6">
        <f t="shared" si="36"/>
        <v>2.1142753899471744E-2</v>
      </c>
      <c r="G62" s="2"/>
      <c r="H62" s="7"/>
      <c r="I62" s="2"/>
      <c r="J62" s="6">
        <f t="shared" si="37"/>
        <v>0</v>
      </c>
      <c r="K62" s="2"/>
      <c r="L62" s="7">
        <f t="shared" si="38"/>
        <v>3916.67</v>
      </c>
      <c r="M62" s="2"/>
      <c r="N62" s="6">
        <f t="shared" si="39"/>
        <v>0</v>
      </c>
      <c r="O62" s="11"/>
      <c r="P62" s="7">
        <v>8020.84</v>
      </c>
      <c r="Q62" s="2"/>
      <c r="R62" s="6">
        <f t="shared" si="40"/>
        <v>1.99768765718468E-2</v>
      </c>
      <c r="S62" s="2"/>
      <c r="T62" s="7">
        <v>7271.46</v>
      </c>
      <c r="U62" s="2"/>
      <c r="V62" s="6">
        <f t="shared" si="41"/>
        <v>1.8556029066023716E-2</v>
      </c>
      <c r="W62" s="2"/>
      <c r="X62" s="7">
        <f t="shared" si="42"/>
        <v>749.38000000000011</v>
      </c>
      <c r="Y62" s="2"/>
      <c r="Z62" s="6">
        <f t="shared" si="43"/>
        <v>0.10305770780558514</v>
      </c>
    </row>
    <row r="63" spans="1:26" s="24" customFormat="1" hidden="1" outlineLevel="2" x14ac:dyDescent="0.25">
      <c r="A63" s="29"/>
      <c r="B63" s="11" t="str">
        <f>CONCATENATE("          ", "6286", " - ", "LAUNDRY EXPENSE")</f>
        <v xml:space="preserve">          6286 - LAUNDRY EXPENSE</v>
      </c>
      <c r="C63" s="11"/>
      <c r="D63" s="7">
        <v>1286.8699999999999</v>
      </c>
      <c r="E63" s="2"/>
      <c r="F63" s="6">
        <f t="shared" si="36"/>
        <v>6.9467112906150376E-3</v>
      </c>
      <c r="G63" s="2"/>
      <c r="H63" s="7">
        <v>1086.2</v>
      </c>
      <c r="I63" s="2"/>
      <c r="J63" s="6">
        <f t="shared" si="37"/>
        <v>6.3870970056087318E-3</v>
      </c>
      <c r="K63" s="2"/>
      <c r="L63" s="7">
        <f t="shared" si="38"/>
        <v>200.66999999999985</v>
      </c>
      <c r="M63" s="2"/>
      <c r="N63" s="6">
        <f t="shared" si="39"/>
        <v>0.18474498250782528</v>
      </c>
      <c r="O63" s="11"/>
      <c r="P63" s="7">
        <v>2859.15</v>
      </c>
      <c r="Q63" s="2"/>
      <c r="R63" s="6">
        <f t="shared" si="40"/>
        <v>7.1210604687783046E-3</v>
      </c>
      <c r="S63" s="2"/>
      <c r="T63" s="7">
        <v>2424.88</v>
      </c>
      <c r="U63" s="2"/>
      <c r="V63" s="6">
        <f t="shared" si="41"/>
        <v>6.1880480345927217E-3</v>
      </c>
      <c r="W63" s="2"/>
      <c r="X63" s="7">
        <f t="shared" si="42"/>
        <v>434.27</v>
      </c>
      <c r="Y63" s="2"/>
      <c r="Z63" s="6">
        <f t="shared" si="43"/>
        <v>0.17908927452080101</v>
      </c>
    </row>
    <row r="64" spans="1:26" s="27" customFormat="1" outlineLevel="1" collapsed="1" x14ac:dyDescent="0.25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SUM(OSRRefD22_12x_0)</f>
        <v>8075.96</v>
      </c>
      <c r="E64" s="1"/>
      <c r="F64" s="5">
        <f t="shared" ref="F64:F71" si="44">IF(D$12=0,0,D64/D$12)</f>
        <v>4.3595205820755344E-2</v>
      </c>
      <c r="G64" s="1"/>
      <c r="H64" s="1">
        <f>SUM(OSRRefH22_12x_0)</f>
        <v>10134.41</v>
      </c>
      <c r="I64" s="1"/>
      <c r="J64" s="5">
        <f t="shared" ref="J64:J71" si="45">IF(H$12=0,0,H64/H$12)</f>
        <v>5.9592579418717713E-2</v>
      </c>
      <c r="K64" s="1"/>
      <c r="L64" s="1">
        <f t="shared" ref="L64:L71" si="46">+D64-H64</f>
        <v>-2058.4499999999998</v>
      </c>
      <c r="M64" s="1"/>
      <c r="N64" s="5">
        <f t="shared" ref="N64:N71" si="47">IF(H64=0,0,L64/H64)</f>
        <v>-0.20311493219634885</v>
      </c>
      <c r="O64" s="14"/>
      <c r="P64" s="1">
        <f>SUM(OSRRefP22_12x_0)</f>
        <v>15888.530000000002</v>
      </c>
      <c r="Q64" s="1"/>
      <c r="R64" s="5">
        <f t="shared" ref="R64:R71" si="48">IF(P$12=0,0,P64/P$12)</f>
        <v>3.9572314460590792E-2</v>
      </c>
      <c r="S64" s="1"/>
      <c r="T64" s="1">
        <f>SUM(OSRRefT22_12x_0)</f>
        <v>19133.050000000003</v>
      </c>
      <c r="U64" s="1"/>
      <c r="V64" s="5">
        <f t="shared" ref="V64:V71" si="49">IF(T$12=0,0,T64/T$12)</f>
        <v>4.8825604750859543E-2</v>
      </c>
      <c r="W64" s="1"/>
      <c r="X64" s="1">
        <f t="shared" ref="X64:X71" si="50">+P64-T64</f>
        <v>-3244.5200000000004</v>
      </c>
      <c r="Y64" s="1"/>
      <c r="Z64" s="5">
        <f t="shared" ref="Z64:Z71" si="51">IF(T64=0,0,X64/T64)</f>
        <v>-0.16957672718150008</v>
      </c>
    </row>
    <row r="65" spans="1:26" s="24" customFormat="1" hidden="1" outlineLevel="2" x14ac:dyDescent="0.25">
      <c r="A65" s="29"/>
      <c r="B65" s="11" t="str">
        <f>CONCATENATE("          ", "6237", " - ", "JANITORIAL SUPPLIES")</f>
        <v xml:space="preserve">          6237 - JANITORIAL SUPPLIES</v>
      </c>
      <c r="C65" s="11"/>
      <c r="D65" s="7">
        <v>3412.55</v>
      </c>
      <c r="E65" s="2"/>
      <c r="F65" s="6">
        <f t="shared" si="44"/>
        <v>1.8421440871873886E-2</v>
      </c>
      <c r="G65" s="2"/>
      <c r="H65" s="7">
        <v>3155.9</v>
      </c>
      <c r="I65" s="2"/>
      <c r="J65" s="6">
        <f t="shared" si="45"/>
        <v>1.8557392229792483E-2</v>
      </c>
      <c r="K65" s="2"/>
      <c r="L65" s="7">
        <f t="shared" si="46"/>
        <v>256.65000000000009</v>
      </c>
      <c r="M65" s="2"/>
      <c r="N65" s="6">
        <f t="shared" si="47"/>
        <v>8.1323869577616559E-2</v>
      </c>
      <c r="O65" s="11"/>
      <c r="P65" s="7">
        <v>7364.03</v>
      </c>
      <c r="Q65" s="2"/>
      <c r="R65" s="6">
        <f t="shared" si="48"/>
        <v>1.8341011462811498E-2</v>
      </c>
      <c r="S65" s="2"/>
      <c r="T65" s="7">
        <v>5090.21</v>
      </c>
      <c r="U65" s="2"/>
      <c r="V65" s="6">
        <f t="shared" si="49"/>
        <v>1.2989700103165606E-2</v>
      </c>
      <c r="W65" s="2"/>
      <c r="X65" s="7">
        <f t="shared" si="50"/>
        <v>2273.8199999999997</v>
      </c>
      <c r="Y65" s="2"/>
      <c r="Z65" s="6">
        <f t="shared" si="51"/>
        <v>0.44670455639354756</v>
      </c>
    </row>
    <row r="66" spans="1:26" s="24" customFormat="1" hidden="1" outlineLevel="2" x14ac:dyDescent="0.25">
      <c r="A66" s="29"/>
      <c r="B66" s="11" t="str">
        <f>CONCATENATE("          ", "6239", " - ", "KITCHEN SUPPLIES")</f>
        <v xml:space="preserve">          6239 - KITCHEN SUPPLIES</v>
      </c>
      <c r="C66" s="11"/>
      <c r="D66" s="7">
        <v>1797.08</v>
      </c>
      <c r="E66" s="2"/>
      <c r="F66" s="6">
        <f t="shared" si="44"/>
        <v>9.700899023318962E-3</v>
      </c>
      <c r="G66" s="2"/>
      <c r="H66" s="7">
        <v>3356.27</v>
      </c>
      <c r="I66" s="2"/>
      <c r="J66" s="6">
        <f t="shared" si="45"/>
        <v>1.9735612287805578E-2</v>
      </c>
      <c r="K66" s="2"/>
      <c r="L66" s="7">
        <f t="shared" si="46"/>
        <v>-1559.19</v>
      </c>
      <c r="M66" s="2"/>
      <c r="N66" s="6">
        <f t="shared" si="47"/>
        <v>-0.46456036016172719</v>
      </c>
      <c r="O66" s="11"/>
      <c r="P66" s="7">
        <v>1873.08</v>
      </c>
      <c r="Q66" s="2"/>
      <c r="R66" s="6">
        <f t="shared" si="48"/>
        <v>4.6651333238407451E-3</v>
      </c>
      <c r="S66" s="2"/>
      <c r="T66" s="7">
        <v>3718.74</v>
      </c>
      <c r="U66" s="2"/>
      <c r="V66" s="6">
        <f t="shared" si="49"/>
        <v>9.4898476411869187E-3</v>
      </c>
      <c r="W66" s="2"/>
      <c r="X66" s="7">
        <f t="shared" si="50"/>
        <v>-1845.6599999999999</v>
      </c>
      <c r="Y66" s="2"/>
      <c r="Z66" s="6">
        <f t="shared" si="51"/>
        <v>-0.49631326739702158</v>
      </c>
    </row>
    <row r="67" spans="1:26" s="24" customFormat="1" hidden="1" outlineLevel="2" x14ac:dyDescent="0.25">
      <c r="A67" s="29"/>
      <c r="B67" s="11" t="str">
        <f>CONCATENATE("          ", "6241", " - ", "OFFICE EXPENSE")</f>
        <v xml:space="preserve">          6241 - OFFICE EXPENSE</v>
      </c>
      <c r="C67" s="11"/>
      <c r="D67" s="7">
        <v>298.66000000000003</v>
      </c>
      <c r="E67" s="2"/>
      <c r="F67" s="6">
        <f t="shared" si="44"/>
        <v>1.6122100865317301E-3</v>
      </c>
      <c r="G67" s="2"/>
      <c r="H67" s="7">
        <v>691.08</v>
      </c>
      <c r="I67" s="2"/>
      <c r="J67" s="6">
        <f t="shared" si="45"/>
        <v>4.0637037365458314E-3</v>
      </c>
      <c r="K67" s="2"/>
      <c r="L67" s="7">
        <f t="shared" si="46"/>
        <v>-392.42</v>
      </c>
      <c r="M67" s="2"/>
      <c r="N67" s="6">
        <f t="shared" si="47"/>
        <v>-0.56783585113156221</v>
      </c>
      <c r="O67" s="11"/>
      <c r="P67" s="7">
        <v>832.59</v>
      </c>
      <c r="Q67" s="2"/>
      <c r="R67" s="6">
        <f t="shared" si="48"/>
        <v>2.0736665567389358E-3</v>
      </c>
      <c r="S67" s="2"/>
      <c r="T67" s="7">
        <v>1070.77</v>
      </c>
      <c r="U67" s="2"/>
      <c r="V67" s="6">
        <f t="shared" si="49"/>
        <v>2.7324965334370559E-3</v>
      </c>
      <c r="W67" s="2"/>
      <c r="X67" s="7">
        <f t="shared" si="50"/>
        <v>-238.17999999999995</v>
      </c>
      <c r="Y67" s="2"/>
      <c r="Z67" s="6">
        <f t="shared" si="51"/>
        <v>-0.22243805859334867</v>
      </c>
    </row>
    <row r="68" spans="1:26" s="24" customFormat="1" hidden="1" outlineLevel="2" x14ac:dyDescent="0.25">
      <c r="A68" s="29"/>
      <c r="B68" s="11" t="str">
        <f>CONCATENATE("          ", "6243", " - ", "PAPER SUPPLIES")</f>
        <v xml:space="preserve">          6243 - PAPER SUPPLIES</v>
      </c>
      <c r="C68" s="11"/>
      <c r="D68" s="7">
        <v>1972.8</v>
      </c>
      <c r="E68" s="2"/>
      <c r="F68" s="6">
        <f t="shared" si="44"/>
        <v>1.0649461122044455E-2</v>
      </c>
      <c r="G68" s="2"/>
      <c r="H68" s="7">
        <v>2931.16</v>
      </c>
      <c r="I68" s="2"/>
      <c r="J68" s="6">
        <f t="shared" si="45"/>
        <v>1.7235871164573823E-2</v>
      </c>
      <c r="K68" s="2"/>
      <c r="L68" s="7">
        <f t="shared" si="46"/>
        <v>-958.3599999999999</v>
      </c>
      <c r="M68" s="2"/>
      <c r="N68" s="6">
        <f t="shared" si="47"/>
        <v>-0.32695588094815703</v>
      </c>
      <c r="O68" s="11"/>
      <c r="P68" s="7">
        <v>3956.11</v>
      </c>
      <c r="Q68" s="2"/>
      <c r="R68" s="6">
        <f t="shared" si="48"/>
        <v>9.8531726321244208E-3</v>
      </c>
      <c r="S68" s="2"/>
      <c r="T68" s="7">
        <v>6252.24</v>
      </c>
      <c r="U68" s="2"/>
      <c r="V68" s="6">
        <f t="shared" si="49"/>
        <v>1.5955082908763317E-2</v>
      </c>
      <c r="W68" s="2"/>
      <c r="X68" s="7">
        <f t="shared" si="50"/>
        <v>-2296.1299999999997</v>
      </c>
      <c r="Y68" s="2"/>
      <c r="Z68" s="6">
        <f t="shared" si="51"/>
        <v>-0.36724917789464251</v>
      </c>
    </row>
    <row r="69" spans="1:26" s="24" customFormat="1" hidden="1" outlineLevel="2" x14ac:dyDescent="0.25">
      <c r="A69" s="29"/>
      <c r="B69" s="11" t="str">
        <f>CONCATENATE("          ", "6245", " - ", "PRINTING")</f>
        <v xml:space="preserve">          6245 - PRINTING</v>
      </c>
      <c r="C69" s="11"/>
      <c r="D69" s="7">
        <v>441</v>
      </c>
      <c r="E69" s="2"/>
      <c r="F69" s="6">
        <f t="shared" si="44"/>
        <v>2.3805820938876746E-3</v>
      </c>
      <c r="G69" s="2"/>
      <c r="H69" s="7"/>
      <c r="I69" s="2"/>
      <c r="J69" s="6">
        <f t="shared" si="45"/>
        <v>0</v>
      </c>
      <c r="K69" s="2"/>
      <c r="L69" s="7">
        <f t="shared" si="46"/>
        <v>441</v>
      </c>
      <c r="M69" s="2"/>
      <c r="N69" s="6">
        <f t="shared" si="47"/>
        <v>0</v>
      </c>
      <c r="O69" s="11"/>
      <c r="P69" s="7">
        <v>441</v>
      </c>
      <c r="Q69" s="2"/>
      <c r="R69" s="6">
        <f t="shared" si="48"/>
        <v>1.0983640825879132E-3</v>
      </c>
      <c r="S69" s="2"/>
      <c r="T69" s="7"/>
      <c r="U69" s="2"/>
      <c r="V69" s="6">
        <f t="shared" si="49"/>
        <v>0</v>
      </c>
      <c r="W69" s="2"/>
      <c r="X69" s="7">
        <f t="shared" si="50"/>
        <v>441</v>
      </c>
      <c r="Y69" s="2"/>
      <c r="Z69" s="6">
        <f t="shared" si="51"/>
        <v>0</v>
      </c>
    </row>
    <row r="70" spans="1:26" s="24" customFormat="1" hidden="1" outlineLevel="2" x14ac:dyDescent="0.25">
      <c r="A70" s="29"/>
      <c r="B70" s="11" t="str">
        <f>CONCATENATE("          ", "6247", " - ", "STORE SUPPLIES")</f>
        <v xml:space="preserve">          6247 - STORE SUPPLIES</v>
      </c>
      <c r="C70" s="11"/>
      <c r="D70" s="7">
        <v>153.87</v>
      </c>
      <c r="E70" s="2"/>
      <c r="F70" s="6">
        <f t="shared" si="44"/>
        <v>8.306126230986315E-4</v>
      </c>
      <c r="G70" s="2"/>
      <c r="H70" s="7"/>
      <c r="I70" s="2"/>
      <c r="J70" s="6">
        <f t="shared" si="45"/>
        <v>0</v>
      </c>
      <c r="K70" s="2"/>
      <c r="L70" s="7">
        <f t="shared" si="46"/>
        <v>153.87</v>
      </c>
      <c r="M70" s="2"/>
      <c r="N70" s="6">
        <f t="shared" si="47"/>
        <v>0</v>
      </c>
      <c r="O70" s="11"/>
      <c r="P70" s="7">
        <v>153.87</v>
      </c>
      <c r="Q70" s="2"/>
      <c r="R70" s="6">
        <f t="shared" si="48"/>
        <v>3.8323193058458551E-4</v>
      </c>
      <c r="S70" s="2"/>
      <c r="T70" s="7"/>
      <c r="U70" s="2"/>
      <c r="V70" s="6">
        <f t="shared" si="49"/>
        <v>0</v>
      </c>
      <c r="W70" s="2"/>
      <c r="X70" s="7">
        <f t="shared" si="50"/>
        <v>153.87</v>
      </c>
      <c r="Y70" s="2"/>
      <c r="Z70" s="6">
        <f t="shared" si="51"/>
        <v>0</v>
      </c>
    </row>
    <row r="71" spans="1:26" s="24" customFormat="1" hidden="1" outlineLevel="2" x14ac:dyDescent="0.25">
      <c r="A71" s="29"/>
      <c r="B71" s="11" t="str">
        <f>CONCATENATE("          ", "6248", " - ", "UNIFORMS")</f>
        <v xml:space="preserve">          6248 - UNIFORMS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>
        <v>1267.8499999999999</v>
      </c>
      <c r="Q71" s="2"/>
      <c r="R71" s="6">
        <f t="shared" si="48"/>
        <v>3.1577344719026885E-3</v>
      </c>
      <c r="S71" s="2"/>
      <c r="T71" s="7">
        <v>3001.09</v>
      </c>
      <c r="U71" s="2"/>
      <c r="V71" s="6">
        <f t="shared" si="49"/>
        <v>7.6584775643066339E-3</v>
      </c>
      <c r="W71" s="2"/>
      <c r="X71" s="7">
        <f t="shared" si="50"/>
        <v>-1733.2400000000002</v>
      </c>
      <c r="Y71" s="2"/>
      <c r="Z71" s="6">
        <f t="shared" si="51"/>
        <v>-0.57753682828572295</v>
      </c>
    </row>
    <row r="72" spans="1:26" s="27" customFormat="1" outlineLevel="1" collapsed="1" x14ac:dyDescent="0.25">
      <c r="A72" s="28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SUM(OSRRefD22_13x_0)</f>
        <v>310.60000000000002</v>
      </c>
      <c r="E72" s="1"/>
      <c r="F72" s="5">
        <f t="shared" ref="F72:F77" si="52">IF(D$12=0,0,D72/D$12)</f>
        <v>1.6766639418628385E-3</v>
      </c>
      <c r="G72" s="1"/>
      <c r="H72" s="1">
        <f>SUM(OSRRefH22_13x_0)</f>
        <v>311.64999999999998</v>
      </c>
      <c r="I72" s="1"/>
      <c r="J72" s="5">
        <f t="shared" ref="J72:J77" si="53">IF(H$12=0,0,H72/H$12)</f>
        <v>1.8325711487736705E-3</v>
      </c>
      <c r="K72" s="1"/>
      <c r="L72" s="1">
        <f t="shared" ref="L72:L77" si="54">+D72-H72</f>
        <v>-1.0499999999999545</v>
      </c>
      <c r="M72" s="1"/>
      <c r="N72" s="5">
        <f t="shared" ref="N72:N77" si="55">IF(H72=0,0,L72/H72)</f>
        <v>-3.3691641264237274E-3</v>
      </c>
      <c r="O72" s="14"/>
      <c r="P72" s="1">
        <f>SUM(OSRRefP22_13x_0)</f>
        <v>605.45000000000005</v>
      </c>
      <c r="Q72" s="1"/>
      <c r="R72" s="5">
        <f t="shared" ref="R72:R77" si="56">IF(P$12=0,0,P72/P$12)</f>
        <v>1.507946788668599E-3</v>
      </c>
      <c r="S72" s="1"/>
      <c r="T72" s="1">
        <f>SUM(OSRRefT22_13x_0)</f>
        <v>358.8</v>
      </c>
      <c r="U72" s="1"/>
      <c r="V72" s="5">
        <f t="shared" ref="V72:V77" si="57">IF(T$12=0,0,T72/T$12)</f>
        <v>9.1562124097351971E-4</v>
      </c>
      <c r="W72" s="1"/>
      <c r="X72" s="1">
        <f t="shared" ref="X72:X77" si="58">+P72-T72</f>
        <v>246.65000000000003</v>
      </c>
      <c r="Y72" s="1"/>
      <c r="Z72" s="5">
        <f t="shared" ref="Z72:Z77" si="59">IF(T72=0,0,X72/T72)</f>
        <v>0.68743032329988862</v>
      </c>
    </row>
    <row r="73" spans="1:26" s="24" customFormat="1" hidden="1" outlineLevel="2" x14ac:dyDescent="0.25">
      <c r="A73" s="29"/>
      <c r="B73" s="11" t="str">
        <f>CONCATENATE("          ", "6309", " - ", "TELEPHONE")</f>
        <v xml:space="preserve">          6309 - TELEPHONE</v>
      </c>
      <c r="C73" s="11"/>
      <c r="D73" s="7">
        <v>310.60000000000002</v>
      </c>
      <c r="E73" s="2"/>
      <c r="F73" s="6">
        <f t="shared" si="52"/>
        <v>1.6766639418628385E-3</v>
      </c>
      <c r="G73" s="2"/>
      <c r="H73" s="7">
        <v>311.64999999999998</v>
      </c>
      <c r="I73" s="2"/>
      <c r="J73" s="6">
        <f t="shared" si="53"/>
        <v>1.8325711487736705E-3</v>
      </c>
      <c r="K73" s="2"/>
      <c r="L73" s="7">
        <f t="shared" si="54"/>
        <v>-1.0499999999999545</v>
      </c>
      <c r="M73" s="2"/>
      <c r="N73" s="6">
        <f t="shared" si="55"/>
        <v>-3.3691641264237274E-3</v>
      </c>
      <c r="O73" s="11"/>
      <c r="P73" s="7">
        <v>605.45000000000005</v>
      </c>
      <c r="Q73" s="2"/>
      <c r="R73" s="6">
        <f t="shared" si="56"/>
        <v>1.507946788668599E-3</v>
      </c>
      <c r="S73" s="2"/>
      <c r="T73" s="7">
        <v>358.8</v>
      </c>
      <c r="U73" s="2"/>
      <c r="V73" s="6">
        <f t="shared" si="57"/>
        <v>9.1562124097351971E-4</v>
      </c>
      <c r="W73" s="2"/>
      <c r="X73" s="7">
        <f t="shared" si="58"/>
        <v>246.65000000000003</v>
      </c>
      <c r="Y73" s="2"/>
      <c r="Z73" s="6">
        <f t="shared" si="59"/>
        <v>0.68743032329988862</v>
      </c>
    </row>
    <row r="74" spans="1:26" s="27" customFormat="1" outlineLevel="1" collapsed="1" x14ac:dyDescent="0.25">
      <c r="A74" s="28"/>
      <c r="B74" s="14" t="str">
        <f>CONCATENATE("     ","Training                                          ")</f>
        <v xml:space="preserve">     Training                                          </v>
      </c>
      <c r="C74" s="14"/>
      <c r="D74" s="1">
        <f>SUM(OSRRefD22_14x_0)</f>
        <v>0</v>
      </c>
      <c r="E74" s="1"/>
      <c r="F74" s="5">
        <f t="shared" si="52"/>
        <v>0</v>
      </c>
      <c r="G74" s="1"/>
      <c r="H74" s="1">
        <f>SUM(OSRRefH22_14x_0)</f>
        <v>84.35</v>
      </c>
      <c r="I74" s="1"/>
      <c r="J74" s="5">
        <f t="shared" si="53"/>
        <v>4.9599671554326685E-4</v>
      </c>
      <c r="K74" s="1"/>
      <c r="L74" s="1">
        <f t="shared" si="54"/>
        <v>-84.35</v>
      </c>
      <c r="M74" s="1"/>
      <c r="N74" s="5">
        <f t="shared" si="55"/>
        <v>-1</v>
      </c>
      <c r="O74" s="14"/>
      <c r="P74" s="1">
        <f>SUM(OSRRefP22_14x_0)</f>
        <v>494</v>
      </c>
      <c r="Q74" s="1"/>
      <c r="R74" s="5">
        <f t="shared" si="56"/>
        <v>1.2303670222186603E-3</v>
      </c>
      <c r="S74" s="1"/>
      <c r="T74" s="1">
        <f>SUM(OSRRefT22_14x_0)</f>
        <v>435.81</v>
      </c>
      <c r="U74" s="1"/>
      <c r="V74" s="5">
        <f t="shared" si="57"/>
        <v>1.1121429571590569E-3</v>
      </c>
      <c r="W74" s="1"/>
      <c r="X74" s="1">
        <f t="shared" si="58"/>
        <v>58.19</v>
      </c>
      <c r="Y74" s="1"/>
      <c r="Z74" s="5">
        <f t="shared" si="59"/>
        <v>0.13352148872214956</v>
      </c>
    </row>
    <row r="75" spans="1:26" s="24" customFormat="1" hidden="1" outlineLevel="2" x14ac:dyDescent="0.25">
      <c r="A75" s="29"/>
      <c r="B75" s="11" t="str">
        <f>CONCATENATE("          ", "6376", " - ", "TRAINING")</f>
        <v xml:space="preserve">          6376 - TRAINING</v>
      </c>
      <c r="C75" s="11"/>
      <c r="D75" s="7"/>
      <c r="E75" s="2"/>
      <c r="F75" s="6">
        <f t="shared" si="52"/>
        <v>0</v>
      </c>
      <c r="G75" s="2"/>
      <c r="H75" s="7">
        <v>84.35</v>
      </c>
      <c r="I75" s="2"/>
      <c r="J75" s="6">
        <f t="shared" si="53"/>
        <v>4.9599671554326685E-4</v>
      </c>
      <c r="K75" s="2"/>
      <c r="L75" s="7">
        <f t="shared" si="54"/>
        <v>-84.35</v>
      </c>
      <c r="M75" s="2"/>
      <c r="N75" s="6">
        <f t="shared" si="55"/>
        <v>-1</v>
      </c>
      <c r="O75" s="11"/>
      <c r="P75" s="7">
        <v>494</v>
      </c>
      <c r="Q75" s="2"/>
      <c r="R75" s="6">
        <f t="shared" si="56"/>
        <v>1.2303670222186603E-3</v>
      </c>
      <c r="S75" s="2"/>
      <c r="T75" s="7">
        <v>435.81</v>
      </c>
      <c r="U75" s="2"/>
      <c r="V75" s="6">
        <f t="shared" si="57"/>
        <v>1.1121429571590569E-3</v>
      </c>
      <c r="W75" s="2"/>
      <c r="X75" s="7">
        <f t="shared" si="58"/>
        <v>58.19</v>
      </c>
      <c r="Y75" s="2"/>
      <c r="Z75" s="6">
        <f t="shared" si="59"/>
        <v>0.13352148872214956</v>
      </c>
    </row>
    <row r="76" spans="1:26" s="27" customFormat="1" outlineLevel="1" collapsed="1" x14ac:dyDescent="0.25">
      <c r="A76" s="28"/>
      <c r="B76" s="14" t="str">
        <f>CONCATENATE("     ","Travel                                            ")</f>
        <v xml:space="preserve">     Travel                                            </v>
      </c>
      <c r="C76" s="14"/>
      <c r="D76" s="1">
        <f>SUM(OSRRefD22_15x_0)</f>
        <v>0</v>
      </c>
      <c r="E76" s="1"/>
      <c r="F76" s="5">
        <f t="shared" si="52"/>
        <v>0</v>
      </c>
      <c r="G76" s="1"/>
      <c r="H76" s="1">
        <f>SUM(OSRRefH22_15x_0)</f>
        <v>0</v>
      </c>
      <c r="I76" s="1"/>
      <c r="J76" s="5">
        <f t="shared" si="53"/>
        <v>0</v>
      </c>
      <c r="K76" s="1"/>
      <c r="L76" s="1">
        <f t="shared" si="54"/>
        <v>0</v>
      </c>
      <c r="M76" s="1"/>
      <c r="N76" s="5">
        <f t="shared" si="55"/>
        <v>0</v>
      </c>
      <c r="O76" s="14"/>
      <c r="P76" s="1">
        <f>SUM(OSRRefP22_15x_0)</f>
        <v>59.14</v>
      </c>
      <c r="Q76" s="1"/>
      <c r="R76" s="5">
        <f t="shared" si="56"/>
        <v>1.4729535565589385E-4</v>
      </c>
      <c r="S76" s="1"/>
      <c r="T76" s="1">
        <f>SUM(OSRRefT22_15x_0)</f>
        <v>0</v>
      </c>
      <c r="U76" s="1"/>
      <c r="V76" s="5">
        <f t="shared" si="57"/>
        <v>0</v>
      </c>
      <c r="W76" s="1"/>
      <c r="X76" s="1">
        <f t="shared" si="58"/>
        <v>59.14</v>
      </c>
      <c r="Y76" s="1"/>
      <c r="Z76" s="5">
        <f t="shared" si="59"/>
        <v>0</v>
      </c>
    </row>
    <row r="77" spans="1:26" s="24" customFormat="1" hidden="1" outlineLevel="2" x14ac:dyDescent="0.25">
      <c r="A77" s="29"/>
      <c r="B77" s="11" t="str">
        <f>CONCATENATE("          ", "6292", " - ", "TRAVEL/CONFERENCE")</f>
        <v xml:space="preserve">          6292 - TRAVEL/CONFERENCE</v>
      </c>
      <c r="C77" s="11"/>
      <c r="D77" s="7"/>
      <c r="E77" s="2"/>
      <c r="F77" s="6">
        <f t="shared" si="52"/>
        <v>0</v>
      </c>
      <c r="G77" s="2"/>
      <c r="H77" s="7"/>
      <c r="I77" s="2"/>
      <c r="J77" s="6">
        <f t="shared" si="53"/>
        <v>0</v>
      </c>
      <c r="K77" s="2"/>
      <c r="L77" s="7">
        <f t="shared" si="54"/>
        <v>0</v>
      </c>
      <c r="M77" s="2"/>
      <c r="N77" s="6">
        <f t="shared" si="55"/>
        <v>0</v>
      </c>
      <c r="O77" s="11"/>
      <c r="P77" s="7">
        <v>59.14</v>
      </c>
      <c r="Q77" s="2"/>
      <c r="R77" s="6">
        <f t="shared" si="56"/>
        <v>1.4729535565589385E-4</v>
      </c>
      <c r="S77" s="2"/>
      <c r="T77" s="7"/>
      <c r="U77" s="2"/>
      <c r="V77" s="6">
        <f t="shared" si="57"/>
        <v>0</v>
      </c>
      <c r="W77" s="2"/>
      <c r="X77" s="7">
        <f t="shared" si="58"/>
        <v>59.14</v>
      </c>
      <c r="Y77" s="2"/>
      <c r="Z77" s="6">
        <f t="shared" si="59"/>
        <v>0</v>
      </c>
    </row>
    <row r="78" spans="1:26" s="62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5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6" t="s">
        <v>3</v>
      </c>
      <c r="C81" s="26"/>
      <c r="D81" s="20">
        <f>+D21-D23+D79</f>
        <v>-7926.9599999999627</v>
      </c>
      <c r="E81" s="13"/>
      <c r="F81" s="19">
        <f>IF(D$12=0,0,D81/D$12)</f>
        <v>-4.279088216545069E-2</v>
      </c>
      <c r="G81" s="13"/>
      <c r="H81" s="20">
        <f>+H21-H23+H79</f>
        <v>-41108.189999999944</v>
      </c>
      <c r="I81" s="13"/>
      <c r="J81" s="19">
        <f>IF(H$12=0,0,H81/H$12)</f>
        <v>-0.24172527826826959</v>
      </c>
      <c r="K81" s="15"/>
      <c r="L81" s="20">
        <f>+D81-H81</f>
        <v>33181.229999999981</v>
      </c>
      <c r="M81" s="15"/>
      <c r="N81" s="19">
        <f>IF(H81=0,0,L81/H81)</f>
        <v>-0.80716835258375585</v>
      </c>
      <c r="O81" s="25"/>
      <c r="P81" s="20">
        <f>+P21-P23+P79</f>
        <v>-21895.360000000102</v>
      </c>
      <c r="Q81" s="13"/>
      <c r="R81" s="19">
        <f>IF(P$12=0,0,P81/P$12)</f>
        <v>-5.4533054420254433E-2</v>
      </c>
      <c r="S81" s="13"/>
      <c r="T81" s="20">
        <f>+T21-T23+T79</f>
        <v>-32404.180000000022</v>
      </c>
      <c r="U81" s="13"/>
      <c r="V81" s="19">
        <f>IF(T$12=0,0,T81/T$12)</f>
        <v>-8.2692183679847625E-2</v>
      </c>
      <c r="W81" s="15"/>
      <c r="X81" s="20">
        <f>+P81-T81</f>
        <v>10508.81999999992</v>
      </c>
      <c r="Y81" s="15"/>
      <c r="Z81" s="19">
        <f>IF(T81=0,0,X81/T81)</f>
        <v>-0.32430445701757959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1"/>
      <c r="B83" s="10" t="s">
        <v>13</v>
      </c>
      <c r="C83" s="10"/>
      <c r="D83" s="4">
        <v>5094.21</v>
      </c>
      <c r="E83" s="4"/>
      <c r="F83" s="12">
        <f>IF(D$12=0,0,D83/D$12)</f>
        <v>2.7499285960325467E-2</v>
      </c>
      <c r="G83" s="4"/>
      <c r="H83" s="4">
        <v>-5528.82</v>
      </c>
      <c r="I83" s="4"/>
      <c r="J83" s="12">
        <f>IF(H$12=0,0,H83/H$12)</f>
        <v>-3.2510688332304978E-2</v>
      </c>
      <c r="K83" s="4"/>
      <c r="L83" s="4">
        <f>+D83-H83</f>
        <v>10623.029999999999</v>
      </c>
      <c r="M83" s="4"/>
      <c r="N83" s="12">
        <f>IF(H83=0,0,L83/H83)</f>
        <v>-1.9213919064104092</v>
      </c>
      <c r="O83" s="10"/>
      <c r="P83" s="4">
        <v>50060.5</v>
      </c>
      <c r="Q83" s="4"/>
      <c r="R83" s="12">
        <f>IF(P$12=0,0,P83/P$12)</f>
        <v>0.12468175772424542</v>
      </c>
      <c r="S83" s="4"/>
      <c r="T83" s="4">
        <v>40007.58</v>
      </c>
      <c r="U83" s="4"/>
      <c r="V83" s="12">
        <f>IF(T$12=0,0,T83/T$12)</f>
        <v>0.10209528998870504</v>
      </c>
      <c r="W83" s="4"/>
      <c r="X83" s="4">
        <f>+P83-T83</f>
        <v>10052.919999999998</v>
      </c>
      <c r="Y83" s="4"/>
      <c r="Z83" s="12">
        <f>IF(T83=0,0,X83/T83)</f>
        <v>0.25127538331486177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4</v>
      </c>
      <c r="C85" s="26"/>
      <c r="D85" s="31">
        <f>+D81-D83</f>
        <v>-13021.169999999962</v>
      </c>
      <c r="E85" s="13"/>
      <c r="F85" s="36">
        <f>IF(D$12=0,0,D85/D$12)</f>
        <v>-7.0290168125776153E-2</v>
      </c>
      <c r="G85" s="13"/>
      <c r="H85" s="31">
        <f>+H81-H83</f>
        <v>-35579.369999999944</v>
      </c>
      <c r="I85" s="13"/>
      <c r="J85" s="36">
        <f>IF(H$12=0,0,H85/H$12)</f>
        <v>-0.20921458993596462</v>
      </c>
      <c r="K85" s="15"/>
      <c r="L85" s="31">
        <f>D85-H85</f>
        <v>22558.199999999983</v>
      </c>
      <c r="M85" s="15"/>
      <c r="N85" s="36">
        <f>IF(H85=0,0,L85/H85)</f>
        <v>-0.63402471713242869</v>
      </c>
      <c r="O85" s="25"/>
      <c r="P85" s="31">
        <f>+P81-P83</f>
        <v>-71955.860000000102</v>
      </c>
      <c r="Q85" s="13"/>
      <c r="R85" s="36">
        <f>IF(P$12=0,0,P85/P$12)</f>
        <v>-0.17921481214449986</v>
      </c>
      <c r="S85" s="13"/>
      <c r="T85" s="31">
        <f>+T81-T83</f>
        <v>-72411.760000000024</v>
      </c>
      <c r="U85" s="13"/>
      <c r="V85" s="36">
        <f>IF(T$12=0,0,T85/T$12)</f>
        <v>-0.18478747366855267</v>
      </c>
      <c r="W85" s="15"/>
      <c r="X85" s="31">
        <f>P85-T85</f>
        <v>455.89999999992142</v>
      </c>
      <c r="Y85" s="15"/>
      <c r="Z85" s="36">
        <f>IF(T85=0,0,X85/T85)</f>
        <v>-6.2959386707341636E-3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5</v>
      </c>
      <c r="C88" s="26"/>
      <c r="D88" s="32">
        <f>SUM(D85:D87)</f>
        <v>-13021.169999999962</v>
      </c>
      <c r="E88" s="13"/>
      <c r="F88" s="30">
        <f>IF(D$12=0,0,D88/D$12)</f>
        <v>-7.0290168125776153E-2</v>
      </c>
      <c r="G88" s="13"/>
      <c r="H88" s="32">
        <f>SUM(H85:H87)</f>
        <v>-35579.369999999944</v>
      </c>
      <c r="I88" s="13"/>
      <c r="J88" s="30">
        <f>IF(H$12=0,0,H88/H$12)</f>
        <v>-0.20921458993596462</v>
      </c>
      <c r="K88" s="15"/>
      <c r="L88" s="32">
        <f>+D88-H88</f>
        <v>22558.199999999983</v>
      </c>
      <c r="M88" s="15"/>
      <c r="N88" s="30">
        <f>IF(H88=0,0,L88/H88)</f>
        <v>-0.63402471713242869</v>
      </c>
      <c r="O88" s="25"/>
      <c r="P88" s="32">
        <f>SUM(P85:P87)</f>
        <v>-71955.860000000102</v>
      </c>
      <c r="Q88" s="13"/>
      <c r="R88" s="30">
        <f>IF(P$12=0,0,P88/P$12)</f>
        <v>-0.17921481214449986</v>
      </c>
      <c r="S88" s="13"/>
      <c r="T88" s="32">
        <f>SUM(T85:T87)</f>
        <v>-72411.760000000024</v>
      </c>
      <c r="U88" s="13"/>
      <c r="V88" s="30">
        <f>IF(T$12=0,0,T88/T$12)</f>
        <v>-0.18478747366855267</v>
      </c>
      <c r="W88" s="15"/>
      <c r="X88" s="32">
        <f>+P88-T88</f>
        <v>455.89999999992142</v>
      </c>
      <c r="Y88" s="15"/>
      <c r="Z88" s="30">
        <f>IF(T88=0,0,X88/T88)</f>
        <v>-6.2959386707341636E-3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7">
        <v>43732.710237187501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0" t="s">
        <v>313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6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","445", " - ", "Central Park Coffee House")</f>
        <v>Department 445 - Central Park Coffee House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19">
        <f>IF(D$12=0,0,D16/D$12)</f>
        <v>0</v>
      </c>
      <c r="G16" s="13"/>
      <c r="H16" s="20">
        <f>H12-H14</f>
        <v>0</v>
      </c>
      <c r="I16" s="13"/>
      <c r="J16" s="19">
        <f>IF(H$12=0,0,H16/H$12)</f>
        <v>0</v>
      </c>
      <c r="K16" s="15"/>
      <c r="L16" s="20">
        <f>+D16-H16</f>
        <v>0</v>
      </c>
      <c r="M16" s="15"/>
      <c r="N16" s="19">
        <f>IF(H16=0,0,L16/H16)</f>
        <v>0</v>
      </c>
      <c r="O16" s="25"/>
      <c r="P16" s="20">
        <f>P12-P14</f>
        <v>0</v>
      </c>
      <c r="Q16" s="13"/>
      <c r="R16" s="19">
        <f>IF(P$12=0,0,P16/P$12)</f>
        <v>0</v>
      </c>
      <c r="S16" s="13"/>
      <c r="T16" s="20">
        <f>T12-T14</f>
        <v>0</v>
      </c>
      <c r="U16" s="13"/>
      <c r="V16" s="19">
        <f>IF(T$12=0,0,T16/T$12)</f>
        <v>0</v>
      </c>
      <c r="W16" s="15"/>
      <c r="X16" s="20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2">
        <f>SUM(OSRRefD22x_0)</f>
        <v>0</v>
      </c>
      <c r="E18" s="22"/>
      <c r="F18" s="33">
        <f t="shared" ref="F18:F20" si="0">IF(D$12=0,0,D18/D$12)</f>
        <v>0</v>
      </c>
      <c r="G18" s="22"/>
      <c r="H18" s="22">
        <f>SUM(OSRRefH22x_0)</f>
        <v>0</v>
      </c>
      <c r="I18" s="22"/>
      <c r="J18" s="33">
        <f t="shared" ref="J18:J20" si="1">IF(H$12=0,0,H18/H$12)</f>
        <v>0</v>
      </c>
      <c r="K18" s="4"/>
      <c r="L18" s="22">
        <f t="shared" ref="L18:L20" si="2">+D18-H18</f>
        <v>0</v>
      </c>
      <c r="M18" s="4"/>
      <c r="N18" s="33">
        <f t="shared" ref="N18:N20" si="3">IF(H18=0,0,L18/H18)</f>
        <v>0</v>
      </c>
      <c r="O18" s="10"/>
      <c r="P18" s="22">
        <f>SUM(OSRRefP22x_0)</f>
        <v>0</v>
      </c>
      <c r="Q18" s="22"/>
      <c r="R18" s="33">
        <f t="shared" ref="R18:R20" si="4">IF(P$12=0,0,P18/P$12)</f>
        <v>0</v>
      </c>
      <c r="S18" s="22"/>
      <c r="T18" s="22">
        <f>SUM(OSRRefT22x_0)</f>
        <v>929.2</v>
      </c>
      <c r="U18" s="22"/>
      <c r="V18" s="33">
        <f t="shared" ref="V18:V20" si="5">IF(T$12=0,0,T18/T$12)</f>
        <v>0</v>
      </c>
      <c r="W18" s="4"/>
      <c r="X18" s="22">
        <f t="shared" ref="X18:X20" si="6">+P18-T18</f>
        <v>-929.2</v>
      </c>
      <c r="Y18" s="4"/>
      <c r="Z18" s="33">
        <f t="shared" ref="Z18:Z20" si="7">IF(T18=0,0,X18/T18)</f>
        <v>-1</v>
      </c>
    </row>
    <row r="19" spans="1:26" s="27" customFormat="1" outlineLevel="1" collapsed="1" x14ac:dyDescent="0.25">
      <c r="A19" s="28"/>
      <c r="B19" s="14" t="str">
        <f>CONCATENATE("     ","General                                           ")</f>
        <v xml:space="preserve">     General  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929.2</v>
      </c>
      <c r="U19" s="1"/>
      <c r="V19" s="5">
        <f t="shared" si="5"/>
        <v>0</v>
      </c>
      <c r="W19" s="1"/>
      <c r="X19" s="1">
        <f t="shared" si="6"/>
        <v>-929.2</v>
      </c>
      <c r="Y19" s="1"/>
      <c r="Z19" s="5">
        <f t="shared" si="7"/>
        <v>-1</v>
      </c>
    </row>
    <row r="20" spans="1:26" s="24" customFormat="1" hidden="1" outlineLevel="2" x14ac:dyDescent="0.25">
      <c r="A20" s="29"/>
      <c r="B20" s="11" t="str">
        <f>CONCATENATE("          ", "6279", " - ", "GENERAL EXPENSE")</f>
        <v xml:space="preserve">          6279 - GENERAL EXPENSE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929.2</v>
      </c>
      <c r="U20" s="2"/>
      <c r="V20" s="6">
        <f t="shared" si="5"/>
        <v>0</v>
      </c>
      <c r="W20" s="2"/>
      <c r="X20" s="7">
        <f t="shared" si="6"/>
        <v>-929.2</v>
      </c>
      <c r="Y20" s="2"/>
      <c r="Z20" s="6">
        <f t="shared" si="7"/>
        <v>-1</v>
      </c>
    </row>
    <row r="21" spans="1:26" s="62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3</v>
      </c>
      <c r="C24" s="26"/>
      <c r="D24" s="20">
        <f>+D16-D18+D22</f>
        <v>0</v>
      </c>
      <c r="E24" s="13"/>
      <c r="F24" s="19">
        <f>IF(D$12=0,0,D24/D$12)</f>
        <v>0</v>
      </c>
      <c r="G24" s="13"/>
      <c r="H24" s="20">
        <f>+H16-H18+H22</f>
        <v>0</v>
      </c>
      <c r="I24" s="13"/>
      <c r="J24" s="19">
        <f>IF(H$12=0,0,H24/H$12)</f>
        <v>0</v>
      </c>
      <c r="K24" s="15"/>
      <c r="L24" s="20">
        <f>+D24-H24</f>
        <v>0</v>
      </c>
      <c r="M24" s="15"/>
      <c r="N24" s="19">
        <f>IF(H24=0,0,L24/H24)</f>
        <v>0</v>
      </c>
      <c r="O24" s="25"/>
      <c r="P24" s="20">
        <f>+P16-P18+P22</f>
        <v>0</v>
      </c>
      <c r="Q24" s="13"/>
      <c r="R24" s="19">
        <f>IF(P$12=0,0,P24/P$12)</f>
        <v>0</v>
      </c>
      <c r="S24" s="13"/>
      <c r="T24" s="20">
        <f>+T16-T18+T22</f>
        <v>-929.2</v>
      </c>
      <c r="U24" s="13"/>
      <c r="V24" s="19">
        <f>IF(T$12=0,0,T24/T$12)</f>
        <v>0</v>
      </c>
      <c r="W24" s="15"/>
      <c r="X24" s="20">
        <f>+P24-T24</f>
        <v>929.2</v>
      </c>
      <c r="Y24" s="15"/>
      <c r="Z24" s="19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6" t="s">
        <v>4</v>
      </c>
      <c r="C28" s="26"/>
      <c r="D28" s="31">
        <f>+D24-D26</f>
        <v>0</v>
      </c>
      <c r="E28" s="13"/>
      <c r="F28" s="36">
        <f>IF(D$12=0,0,D28/D$12)</f>
        <v>0</v>
      </c>
      <c r="G28" s="13"/>
      <c r="H28" s="31">
        <f>+H24-H26</f>
        <v>0</v>
      </c>
      <c r="I28" s="13"/>
      <c r="J28" s="36">
        <f>IF(H$12=0,0,H28/H$12)</f>
        <v>0</v>
      </c>
      <c r="K28" s="15"/>
      <c r="L28" s="31">
        <f>D28-H28</f>
        <v>0</v>
      </c>
      <c r="M28" s="15"/>
      <c r="N28" s="36">
        <f>IF(H28=0,0,L28/H28)</f>
        <v>0</v>
      </c>
      <c r="O28" s="25"/>
      <c r="P28" s="31">
        <f>+P24-P26</f>
        <v>0</v>
      </c>
      <c r="Q28" s="13"/>
      <c r="R28" s="36">
        <f>IF(P$12=0,0,P28/P$12)</f>
        <v>0</v>
      </c>
      <c r="S28" s="13"/>
      <c r="T28" s="31">
        <f>+T24-T26</f>
        <v>-929.2</v>
      </c>
      <c r="U28" s="13"/>
      <c r="V28" s="36">
        <f>IF(T$12=0,0,T28/T$12)</f>
        <v>0</v>
      </c>
      <c r="W28" s="15"/>
      <c r="X28" s="31">
        <f>P28-T28</f>
        <v>929.2</v>
      </c>
      <c r="Y28" s="15"/>
      <c r="Z28" s="36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2">
        <f>SUM(D28:D30)</f>
        <v>0</v>
      </c>
      <c r="E31" s="13"/>
      <c r="F31" s="30">
        <f>IF(D$12=0,0,D31/D$12)</f>
        <v>0</v>
      </c>
      <c r="G31" s="13"/>
      <c r="H31" s="32">
        <f>SUM(H28:H30)</f>
        <v>0</v>
      </c>
      <c r="I31" s="13"/>
      <c r="J31" s="30">
        <f>IF(H$12=0,0,H31/H$12)</f>
        <v>0</v>
      </c>
      <c r="K31" s="15"/>
      <c r="L31" s="32">
        <f>+D31-H31</f>
        <v>0</v>
      </c>
      <c r="M31" s="15"/>
      <c r="N31" s="30">
        <f>IF(H31=0,0,L31/H31)</f>
        <v>0</v>
      </c>
      <c r="O31" s="25"/>
      <c r="P31" s="32">
        <f>SUM(P28:P30)</f>
        <v>0</v>
      </c>
      <c r="Q31" s="13"/>
      <c r="R31" s="30">
        <f>IF(P$12=0,0,P31/P$12)</f>
        <v>0</v>
      </c>
      <c r="S31" s="13"/>
      <c r="T31" s="32">
        <f>SUM(T28:T30)</f>
        <v>-929.2</v>
      </c>
      <c r="U31" s="13"/>
      <c r="V31" s="30">
        <f>IF(T$12=0,0,T31/T$12)</f>
        <v>0</v>
      </c>
      <c r="W31" s="15"/>
      <c r="X31" s="32">
        <f>+P31-T31</f>
        <v>929.2</v>
      </c>
      <c r="Y31" s="15"/>
      <c r="Z31" s="30">
        <f>IF(T31=0,0,X31/T31)</f>
        <v>-1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7">
        <v>43732.710253356483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0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6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","450", " - ", "Beachside Dining Hall")</f>
        <v>Department 450 - Beachside Dining Hall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79050.31</v>
      </c>
      <c r="E12" s="4"/>
      <c r="F12" s="12"/>
      <c r="G12" s="4"/>
      <c r="H12" s="4">
        <f>SUM(OSRRefH13x_0)</f>
        <v>80412.19</v>
      </c>
      <c r="I12" s="4"/>
      <c r="J12" s="12"/>
      <c r="K12" s="4"/>
      <c r="L12" s="4">
        <f t="shared" ref="L12:L15" si="0">+D12-H12</f>
        <v>-1361.8800000000047</v>
      </c>
      <c r="M12" s="4"/>
      <c r="N12" s="12">
        <f t="shared" ref="N12:N15" si="1">IF(H12=0,0,L12/H12)</f>
        <v>-1.6936238149962146E-2</v>
      </c>
      <c r="O12" s="10"/>
      <c r="P12" s="4">
        <f>SUM(OSRRefP13x_0)</f>
        <v>125727.15000000001</v>
      </c>
      <c r="Q12" s="4"/>
      <c r="R12" s="12"/>
      <c r="S12" s="4"/>
      <c r="T12" s="4">
        <f>SUM(OSRRefT13x_0)</f>
        <v>80412.19</v>
      </c>
      <c r="U12" s="4"/>
      <c r="V12" s="12"/>
      <c r="W12" s="4"/>
      <c r="X12" s="4">
        <f t="shared" ref="X12:X15" si="2">+P12-T12</f>
        <v>45314.960000000006</v>
      </c>
      <c r="Y12" s="4"/>
      <c r="Z12" s="12">
        <f t="shared" ref="Z12:Z15" si="3">IF(T12=0,0,X12/T12)</f>
        <v>0.56353346426704709</v>
      </c>
    </row>
    <row r="13" spans="1:26" s="24" customFormat="1" hidden="1" outlineLevel="1" x14ac:dyDescent="0.25">
      <c r="A13" s="50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21"/>
      <c r="G13" s="2"/>
      <c r="H13" s="2">
        <f>--89.18</f>
        <v>89.18</v>
      </c>
      <c r="I13" s="2"/>
      <c r="J13" s="21"/>
      <c r="K13" s="2"/>
      <c r="L13" s="2">
        <f t="shared" si="0"/>
        <v>-89.18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f>--89.18</f>
        <v>89.18</v>
      </c>
      <c r="U13" s="2"/>
      <c r="V13" s="21"/>
      <c r="W13" s="2"/>
      <c r="X13" s="2">
        <f t="shared" si="2"/>
        <v>-89.18</v>
      </c>
      <c r="Y13" s="2"/>
      <c r="Z13" s="21">
        <f t="shared" si="3"/>
        <v>-1</v>
      </c>
    </row>
    <row r="14" spans="1:26" s="24" customFormat="1" hidden="1" outlineLevel="1" x14ac:dyDescent="0.25">
      <c r="A14" s="50"/>
      <c r="B14" s="11" t="str">
        <f>CONCATENATE("          ", "4151", " - ", "NON-TAXABLE SALES-FOOD")</f>
        <v xml:space="preserve">          4151 - NON-TAXABLE SALES-FOOD</v>
      </c>
      <c r="C14" s="11"/>
      <c r="D14" s="2">
        <f>--79050.31</f>
        <v>79050.31</v>
      </c>
      <c r="E14" s="2"/>
      <c r="F14" s="21"/>
      <c r="G14" s="2"/>
      <c r="H14" s="2">
        <f>--79786.85</f>
        <v>79786.850000000006</v>
      </c>
      <c r="I14" s="2"/>
      <c r="J14" s="21"/>
      <c r="K14" s="2"/>
      <c r="L14" s="2">
        <f t="shared" si="0"/>
        <v>-736.54000000000815</v>
      </c>
      <c r="M14" s="2"/>
      <c r="N14" s="21">
        <f t="shared" si="1"/>
        <v>-9.2313457668777264E-3</v>
      </c>
      <c r="O14" s="11"/>
      <c r="P14" s="2">
        <f>--125066.41</f>
        <v>125066.41</v>
      </c>
      <c r="Q14" s="2"/>
      <c r="R14" s="21"/>
      <c r="S14" s="2"/>
      <c r="T14" s="2">
        <f>--79786.85</f>
        <v>79786.850000000006</v>
      </c>
      <c r="U14" s="2"/>
      <c r="V14" s="21"/>
      <c r="W14" s="2"/>
      <c r="X14" s="2">
        <f t="shared" si="2"/>
        <v>45279.56</v>
      </c>
      <c r="Y14" s="2"/>
      <c r="Z14" s="21">
        <f t="shared" si="3"/>
        <v>0.56750655026486185</v>
      </c>
    </row>
    <row r="15" spans="1:26" s="24" customFormat="1" hidden="1" outlineLevel="1" x14ac:dyDescent="0.25">
      <c r="A15" s="50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21"/>
      <c r="G15" s="2"/>
      <c r="H15" s="2">
        <f>--536.16</f>
        <v>536.16</v>
      </c>
      <c r="I15" s="2"/>
      <c r="J15" s="21"/>
      <c r="K15" s="2"/>
      <c r="L15" s="2">
        <f t="shared" si="0"/>
        <v>-536.16</v>
      </c>
      <c r="M15" s="2"/>
      <c r="N15" s="21">
        <f t="shared" si="1"/>
        <v>-1</v>
      </c>
      <c r="O15" s="11"/>
      <c r="P15" s="2">
        <f>--660.74</f>
        <v>660.74</v>
      </c>
      <c r="Q15" s="2"/>
      <c r="R15" s="21"/>
      <c r="S15" s="2"/>
      <c r="T15" s="2">
        <f>--536.16</f>
        <v>536.16</v>
      </c>
      <c r="U15" s="2"/>
      <c r="V15" s="21"/>
      <c r="W15" s="2"/>
      <c r="X15" s="2">
        <f t="shared" si="2"/>
        <v>124.58000000000004</v>
      </c>
      <c r="Y15" s="2"/>
      <c r="Z15" s="21">
        <f t="shared" si="3"/>
        <v>0.23235601313040893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32443.72</v>
      </c>
      <c r="E17" s="4"/>
      <c r="F17" s="12">
        <f t="shared" ref="F17:F19" si="4">IF(D$12=0,0,D17/D$12)</f>
        <v>0.4104186308693793</v>
      </c>
      <c r="G17" s="4"/>
      <c r="H17" s="4">
        <f>SUM(OSRRefH16x_0)</f>
        <v>38859.769999999997</v>
      </c>
      <c r="I17" s="4"/>
      <c r="J17" s="12">
        <f t="shared" ref="J17:J19" si="5">IF(H$12=0,0,H17/H$12)</f>
        <v>0.48325720267039107</v>
      </c>
      <c r="K17" s="4"/>
      <c r="L17" s="4">
        <f t="shared" ref="L17:L19" si="6">+D17-H17</f>
        <v>-6416.0499999999956</v>
      </c>
      <c r="M17" s="4"/>
      <c r="N17" s="12">
        <f t="shared" ref="N17:N19" si="7">IF(H17=0,0,L17/H17)</f>
        <v>-0.1651077708385818</v>
      </c>
      <c r="O17" s="10"/>
      <c r="P17" s="4">
        <f>SUM(OSRRefP16x_0)</f>
        <v>40626.009999999995</v>
      </c>
      <c r="Q17" s="4"/>
      <c r="R17" s="12">
        <f t="shared" ref="R17:R19" si="8">IF(P$12=0,0,P17/P$12)</f>
        <v>0.32312837760181468</v>
      </c>
      <c r="S17" s="4"/>
      <c r="T17" s="4">
        <f>SUM(OSRRefT16x_0)</f>
        <v>39197.630000000005</v>
      </c>
      <c r="U17" s="4"/>
      <c r="V17" s="12">
        <f t="shared" ref="V17:V19" si="9">IF(T$12=0,0,T17/T$12)</f>
        <v>0.48745880444246081</v>
      </c>
      <c r="W17" s="4"/>
      <c r="X17" s="4">
        <f t="shared" ref="X17:X19" si="10">+P17-T17</f>
        <v>1428.3799999999901</v>
      </c>
      <c r="Y17" s="4"/>
      <c r="Z17" s="12">
        <f t="shared" ref="Z17:Z19" si="11">IF(T17=0,0,X17/T17)</f>
        <v>3.6440468467098391E-2</v>
      </c>
    </row>
    <row r="18" spans="1:26" s="24" customFormat="1" hidden="1" outlineLevel="1" x14ac:dyDescent="0.25">
      <c r="A18" s="50"/>
      <c r="B18" s="11" t="str">
        <f>CONCATENATE("          ", "5053", " - ", "PURCHASES @ COST-FOOD")</f>
        <v xml:space="preserve">          5053 - PURCHASES @ COST-FOOD</v>
      </c>
      <c r="C18" s="11"/>
      <c r="D18" s="2">
        <v>34542.720000000001</v>
      </c>
      <c r="E18" s="2"/>
      <c r="F18" s="21">
        <f t="shared" si="4"/>
        <v>0.43697134141535943</v>
      </c>
      <c r="G18" s="2"/>
      <c r="H18" s="2">
        <v>42025.77</v>
      </c>
      <c r="I18" s="2"/>
      <c r="J18" s="21">
        <f t="shared" si="5"/>
        <v>0.52262934264071148</v>
      </c>
      <c r="K18" s="2"/>
      <c r="L18" s="2">
        <f t="shared" si="6"/>
        <v>-7483.0499999999956</v>
      </c>
      <c r="M18" s="2"/>
      <c r="N18" s="21">
        <f t="shared" si="7"/>
        <v>-0.17805860546992944</v>
      </c>
      <c r="O18" s="11"/>
      <c r="P18" s="2">
        <v>41763.009999999995</v>
      </c>
      <c r="Q18" s="2"/>
      <c r="R18" s="21">
        <f t="shared" si="8"/>
        <v>0.33217177037736073</v>
      </c>
      <c r="S18" s="2"/>
      <c r="T18" s="2">
        <v>42363.630000000005</v>
      </c>
      <c r="U18" s="2"/>
      <c r="V18" s="21">
        <f t="shared" si="9"/>
        <v>0.52683094441278122</v>
      </c>
      <c r="W18" s="2"/>
      <c r="X18" s="2">
        <f t="shared" si="10"/>
        <v>-600.6200000000099</v>
      </c>
      <c r="Y18" s="2"/>
      <c r="Z18" s="21">
        <f t="shared" si="11"/>
        <v>-1.4177727451590193E-2</v>
      </c>
    </row>
    <row r="19" spans="1:26" s="24" customFormat="1" hidden="1" outlineLevel="1" x14ac:dyDescent="0.25">
      <c r="A19" s="50"/>
      <c r="B19" s="11" t="str">
        <f>CONCATENATE("          ", "5059", " - ", "PURCHASES @ COST-FOOD")</f>
        <v xml:space="preserve">          5059 - PURCHASES @ COST-FOOD</v>
      </c>
      <c r="C19" s="11"/>
      <c r="D19" s="2">
        <v>-2099</v>
      </c>
      <c r="E19" s="2"/>
      <c r="F19" s="21">
        <f t="shared" si="4"/>
        <v>-2.655271054598015E-2</v>
      </c>
      <c r="G19" s="2"/>
      <c r="H19" s="2">
        <v>-3166</v>
      </c>
      <c r="I19" s="2"/>
      <c r="J19" s="21">
        <f t="shared" si="5"/>
        <v>-3.9372139970320422E-2</v>
      </c>
      <c r="K19" s="2"/>
      <c r="L19" s="2">
        <f t="shared" si="6"/>
        <v>1067</v>
      </c>
      <c r="M19" s="2"/>
      <c r="N19" s="21">
        <f t="shared" si="7"/>
        <v>-0.33701831964624129</v>
      </c>
      <c r="O19" s="11"/>
      <c r="P19" s="2">
        <v>-1137</v>
      </c>
      <c r="Q19" s="2"/>
      <c r="R19" s="21">
        <f t="shared" si="8"/>
        <v>-9.0433927755460934E-3</v>
      </c>
      <c r="S19" s="2"/>
      <c r="T19" s="2">
        <v>-3166</v>
      </c>
      <c r="U19" s="2"/>
      <c r="V19" s="21">
        <f t="shared" si="9"/>
        <v>-3.9372139970320422E-2</v>
      </c>
      <c r="W19" s="2"/>
      <c r="X19" s="2">
        <f t="shared" si="10"/>
        <v>2029</v>
      </c>
      <c r="Y19" s="2"/>
      <c r="Z19" s="21">
        <f t="shared" si="11"/>
        <v>-0.64087176247631084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0">
        <f>D12-D17</f>
        <v>46606.59</v>
      </c>
      <c r="E21" s="13"/>
      <c r="F21" s="19">
        <f>IF(D$12=0,0,D21/D$12)</f>
        <v>0.58958136913062076</v>
      </c>
      <c r="G21" s="13"/>
      <c r="H21" s="20">
        <f>H12-H17</f>
        <v>41552.420000000006</v>
      </c>
      <c r="I21" s="13"/>
      <c r="J21" s="19">
        <f>IF(H$12=0,0,H21/H$12)</f>
        <v>0.51674279732960893</v>
      </c>
      <c r="K21" s="15"/>
      <c r="L21" s="20">
        <f>+D21-H21</f>
        <v>5054.169999999991</v>
      </c>
      <c r="M21" s="15"/>
      <c r="N21" s="19">
        <f>IF(H21=0,0,L21/H21)</f>
        <v>0.1216335895719188</v>
      </c>
      <c r="O21" s="25"/>
      <c r="P21" s="20">
        <f>P12-P17</f>
        <v>85101.140000000014</v>
      </c>
      <c r="Q21" s="13"/>
      <c r="R21" s="19">
        <f>IF(P$12=0,0,P21/P$12)</f>
        <v>0.67687162239818532</v>
      </c>
      <c r="S21" s="13"/>
      <c r="T21" s="20">
        <f>T12-T17</f>
        <v>41214.559999999998</v>
      </c>
      <c r="U21" s="13"/>
      <c r="V21" s="19">
        <f>IF(T$12=0,0,T21/T$12)</f>
        <v>0.51254119555753919</v>
      </c>
      <c r="W21" s="15"/>
      <c r="X21" s="20">
        <f>+P21-T21</f>
        <v>43886.580000000016</v>
      </c>
      <c r="Y21" s="15"/>
      <c r="Z21" s="19">
        <f>IF(T21=0,0,X21/T21)</f>
        <v>1.0648319428862039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2">
        <f>SUM(OSRRefD22x_0)</f>
        <v>96311.659999999974</v>
      </c>
      <c r="E23" s="22"/>
      <c r="F23" s="33">
        <f t="shared" ref="F23:F33" si="12">IF(D$12=0,0,D23/D$12)</f>
        <v>1.2183590424882582</v>
      </c>
      <c r="G23" s="22"/>
      <c r="H23" s="22">
        <f>SUM(OSRRefH22x_0)</f>
        <v>88219.92</v>
      </c>
      <c r="I23" s="22"/>
      <c r="J23" s="33">
        <f t="shared" ref="J23:J33" si="13">IF(H$12=0,0,H23/H$12)</f>
        <v>1.0970963482029279</v>
      </c>
      <c r="K23" s="4"/>
      <c r="L23" s="22">
        <f t="shared" ref="L23:L33" si="14">+D23-H23</f>
        <v>8091.7399999999761</v>
      </c>
      <c r="M23" s="4"/>
      <c r="N23" s="33">
        <f t="shared" ref="N23:N33" si="15">IF(H23=0,0,L23/H23)</f>
        <v>9.172236837213156E-2</v>
      </c>
      <c r="O23" s="10"/>
      <c r="P23" s="22">
        <f>SUM(OSRRefP22x_0)</f>
        <v>184823.53999999998</v>
      </c>
      <c r="Q23" s="22"/>
      <c r="R23" s="33">
        <f t="shared" ref="R23:R33" si="16">IF(P$12=0,0,P23/P$12)</f>
        <v>1.4700368218002235</v>
      </c>
      <c r="S23" s="22"/>
      <c r="T23" s="22">
        <f>SUM(OSRRefT22x_0)</f>
        <v>141982.89000000004</v>
      </c>
      <c r="U23" s="22"/>
      <c r="V23" s="33">
        <f t="shared" ref="V23:V33" si="17">IF(T$12=0,0,T23/T$12)</f>
        <v>1.7656886350191436</v>
      </c>
      <c r="W23" s="4"/>
      <c r="X23" s="22">
        <f t="shared" ref="X23:X33" si="18">+P23-T23</f>
        <v>42840.649999999936</v>
      </c>
      <c r="Y23" s="4"/>
      <c r="Z23" s="33">
        <f t="shared" ref="Z23:Z33" si="19">IF(T23=0,0,X23/T23)</f>
        <v>0.30173107477950284</v>
      </c>
    </row>
    <row r="24" spans="1:26" s="27" customFormat="1" outlineLevel="1" collapsed="1" x14ac:dyDescent="0.25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24480.83</v>
      </c>
      <c r="E24" s="1"/>
      <c r="F24" s="5">
        <f t="shared" si="12"/>
        <v>0.30968670458091818</v>
      </c>
      <c r="G24" s="1"/>
      <c r="H24" s="1">
        <f>SUM(OSRRefH22_0x_0)</f>
        <v>25324.71</v>
      </c>
      <c r="I24" s="1"/>
      <c r="J24" s="5">
        <f t="shared" si="13"/>
        <v>0.31493620556783741</v>
      </c>
      <c r="K24" s="1"/>
      <c r="L24" s="1">
        <f t="shared" si="14"/>
        <v>-843.87999999999738</v>
      </c>
      <c r="M24" s="1"/>
      <c r="N24" s="5">
        <f t="shared" si="15"/>
        <v>-3.3322395399591836E-2</v>
      </c>
      <c r="O24" s="14"/>
      <c r="P24" s="1">
        <f>SUM(OSRRefP22_0x_0)</f>
        <v>50666.739999999991</v>
      </c>
      <c r="Q24" s="1"/>
      <c r="R24" s="5">
        <f t="shared" si="16"/>
        <v>0.40298964861607051</v>
      </c>
      <c r="S24" s="1"/>
      <c r="T24" s="1">
        <f>SUM(OSRRefT22_0x_0)</f>
        <v>43920.749999999993</v>
      </c>
      <c r="U24" s="1"/>
      <c r="V24" s="5">
        <f t="shared" si="17"/>
        <v>0.54619517264733108</v>
      </c>
      <c r="W24" s="1"/>
      <c r="X24" s="1">
        <f t="shared" si="18"/>
        <v>6745.989999999998</v>
      </c>
      <c r="Y24" s="1"/>
      <c r="Z24" s="5">
        <f t="shared" si="19"/>
        <v>0.15359459936362652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7">
        <v>2737.33</v>
      </c>
      <c r="E25" s="2"/>
      <c r="F25" s="6">
        <f t="shared" si="12"/>
        <v>3.4627694692152378E-2</v>
      </c>
      <c r="G25" s="2"/>
      <c r="H25" s="7">
        <v>2922.17</v>
      </c>
      <c r="I25" s="2"/>
      <c r="J25" s="6">
        <f t="shared" si="13"/>
        <v>3.6339888268184212E-2</v>
      </c>
      <c r="K25" s="2"/>
      <c r="L25" s="7">
        <f t="shared" si="14"/>
        <v>-184.84000000000015</v>
      </c>
      <c r="M25" s="2"/>
      <c r="N25" s="6">
        <f t="shared" si="15"/>
        <v>-6.3254362340315631E-2</v>
      </c>
      <c r="O25" s="11"/>
      <c r="P25" s="7">
        <v>5203.24</v>
      </c>
      <c r="Q25" s="2"/>
      <c r="R25" s="6">
        <f t="shared" si="16"/>
        <v>4.1385174164848243E-2</v>
      </c>
      <c r="S25" s="2"/>
      <c r="T25" s="7">
        <v>5080.22</v>
      </c>
      <c r="U25" s="2"/>
      <c r="V25" s="6">
        <f t="shared" si="17"/>
        <v>6.3177237182571455E-2</v>
      </c>
      <c r="W25" s="2"/>
      <c r="X25" s="7">
        <f t="shared" si="18"/>
        <v>123.01999999999953</v>
      </c>
      <c r="Y25" s="2"/>
      <c r="Z25" s="6">
        <f t="shared" si="19"/>
        <v>2.4215486730889513E-2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>
        <v>1610.45</v>
      </c>
      <c r="E26" s="2"/>
      <c r="F26" s="6">
        <f t="shared" si="12"/>
        <v>2.0372469127572051E-2</v>
      </c>
      <c r="G26" s="2"/>
      <c r="H26" s="7">
        <v>1543.28</v>
      </c>
      <c r="I26" s="2"/>
      <c r="J26" s="6">
        <f t="shared" si="13"/>
        <v>1.9192115026341154E-2</v>
      </c>
      <c r="K26" s="2"/>
      <c r="L26" s="7">
        <f t="shared" si="14"/>
        <v>67.170000000000073</v>
      </c>
      <c r="M26" s="2"/>
      <c r="N26" s="6">
        <f t="shared" si="15"/>
        <v>4.3524182261158104E-2</v>
      </c>
      <c r="O26" s="11"/>
      <c r="P26" s="7">
        <v>3117.02</v>
      </c>
      <c r="Q26" s="2"/>
      <c r="R26" s="6">
        <f t="shared" si="16"/>
        <v>2.4791940324742905E-2</v>
      </c>
      <c r="S26" s="2"/>
      <c r="T26" s="7">
        <v>3100.94</v>
      </c>
      <c r="U26" s="2"/>
      <c r="V26" s="6">
        <f t="shared" si="17"/>
        <v>3.856305866063342E-2</v>
      </c>
      <c r="W26" s="2"/>
      <c r="X26" s="7">
        <f t="shared" si="18"/>
        <v>16.079999999999927</v>
      </c>
      <c r="Y26" s="2"/>
      <c r="Z26" s="6">
        <f t="shared" si="19"/>
        <v>5.1855243893786807E-3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7">
        <v>14138.69</v>
      </c>
      <c r="E27" s="2"/>
      <c r="F27" s="6">
        <f t="shared" si="12"/>
        <v>0.17885685710783425</v>
      </c>
      <c r="G27" s="2"/>
      <c r="H27" s="7">
        <v>14801.3</v>
      </c>
      <c r="I27" s="2"/>
      <c r="J27" s="6">
        <f t="shared" si="13"/>
        <v>0.18406786334261011</v>
      </c>
      <c r="K27" s="2"/>
      <c r="L27" s="7">
        <f t="shared" si="14"/>
        <v>-662.60999999999876</v>
      </c>
      <c r="M27" s="2"/>
      <c r="N27" s="6">
        <f t="shared" si="15"/>
        <v>-4.4767013708255275E-2</v>
      </c>
      <c r="O27" s="11"/>
      <c r="P27" s="7">
        <v>25241.88</v>
      </c>
      <c r="Q27" s="2"/>
      <c r="R27" s="6">
        <f t="shared" si="16"/>
        <v>0.20076713740826863</v>
      </c>
      <c r="S27" s="2"/>
      <c r="T27" s="7">
        <v>20242.099999999999</v>
      </c>
      <c r="U27" s="2"/>
      <c r="V27" s="6">
        <f t="shared" si="17"/>
        <v>0.25172924652344375</v>
      </c>
      <c r="W27" s="2"/>
      <c r="X27" s="7">
        <f t="shared" si="18"/>
        <v>4999.7800000000025</v>
      </c>
      <c r="Y27" s="2"/>
      <c r="Z27" s="6">
        <f t="shared" si="19"/>
        <v>0.24699907618280725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107.9</v>
      </c>
      <c r="E28" s="2"/>
      <c r="F28" s="6">
        <f t="shared" si="12"/>
        <v>1.3649535340215619E-3</v>
      </c>
      <c r="G28" s="2"/>
      <c r="H28" s="7">
        <v>114.76</v>
      </c>
      <c r="I28" s="2"/>
      <c r="J28" s="6">
        <f t="shared" si="13"/>
        <v>1.4271468044832506E-3</v>
      </c>
      <c r="K28" s="2"/>
      <c r="L28" s="7">
        <f t="shared" si="14"/>
        <v>-6.8599999999999994</v>
      </c>
      <c r="M28" s="2"/>
      <c r="N28" s="6">
        <f t="shared" si="15"/>
        <v>-5.9776925758103859E-2</v>
      </c>
      <c r="O28" s="11"/>
      <c r="P28" s="7">
        <v>208.88</v>
      </c>
      <c r="Q28" s="2"/>
      <c r="R28" s="6">
        <f t="shared" si="16"/>
        <v>1.6613754467511589E-3</v>
      </c>
      <c r="S28" s="2"/>
      <c r="T28" s="7">
        <v>230.47</v>
      </c>
      <c r="U28" s="2"/>
      <c r="V28" s="6">
        <f t="shared" si="17"/>
        <v>2.8661077381426868E-3</v>
      </c>
      <c r="W28" s="2"/>
      <c r="X28" s="7">
        <f t="shared" si="18"/>
        <v>-21.590000000000003</v>
      </c>
      <c r="Y28" s="2"/>
      <c r="Z28" s="6">
        <f t="shared" si="19"/>
        <v>-9.3678135982991295E-2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7">
        <v>1212.42</v>
      </c>
      <c r="E29" s="2"/>
      <c r="F29" s="6">
        <f t="shared" si="12"/>
        <v>1.5337321257816701E-2</v>
      </c>
      <c r="G29" s="2"/>
      <c r="H29" s="7">
        <v>841.53</v>
      </c>
      <c r="I29" s="2"/>
      <c r="J29" s="6">
        <f t="shared" si="13"/>
        <v>1.0465204342774398E-2</v>
      </c>
      <c r="K29" s="2"/>
      <c r="L29" s="7">
        <f t="shared" si="14"/>
        <v>370.8900000000001</v>
      </c>
      <c r="M29" s="2"/>
      <c r="N29" s="6">
        <f t="shared" si="15"/>
        <v>0.44073295069694496</v>
      </c>
      <c r="O29" s="11"/>
      <c r="P29" s="7">
        <v>2172.06</v>
      </c>
      <c r="Q29" s="2"/>
      <c r="R29" s="6">
        <f t="shared" si="16"/>
        <v>1.7275982156598632E-2</v>
      </c>
      <c r="S29" s="2"/>
      <c r="T29" s="7">
        <v>2091.58</v>
      </c>
      <c r="U29" s="2"/>
      <c r="V29" s="6">
        <f t="shared" si="17"/>
        <v>2.6010732949817681E-2</v>
      </c>
      <c r="W29" s="2"/>
      <c r="X29" s="7">
        <f t="shared" si="18"/>
        <v>80.480000000000018</v>
      </c>
      <c r="Y29" s="2"/>
      <c r="Z29" s="6">
        <f t="shared" si="19"/>
        <v>3.8478088335134213E-2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7">
        <v>294.31</v>
      </c>
      <c r="E30" s="2"/>
      <c r="F30" s="6">
        <f t="shared" si="12"/>
        <v>3.7230720537338819E-3</v>
      </c>
      <c r="G30" s="2"/>
      <c r="H30" s="7">
        <v>343.57</v>
      </c>
      <c r="I30" s="2"/>
      <c r="J30" s="6">
        <f t="shared" si="13"/>
        <v>4.2726109063812336E-3</v>
      </c>
      <c r="K30" s="2"/>
      <c r="L30" s="7">
        <f t="shared" si="14"/>
        <v>-49.259999999999991</v>
      </c>
      <c r="M30" s="2"/>
      <c r="N30" s="6">
        <f t="shared" si="15"/>
        <v>-0.14337689553802715</v>
      </c>
      <c r="O30" s="11"/>
      <c r="P30" s="7">
        <v>552.28</v>
      </c>
      <c r="Q30" s="2"/>
      <c r="R30" s="6">
        <f t="shared" si="16"/>
        <v>4.3926868619864516E-3</v>
      </c>
      <c r="S30" s="2"/>
      <c r="T30" s="7">
        <v>698.29</v>
      </c>
      <c r="U30" s="2"/>
      <c r="V30" s="6">
        <f t="shared" si="17"/>
        <v>8.6838823815145426E-3</v>
      </c>
      <c r="W30" s="2"/>
      <c r="X30" s="7">
        <f t="shared" si="18"/>
        <v>-146.01</v>
      </c>
      <c r="Y30" s="2"/>
      <c r="Z30" s="6">
        <f t="shared" si="19"/>
        <v>-0.2090965071818299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7">
        <v>1999.34</v>
      </c>
      <c r="E31" s="2"/>
      <c r="F31" s="6">
        <f t="shared" si="12"/>
        <v>2.529199442734633E-2</v>
      </c>
      <c r="G31" s="2"/>
      <c r="H31" s="7">
        <v>2064.2199999999998</v>
      </c>
      <c r="I31" s="2"/>
      <c r="J31" s="6">
        <f t="shared" si="13"/>
        <v>2.5670486029543527E-2</v>
      </c>
      <c r="K31" s="2"/>
      <c r="L31" s="7">
        <f t="shared" si="14"/>
        <v>-64.879999999999882</v>
      </c>
      <c r="M31" s="2"/>
      <c r="N31" s="6">
        <f t="shared" si="15"/>
        <v>-3.1430758349400685E-2</v>
      </c>
      <c r="O31" s="11"/>
      <c r="P31" s="7">
        <v>4811.95</v>
      </c>
      <c r="Q31" s="2"/>
      <c r="R31" s="6">
        <f t="shared" si="16"/>
        <v>3.8272958545548831E-2</v>
      </c>
      <c r="S31" s="2"/>
      <c r="T31" s="7">
        <v>4623.13</v>
      </c>
      <c r="U31" s="2"/>
      <c r="V31" s="6">
        <f t="shared" si="17"/>
        <v>5.749290001926325E-2</v>
      </c>
      <c r="W31" s="2"/>
      <c r="X31" s="7">
        <f t="shared" si="18"/>
        <v>188.81999999999971</v>
      </c>
      <c r="Y31" s="2"/>
      <c r="Z31" s="6">
        <f t="shared" si="19"/>
        <v>4.0842459545805482E-2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7">
        <v>1353.62</v>
      </c>
      <c r="E32" s="2"/>
      <c r="F32" s="6">
        <f t="shared" si="12"/>
        <v>1.7123525511791162E-2</v>
      </c>
      <c r="G32" s="2"/>
      <c r="H32" s="7">
        <v>1348.32</v>
      </c>
      <c r="I32" s="2"/>
      <c r="J32" s="6">
        <f t="shared" si="13"/>
        <v>1.6767607000878846E-2</v>
      </c>
      <c r="K32" s="2"/>
      <c r="L32" s="7">
        <f t="shared" si="14"/>
        <v>5.2999999999999545</v>
      </c>
      <c r="M32" s="2"/>
      <c r="N32" s="6">
        <f t="shared" si="15"/>
        <v>3.9308176100628592E-3</v>
      </c>
      <c r="O32" s="11"/>
      <c r="P32" s="7">
        <v>7323.75</v>
      </c>
      <c r="Q32" s="2"/>
      <c r="R32" s="6">
        <f t="shared" si="16"/>
        <v>5.8251141459899472E-2</v>
      </c>
      <c r="S32" s="2"/>
      <c r="T32" s="7">
        <v>5384.78</v>
      </c>
      <c r="U32" s="2"/>
      <c r="V32" s="6">
        <f t="shared" si="17"/>
        <v>6.6964722637202143E-2</v>
      </c>
      <c r="W32" s="2"/>
      <c r="X32" s="7">
        <f t="shared" si="18"/>
        <v>1938.9700000000003</v>
      </c>
      <c r="Y32" s="2"/>
      <c r="Z32" s="6">
        <f t="shared" si="19"/>
        <v>0.36008342030686497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7">
        <v>1026.77</v>
      </c>
      <c r="E33" s="2"/>
      <c r="F33" s="6">
        <f t="shared" si="12"/>
        <v>1.2988816868649852E-2</v>
      </c>
      <c r="G33" s="2"/>
      <c r="H33" s="7">
        <v>1345.56</v>
      </c>
      <c r="I33" s="2"/>
      <c r="J33" s="6">
        <f t="shared" si="13"/>
        <v>1.6733283846640662E-2</v>
      </c>
      <c r="K33" s="2"/>
      <c r="L33" s="7">
        <f t="shared" si="14"/>
        <v>-318.78999999999996</v>
      </c>
      <c r="M33" s="2"/>
      <c r="N33" s="6">
        <f t="shared" si="15"/>
        <v>-0.23691994411248846</v>
      </c>
      <c r="O33" s="11"/>
      <c r="P33" s="7">
        <v>2035.68</v>
      </c>
      <c r="Q33" s="2"/>
      <c r="R33" s="6">
        <f t="shared" si="16"/>
        <v>1.619125224742627E-2</v>
      </c>
      <c r="S33" s="2"/>
      <c r="T33" s="7">
        <v>2469.2399999999998</v>
      </c>
      <c r="U33" s="2"/>
      <c r="V33" s="6">
        <f t="shared" si="17"/>
        <v>3.0707284554742257E-2</v>
      </c>
      <c r="W33" s="2"/>
      <c r="X33" s="7">
        <f t="shared" si="18"/>
        <v>-433.55999999999972</v>
      </c>
      <c r="Y33" s="2"/>
      <c r="Z33" s="6">
        <f t="shared" si="19"/>
        <v>-0.17558439033872761</v>
      </c>
    </row>
    <row r="34" spans="1:26" s="27" customFormat="1" outlineLevel="1" collapsed="1" x14ac:dyDescent="0.25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48230.320000000007</v>
      </c>
      <c r="E34" s="1"/>
      <c r="F34" s="5">
        <f t="shared" ref="F34:F40" si="20">IF(D$12=0,0,D34/D$12)</f>
        <v>0.61012183253930319</v>
      </c>
      <c r="G34" s="1"/>
      <c r="H34" s="1">
        <f>SUM(OSRRefH22_1x_0)</f>
        <v>45710.14</v>
      </c>
      <c r="I34" s="1"/>
      <c r="J34" s="5">
        <f t="shared" ref="J34:J40" si="21">IF(H$12=0,0,H34/H$12)</f>
        <v>0.56844789328583134</v>
      </c>
      <c r="K34" s="1"/>
      <c r="L34" s="1">
        <f t="shared" ref="L34:L40" si="22">+D34-H34</f>
        <v>2520.1800000000076</v>
      </c>
      <c r="M34" s="1"/>
      <c r="N34" s="5">
        <f t="shared" ref="N34:N40" si="23">IF(H34=0,0,L34/H34)</f>
        <v>5.5133937458953473E-2</v>
      </c>
      <c r="O34" s="14"/>
      <c r="P34" s="1">
        <f>SUM(OSRRefP22_1x_0)</f>
        <v>84716.24</v>
      </c>
      <c r="Q34" s="1"/>
      <c r="R34" s="5">
        <f t="shared" ref="R34:R40" si="24">IF(P$12=0,0,P34/P$12)</f>
        <v>0.67381023112350835</v>
      </c>
      <c r="S34" s="1"/>
      <c r="T34" s="1">
        <f>SUM(OSRRefT22_1x_0)</f>
        <v>75933.08</v>
      </c>
      <c r="U34" s="1"/>
      <c r="V34" s="5">
        <f t="shared" ref="V34:V40" si="25">IF(T$12=0,0,T34/T$12)</f>
        <v>0.94429812196384655</v>
      </c>
      <c r="W34" s="1"/>
      <c r="X34" s="1">
        <f t="shared" ref="X34:X40" si="26">+P34-T34</f>
        <v>8783.1600000000035</v>
      </c>
      <c r="Y34" s="1"/>
      <c r="Z34" s="5">
        <f t="shared" ref="Z34:Z40" si="27">IF(T34=0,0,X34/T34)</f>
        <v>0.1156697449912476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7">
        <v>9388.57</v>
      </c>
      <c r="E35" s="2"/>
      <c r="F35" s="6">
        <f t="shared" si="20"/>
        <v>0.11876702317802422</v>
      </c>
      <c r="G35" s="2"/>
      <c r="H35" s="7">
        <v>8022.26</v>
      </c>
      <c r="I35" s="2"/>
      <c r="J35" s="6">
        <f t="shared" si="21"/>
        <v>9.976422728941968E-2</v>
      </c>
      <c r="K35" s="2"/>
      <c r="L35" s="7">
        <f t="shared" si="22"/>
        <v>1366.3099999999995</v>
      </c>
      <c r="M35" s="2"/>
      <c r="N35" s="6">
        <f t="shared" si="23"/>
        <v>0.17031484893284429</v>
      </c>
      <c r="O35" s="11"/>
      <c r="P35" s="7">
        <v>20625.28</v>
      </c>
      <c r="Q35" s="2"/>
      <c r="R35" s="6">
        <f t="shared" si="24"/>
        <v>0.16404794032156139</v>
      </c>
      <c r="S35" s="2"/>
      <c r="T35" s="7">
        <v>18125.099999999999</v>
      </c>
      <c r="U35" s="2"/>
      <c r="V35" s="6">
        <f t="shared" si="25"/>
        <v>0.22540239234872222</v>
      </c>
      <c r="W35" s="2"/>
      <c r="X35" s="7">
        <f t="shared" si="26"/>
        <v>2500.1800000000003</v>
      </c>
      <c r="Y35" s="2"/>
      <c r="Z35" s="6">
        <f t="shared" si="27"/>
        <v>0.13794020446783745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7">
        <v>13261.68</v>
      </c>
      <c r="E36" s="2"/>
      <c r="F36" s="6">
        <f t="shared" si="20"/>
        <v>0.16776252996351312</v>
      </c>
      <c r="G36" s="2"/>
      <c r="H36" s="7">
        <v>15964.230000000001</v>
      </c>
      <c r="I36" s="2"/>
      <c r="J36" s="6">
        <f t="shared" si="21"/>
        <v>0.19852997412456994</v>
      </c>
      <c r="K36" s="2"/>
      <c r="L36" s="7">
        <f t="shared" si="22"/>
        <v>-2702.5500000000011</v>
      </c>
      <c r="M36" s="2"/>
      <c r="N36" s="6">
        <f t="shared" si="23"/>
        <v>-0.16928783912534465</v>
      </c>
      <c r="O36" s="11"/>
      <c r="P36" s="7">
        <v>27162.880000000001</v>
      </c>
      <c r="Q36" s="2"/>
      <c r="R36" s="6">
        <f t="shared" si="24"/>
        <v>0.21604625572121852</v>
      </c>
      <c r="S36" s="2"/>
      <c r="T36" s="7">
        <v>31688.32</v>
      </c>
      <c r="U36" s="2"/>
      <c r="V36" s="6">
        <f t="shared" si="25"/>
        <v>0.39407358511190899</v>
      </c>
      <c r="W36" s="2"/>
      <c r="X36" s="7">
        <f t="shared" si="26"/>
        <v>-4525.4399999999987</v>
      </c>
      <c r="Y36" s="2"/>
      <c r="Z36" s="6">
        <f t="shared" si="27"/>
        <v>-0.14281097893482517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>
        <v>3559.51</v>
      </c>
      <c r="E37" s="2"/>
      <c r="F37" s="6">
        <f t="shared" si="20"/>
        <v>4.5028412918304818E-2</v>
      </c>
      <c r="G37" s="2"/>
      <c r="H37" s="7">
        <v>4042.94</v>
      </c>
      <c r="I37" s="2"/>
      <c r="J37" s="6">
        <f t="shared" si="21"/>
        <v>5.0277700433230335E-2</v>
      </c>
      <c r="K37" s="2"/>
      <c r="L37" s="7">
        <f t="shared" si="22"/>
        <v>-483.42999999999984</v>
      </c>
      <c r="M37" s="2"/>
      <c r="N37" s="6">
        <f t="shared" si="23"/>
        <v>-0.11957387445769659</v>
      </c>
      <c r="O37" s="11"/>
      <c r="P37" s="7">
        <v>5887.08</v>
      </c>
      <c r="Q37" s="2"/>
      <c r="R37" s="6">
        <f t="shared" si="24"/>
        <v>4.6824253949922505E-2</v>
      </c>
      <c r="S37" s="2"/>
      <c r="T37" s="7">
        <v>5639.45</v>
      </c>
      <c r="U37" s="2"/>
      <c r="V37" s="6">
        <f t="shared" si="25"/>
        <v>7.0131779771201358E-2</v>
      </c>
      <c r="W37" s="2"/>
      <c r="X37" s="7">
        <f t="shared" si="26"/>
        <v>247.63000000000011</v>
      </c>
      <c r="Y37" s="2"/>
      <c r="Z37" s="6">
        <f t="shared" si="27"/>
        <v>4.3910310402610203E-2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>
        <v>674.81</v>
      </c>
      <c r="E38" s="2"/>
      <c r="F38" s="6">
        <f t="shared" si="20"/>
        <v>8.5364624123548654E-3</v>
      </c>
      <c r="G38" s="2"/>
      <c r="H38" s="7"/>
      <c r="I38" s="2"/>
      <c r="J38" s="6">
        <f t="shared" si="21"/>
        <v>0</v>
      </c>
      <c r="K38" s="2"/>
      <c r="L38" s="7">
        <f t="shared" si="22"/>
        <v>674.81</v>
      </c>
      <c r="M38" s="2"/>
      <c r="N38" s="6">
        <f t="shared" si="23"/>
        <v>0</v>
      </c>
      <c r="O38" s="11"/>
      <c r="P38" s="7">
        <v>1286.81</v>
      </c>
      <c r="Q38" s="2"/>
      <c r="R38" s="6">
        <f t="shared" si="24"/>
        <v>1.0234941299472706E-2</v>
      </c>
      <c r="S38" s="2"/>
      <c r="T38" s="7"/>
      <c r="U38" s="2"/>
      <c r="V38" s="6">
        <f t="shared" si="25"/>
        <v>0</v>
      </c>
      <c r="W38" s="2"/>
      <c r="X38" s="7">
        <f t="shared" si="26"/>
        <v>1286.81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>
        <v>18662.25</v>
      </c>
      <c r="E39" s="2"/>
      <c r="F39" s="6">
        <f t="shared" si="20"/>
        <v>0.23608066812135209</v>
      </c>
      <c r="G39" s="2"/>
      <c r="H39" s="7">
        <v>15399.58</v>
      </c>
      <c r="I39" s="2"/>
      <c r="J39" s="6">
        <f t="shared" si="21"/>
        <v>0.1915080288200085</v>
      </c>
      <c r="K39" s="2"/>
      <c r="L39" s="7">
        <f t="shared" si="22"/>
        <v>3262.67</v>
      </c>
      <c r="M39" s="2"/>
      <c r="N39" s="6">
        <f t="shared" si="23"/>
        <v>0.21186746651532054</v>
      </c>
      <c r="O39" s="11"/>
      <c r="P39" s="7">
        <v>24985.69</v>
      </c>
      <c r="Q39" s="2"/>
      <c r="R39" s="6">
        <f t="shared" si="24"/>
        <v>0.19872947092175394</v>
      </c>
      <c r="S39" s="2"/>
      <c r="T39" s="7">
        <v>18199.080000000002</v>
      </c>
      <c r="U39" s="2"/>
      <c r="V39" s="6">
        <f t="shared" si="25"/>
        <v>0.22632240211341093</v>
      </c>
      <c r="W39" s="2"/>
      <c r="X39" s="7">
        <f t="shared" si="26"/>
        <v>6786.6099999999969</v>
      </c>
      <c r="Y39" s="2"/>
      <c r="Z39" s="6">
        <f t="shared" si="27"/>
        <v>0.37290950971147974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>
        <v>2683.5</v>
      </c>
      <c r="E40" s="2"/>
      <c r="F40" s="6">
        <f t="shared" si="20"/>
        <v>3.3946735945754043E-2</v>
      </c>
      <c r="G40" s="2"/>
      <c r="H40" s="7">
        <v>2281.13</v>
      </c>
      <c r="I40" s="2"/>
      <c r="J40" s="6">
        <f t="shared" si="21"/>
        <v>2.8367962618602974E-2</v>
      </c>
      <c r="K40" s="2"/>
      <c r="L40" s="7">
        <f t="shared" si="22"/>
        <v>402.36999999999989</v>
      </c>
      <c r="M40" s="2"/>
      <c r="N40" s="6">
        <f t="shared" si="23"/>
        <v>0.17639064849438649</v>
      </c>
      <c r="O40" s="11"/>
      <c r="P40" s="7">
        <v>4768.5</v>
      </c>
      <c r="Q40" s="2"/>
      <c r="R40" s="6">
        <f t="shared" si="24"/>
        <v>3.7927368909579193E-2</v>
      </c>
      <c r="S40" s="2"/>
      <c r="T40" s="7">
        <v>2281.13</v>
      </c>
      <c r="U40" s="2"/>
      <c r="V40" s="6">
        <f t="shared" si="25"/>
        <v>2.8367962618602974E-2</v>
      </c>
      <c r="W40" s="2"/>
      <c r="X40" s="7">
        <f t="shared" si="26"/>
        <v>2487.37</v>
      </c>
      <c r="Y40" s="2"/>
      <c r="Z40" s="6">
        <f t="shared" si="27"/>
        <v>1.0904113312261905</v>
      </c>
    </row>
    <row r="41" spans="1:26" s="27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2229.12</v>
      </c>
      <c r="E41" s="1"/>
      <c r="F41" s="5">
        <f t="shared" ref="F41:F62" si="28">IF(D$12=0,0,D41/D$12)</f>
        <v>2.8198750896739049E-2</v>
      </c>
      <c r="G41" s="1"/>
      <c r="H41" s="1">
        <f>SUM(OSRRefH22_2x_0)</f>
        <v>573.09</v>
      </c>
      <c r="I41" s="1"/>
      <c r="J41" s="5">
        <f t="shared" ref="J41:J62" si="29">IF(H$12=0,0,H41/H$12)</f>
        <v>7.1269045153477357E-3</v>
      </c>
      <c r="K41" s="1"/>
      <c r="L41" s="1">
        <f t="shared" ref="L41:L62" si="30">+D41-H41</f>
        <v>1656.0299999999997</v>
      </c>
      <c r="M41" s="1"/>
      <c r="N41" s="5">
        <f t="shared" ref="N41:N62" si="31">IF(H41=0,0,L41/H41)</f>
        <v>2.8896508401821697</v>
      </c>
      <c r="O41" s="14"/>
      <c r="P41" s="1">
        <f>SUM(OSRRefP22_2x_0)</f>
        <v>2651.81</v>
      </c>
      <c r="Q41" s="1"/>
      <c r="R41" s="5">
        <f t="shared" ref="R41:R62" si="32">IF(P$12=0,0,P41/P$12)</f>
        <v>2.1091784869059705E-2</v>
      </c>
      <c r="S41" s="1"/>
      <c r="T41" s="1">
        <f>SUM(OSRRefT22_2x_0)</f>
        <v>1287.4100000000001</v>
      </c>
      <c r="U41" s="1"/>
      <c r="V41" s="5">
        <f t="shared" ref="V41:V62" si="33">IF(T$12=0,0,T41/T$12)</f>
        <v>1.6010134781803607E-2</v>
      </c>
      <c r="W41" s="1"/>
      <c r="X41" s="1">
        <f t="shared" ref="X41:X62" si="34">+P41-T41</f>
        <v>1364.3999999999999</v>
      </c>
      <c r="Y41" s="1"/>
      <c r="Z41" s="5">
        <f t="shared" ref="Z41:Z62" si="35">IF(T41=0,0,X41/T41)</f>
        <v>1.0598022386030868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>
        <v>2229.12</v>
      </c>
      <c r="E42" s="2"/>
      <c r="F42" s="6">
        <f t="shared" si="28"/>
        <v>2.8198750896739049E-2</v>
      </c>
      <c r="G42" s="2"/>
      <c r="H42" s="7">
        <v>573.09</v>
      </c>
      <c r="I42" s="2"/>
      <c r="J42" s="6">
        <f t="shared" si="29"/>
        <v>7.1269045153477357E-3</v>
      </c>
      <c r="K42" s="2"/>
      <c r="L42" s="7">
        <f t="shared" si="30"/>
        <v>1656.0299999999997</v>
      </c>
      <c r="M42" s="2"/>
      <c r="N42" s="6">
        <f t="shared" si="31"/>
        <v>2.8896508401821697</v>
      </c>
      <c r="O42" s="11"/>
      <c r="P42" s="7">
        <v>2651.81</v>
      </c>
      <c r="Q42" s="2"/>
      <c r="R42" s="6">
        <f t="shared" si="32"/>
        <v>2.1091784869059705E-2</v>
      </c>
      <c r="S42" s="2"/>
      <c r="T42" s="7">
        <v>1287.4100000000001</v>
      </c>
      <c r="U42" s="2"/>
      <c r="V42" s="6">
        <f t="shared" si="33"/>
        <v>1.6010134781803607E-2</v>
      </c>
      <c r="W42" s="2"/>
      <c r="X42" s="7">
        <f t="shared" si="34"/>
        <v>1364.3999999999999</v>
      </c>
      <c r="Y42" s="2"/>
      <c r="Z42" s="6">
        <f t="shared" si="35"/>
        <v>1.0598022386030868</v>
      </c>
    </row>
    <row r="43" spans="1:26" s="27" customFormat="1" outlineLevel="1" collapsed="1" x14ac:dyDescent="0.25">
      <c r="A43" s="28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10</v>
      </c>
      <c r="I43" s="1"/>
      <c r="J43" s="5">
        <f t="shared" si="29"/>
        <v>1.2435925448616683E-4</v>
      </c>
      <c r="K43" s="1"/>
      <c r="L43" s="1">
        <f t="shared" si="30"/>
        <v>-10</v>
      </c>
      <c r="M43" s="1"/>
      <c r="N43" s="5">
        <f t="shared" si="31"/>
        <v>-1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10</v>
      </c>
      <c r="U43" s="1"/>
      <c r="V43" s="5">
        <f t="shared" si="33"/>
        <v>1.2435925448616683E-4</v>
      </c>
      <c r="W43" s="1"/>
      <c r="X43" s="1">
        <f t="shared" si="34"/>
        <v>-10</v>
      </c>
      <c r="Y43" s="1"/>
      <c r="Z43" s="5">
        <f t="shared" si="35"/>
        <v>-1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28"/>
        <v>0</v>
      </c>
      <c r="G44" s="2"/>
      <c r="H44" s="7">
        <v>10</v>
      </c>
      <c r="I44" s="2"/>
      <c r="J44" s="6">
        <f t="shared" si="29"/>
        <v>1.2435925448616683E-4</v>
      </c>
      <c r="K44" s="2"/>
      <c r="L44" s="7">
        <f t="shared" si="30"/>
        <v>-10</v>
      </c>
      <c r="M44" s="2"/>
      <c r="N44" s="6">
        <f t="shared" si="31"/>
        <v>-1</v>
      </c>
      <c r="O44" s="11"/>
      <c r="P44" s="7"/>
      <c r="Q44" s="2"/>
      <c r="R44" s="6">
        <f t="shared" si="32"/>
        <v>0</v>
      </c>
      <c r="S44" s="2"/>
      <c r="T44" s="7">
        <v>10</v>
      </c>
      <c r="U44" s="2"/>
      <c r="V44" s="6">
        <f t="shared" si="33"/>
        <v>1.2435925448616683E-4</v>
      </c>
      <c r="W44" s="2"/>
      <c r="X44" s="7">
        <f t="shared" si="34"/>
        <v>-10</v>
      </c>
      <c r="Y44" s="2"/>
      <c r="Z44" s="6">
        <f t="shared" si="35"/>
        <v>-1</v>
      </c>
    </row>
    <row r="45" spans="1:26" s="27" customFormat="1" outlineLevel="1" collapsed="1" x14ac:dyDescent="0.25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6.14</v>
      </c>
      <c r="E45" s="1"/>
      <c r="F45" s="5">
        <f t="shared" si="28"/>
        <v>7.7672054669994332E-5</v>
      </c>
      <c r="G45" s="1"/>
      <c r="H45" s="1">
        <f>SUM(OSRRefH22_4x_0)</f>
        <v>10.5</v>
      </c>
      <c r="I45" s="1"/>
      <c r="J45" s="5">
        <f t="shared" si="29"/>
        <v>1.3057721721047519E-4</v>
      </c>
      <c r="K45" s="1"/>
      <c r="L45" s="1">
        <f t="shared" si="30"/>
        <v>-4.3600000000000003</v>
      </c>
      <c r="M45" s="1"/>
      <c r="N45" s="5">
        <f t="shared" si="31"/>
        <v>-0.41523809523809529</v>
      </c>
      <c r="O45" s="14"/>
      <c r="P45" s="1">
        <f>SUM(OSRRefP22_4x_0)</f>
        <v>6.34</v>
      </c>
      <c r="Q45" s="1"/>
      <c r="R45" s="5">
        <f t="shared" si="32"/>
        <v>5.0426658044821658E-5</v>
      </c>
      <c r="S45" s="1"/>
      <c r="T45" s="1">
        <f>SUM(OSRRefT22_4x_0)</f>
        <v>10.5</v>
      </c>
      <c r="U45" s="1"/>
      <c r="V45" s="5">
        <f t="shared" si="33"/>
        <v>1.3057721721047519E-4</v>
      </c>
      <c r="W45" s="1"/>
      <c r="X45" s="1">
        <f t="shared" si="34"/>
        <v>-4.16</v>
      </c>
      <c r="Y45" s="1"/>
      <c r="Z45" s="5">
        <f t="shared" si="35"/>
        <v>-0.3961904761904762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7">
        <v>6.14</v>
      </c>
      <c r="E46" s="2"/>
      <c r="F46" s="6">
        <f t="shared" si="28"/>
        <v>7.7672054669994332E-5</v>
      </c>
      <c r="G46" s="2"/>
      <c r="H46" s="7">
        <v>10.5</v>
      </c>
      <c r="I46" s="2"/>
      <c r="J46" s="6">
        <f t="shared" si="29"/>
        <v>1.3057721721047519E-4</v>
      </c>
      <c r="K46" s="2"/>
      <c r="L46" s="7">
        <f t="shared" si="30"/>
        <v>-4.3600000000000003</v>
      </c>
      <c r="M46" s="2"/>
      <c r="N46" s="6">
        <f t="shared" si="31"/>
        <v>-0.41523809523809529</v>
      </c>
      <c r="O46" s="11"/>
      <c r="P46" s="7">
        <v>6.34</v>
      </c>
      <c r="Q46" s="2"/>
      <c r="R46" s="6">
        <f t="shared" si="32"/>
        <v>5.0426658044821658E-5</v>
      </c>
      <c r="S46" s="2"/>
      <c r="T46" s="7">
        <v>10.5</v>
      </c>
      <c r="U46" s="2"/>
      <c r="V46" s="6">
        <f t="shared" si="33"/>
        <v>1.3057721721047519E-4</v>
      </c>
      <c r="W46" s="2"/>
      <c r="X46" s="7">
        <f t="shared" si="34"/>
        <v>-4.16</v>
      </c>
      <c r="Y46" s="2"/>
      <c r="Z46" s="6">
        <f t="shared" si="35"/>
        <v>-0.3961904761904762</v>
      </c>
    </row>
    <row r="47" spans="1:26" s="27" customFormat="1" outlineLevel="1" collapsed="1" x14ac:dyDescent="0.25">
      <c r="A47" s="28"/>
      <c r="B47" s="14" t="str">
        <f>CONCATENATE("     ","Donations                                         ")</f>
        <v xml:space="preserve">     Donations                                         </v>
      </c>
      <c r="C47" s="14"/>
      <c r="D47" s="1">
        <f>SUM(OSRRefD22_5x_0)</f>
        <v>1827.06</v>
      </c>
      <c r="E47" s="1"/>
      <c r="F47" s="5">
        <f t="shared" si="28"/>
        <v>2.3112622834749161E-2</v>
      </c>
      <c r="G47" s="1"/>
      <c r="H47" s="1">
        <f>SUM(OSRRefH22_5x_0)</f>
        <v>922.19</v>
      </c>
      <c r="I47" s="1"/>
      <c r="J47" s="5">
        <f t="shared" si="29"/>
        <v>1.1468286089459819E-2</v>
      </c>
      <c r="K47" s="1"/>
      <c r="L47" s="1">
        <f t="shared" si="30"/>
        <v>904.86999999999989</v>
      </c>
      <c r="M47" s="1"/>
      <c r="N47" s="5">
        <f t="shared" si="31"/>
        <v>0.98121862089157319</v>
      </c>
      <c r="O47" s="14"/>
      <c r="P47" s="1">
        <f>SUM(OSRRefP22_5x_0)</f>
        <v>1827.06</v>
      </c>
      <c r="Q47" s="1"/>
      <c r="R47" s="5">
        <f t="shared" si="32"/>
        <v>1.4531944770878841E-2</v>
      </c>
      <c r="S47" s="1"/>
      <c r="T47" s="1">
        <f>SUM(OSRRefT22_5x_0)</f>
        <v>922.19</v>
      </c>
      <c r="U47" s="1"/>
      <c r="V47" s="5">
        <f t="shared" si="33"/>
        <v>1.1468286089459819E-2</v>
      </c>
      <c r="W47" s="1"/>
      <c r="X47" s="1">
        <f t="shared" si="34"/>
        <v>904.86999999999989</v>
      </c>
      <c r="Y47" s="1"/>
      <c r="Z47" s="5">
        <f t="shared" si="35"/>
        <v>0.98121862089157319</v>
      </c>
    </row>
    <row r="48" spans="1:26" s="24" customFormat="1" hidden="1" outlineLevel="2" x14ac:dyDescent="0.25">
      <c r="A48" s="29"/>
      <c r="B48" s="11" t="str">
        <f>CONCATENATE("          ", "6399", " - ", "DONATION-ON CAMPUS")</f>
        <v xml:space="preserve">          6399 - DONATION-ON CAMPUS</v>
      </c>
      <c r="C48" s="11"/>
      <c r="D48" s="7">
        <v>1827.06</v>
      </c>
      <c r="E48" s="2"/>
      <c r="F48" s="6">
        <f t="shared" si="28"/>
        <v>2.3112622834749161E-2</v>
      </c>
      <c r="G48" s="2"/>
      <c r="H48" s="7">
        <v>922.19</v>
      </c>
      <c r="I48" s="2"/>
      <c r="J48" s="6">
        <f t="shared" si="29"/>
        <v>1.1468286089459819E-2</v>
      </c>
      <c r="K48" s="2"/>
      <c r="L48" s="7">
        <f t="shared" si="30"/>
        <v>904.86999999999989</v>
      </c>
      <c r="M48" s="2"/>
      <c r="N48" s="6">
        <f t="shared" si="31"/>
        <v>0.98121862089157319</v>
      </c>
      <c r="O48" s="11"/>
      <c r="P48" s="7">
        <v>1827.06</v>
      </c>
      <c r="Q48" s="2"/>
      <c r="R48" s="6">
        <f t="shared" si="32"/>
        <v>1.4531944770878841E-2</v>
      </c>
      <c r="S48" s="2"/>
      <c r="T48" s="7">
        <v>922.19</v>
      </c>
      <c r="U48" s="2"/>
      <c r="V48" s="6">
        <f t="shared" si="33"/>
        <v>1.1468286089459819E-2</v>
      </c>
      <c r="W48" s="2"/>
      <c r="X48" s="7">
        <f t="shared" si="34"/>
        <v>904.86999999999989</v>
      </c>
      <c r="Y48" s="2"/>
      <c r="Z48" s="6">
        <f t="shared" si="35"/>
        <v>0.98121862089157319</v>
      </c>
    </row>
    <row r="49" spans="1:26" s="27" customFormat="1" outlineLevel="1" collapsed="1" x14ac:dyDescent="0.25">
      <c r="A49" s="28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SUM(OSRRefP22_6x_0)</f>
        <v>0</v>
      </c>
      <c r="Q49" s="1"/>
      <c r="R49" s="5">
        <f t="shared" si="32"/>
        <v>0</v>
      </c>
      <c r="S49" s="1"/>
      <c r="T49" s="1">
        <f>SUM(OSRRefT22_6x_0)</f>
        <v>37.21</v>
      </c>
      <c r="U49" s="1"/>
      <c r="V49" s="5">
        <f t="shared" si="33"/>
        <v>4.6274078594302681E-4</v>
      </c>
      <c r="W49" s="1"/>
      <c r="X49" s="1">
        <f t="shared" si="34"/>
        <v>-37.21</v>
      </c>
      <c r="Y49" s="1"/>
      <c r="Z49" s="5">
        <f t="shared" si="35"/>
        <v>-1</v>
      </c>
    </row>
    <row r="50" spans="1:26" s="24" customFormat="1" hidden="1" outlineLevel="2" x14ac:dyDescent="0.25">
      <c r="A50" s="29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/>
      <c r="Q50" s="2"/>
      <c r="R50" s="6">
        <f t="shared" si="32"/>
        <v>0</v>
      </c>
      <c r="S50" s="2"/>
      <c r="T50" s="7">
        <v>37.21</v>
      </c>
      <c r="U50" s="2"/>
      <c r="V50" s="6">
        <f t="shared" si="33"/>
        <v>4.6274078594302681E-4</v>
      </c>
      <c r="W50" s="2"/>
      <c r="X50" s="7">
        <f t="shared" si="34"/>
        <v>-37.21</v>
      </c>
      <c r="Y50" s="2"/>
      <c r="Z50" s="6">
        <f t="shared" si="35"/>
        <v>-1</v>
      </c>
    </row>
    <row r="51" spans="1:26" s="27" customFormat="1" outlineLevel="1" collapsed="1" x14ac:dyDescent="0.25">
      <c r="A51" s="28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SUM(OSRRefD22_7x_0)</f>
        <v>732.61</v>
      </c>
      <c r="E51" s="1"/>
      <c r="F51" s="5">
        <f t="shared" si="28"/>
        <v>9.2676423406815242E-3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732.61</v>
      </c>
      <c r="M51" s="1"/>
      <c r="N51" s="5">
        <f t="shared" si="31"/>
        <v>0</v>
      </c>
      <c r="O51" s="14"/>
      <c r="P51" s="1">
        <f>SUM(OSRRefP22_7x_0)</f>
        <v>732.61</v>
      </c>
      <c r="Q51" s="1"/>
      <c r="R51" s="5">
        <f t="shared" si="32"/>
        <v>5.8269832729048576E-3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732.61</v>
      </c>
      <c r="Y51" s="1"/>
      <c r="Z51" s="5">
        <f t="shared" si="35"/>
        <v>0</v>
      </c>
    </row>
    <row r="52" spans="1:26" s="24" customFormat="1" hidden="1" outlineLevel="2" x14ac:dyDescent="0.25">
      <c r="A52" s="29"/>
      <c r="B52" s="11" t="str">
        <f>CONCATENATE("          ", "6351", " - ", "EQUIPMENT RENTAL")</f>
        <v xml:space="preserve">          6351 - EQUIPMENT RENTAL</v>
      </c>
      <c r="C52" s="11"/>
      <c r="D52" s="7">
        <v>732.61</v>
      </c>
      <c r="E52" s="2"/>
      <c r="F52" s="6">
        <f t="shared" si="28"/>
        <v>9.2676423406815242E-3</v>
      </c>
      <c r="G52" s="2"/>
      <c r="H52" s="7"/>
      <c r="I52" s="2"/>
      <c r="J52" s="6">
        <f t="shared" si="29"/>
        <v>0</v>
      </c>
      <c r="K52" s="2"/>
      <c r="L52" s="7">
        <f t="shared" si="30"/>
        <v>732.61</v>
      </c>
      <c r="M52" s="2"/>
      <c r="N52" s="6">
        <f t="shared" si="31"/>
        <v>0</v>
      </c>
      <c r="O52" s="11"/>
      <c r="P52" s="7">
        <v>732.61</v>
      </c>
      <c r="Q52" s="2"/>
      <c r="R52" s="6">
        <f t="shared" si="32"/>
        <v>5.8269832729048576E-3</v>
      </c>
      <c r="S52" s="2"/>
      <c r="T52" s="7"/>
      <c r="U52" s="2"/>
      <c r="V52" s="6">
        <f t="shared" si="33"/>
        <v>0</v>
      </c>
      <c r="W52" s="2"/>
      <c r="X52" s="7">
        <f t="shared" si="34"/>
        <v>732.61</v>
      </c>
      <c r="Y52" s="2"/>
      <c r="Z52" s="6">
        <f t="shared" si="35"/>
        <v>0</v>
      </c>
    </row>
    <row r="53" spans="1:26" s="27" customFormat="1" outlineLevel="1" collapsed="1" x14ac:dyDescent="0.25">
      <c r="A53" s="28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4"/>
      <c r="P53" s="1">
        <f>SUM(OSRRefP22_8x_0)</f>
        <v>1517.11</v>
      </c>
      <c r="Q53" s="1"/>
      <c r="R53" s="5">
        <f t="shared" si="32"/>
        <v>1.2066685676085076E-2</v>
      </c>
      <c r="S53" s="1"/>
      <c r="T53" s="1">
        <f>SUM(OSRRefT22_8x_0)</f>
        <v>1495.53</v>
      </c>
      <c r="U53" s="1"/>
      <c r="V53" s="5">
        <f t="shared" si="33"/>
        <v>1.8598299586169709E-2</v>
      </c>
      <c r="W53" s="1"/>
      <c r="X53" s="1">
        <f t="shared" si="34"/>
        <v>21.579999999999927</v>
      </c>
      <c r="Y53" s="1"/>
      <c r="Z53" s="5">
        <f t="shared" si="35"/>
        <v>1.4429667074548774E-2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>
        <v>1517.11</v>
      </c>
      <c r="Q54" s="2"/>
      <c r="R54" s="6">
        <f t="shared" si="32"/>
        <v>1.2066685676085076E-2</v>
      </c>
      <c r="S54" s="2"/>
      <c r="T54" s="7">
        <v>1495.53</v>
      </c>
      <c r="U54" s="2"/>
      <c r="V54" s="6">
        <f t="shared" si="33"/>
        <v>1.8598299586169709E-2</v>
      </c>
      <c r="W54" s="2"/>
      <c r="X54" s="7">
        <f t="shared" si="34"/>
        <v>21.579999999999927</v>
      </c>
      <c r="Y54" s="2"/>
      <c r="Z54" s="6">
        <f t="shared" si="35"/>
        <v>1.4429667074548774E-2</v>
      </c>
    </row>
    <row r="55" spans="1:26" s="27" customFormat="1" outlineLevel="1" collapsed="1" x14ac:dyDescent="0.25">
      <c r="A55" s="28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SUM(OSRRefD22_9x_0)</f>
        <v>5.9</v>
      </c>
      <c r="E55" s="1"/>
      <c r="F55" s="5">
        <f t="shared" si="28"/>
        <v>7.4636013445108574E-5</v>
      </c>
      <c r="G55" s="1"/>
      <c r="H55" s="1">
        <f>SUM(OSRRefH22_9x_0)</f>
        <v>4.93</v>
      </c>
      <c r="I55" s="1"/>
      <c r="J55" s="5">
        <f t="shared" si="29"/>
        <v>6.1309112461680246E-5</v>
      </c>
      <c r="K55" s="1"/>
      <c r="L55" s="1">
        <f t="shared" si="30"/>
        <v>0.97000000000000064</v>
      </c>
      <c r="M55" s="1"/>
      <c r="N55" s="5">
        <f t="shared" si="31"/>
        <v>0.19675456389452348</v>
      </c>
      <c r="O55" s="14"/>
      <c r="P55" s="1">
        <f>SUM(OSRRefP22_9x_0)</f>
        <v>11.8</v>
      </c>
      <c r="Q55" s="1"/>
      <c r="R55" s="5">
        <f t="shared" si="32"/>
        <v>9.3854032323169653E-5</v>
      </c>
      <c r="S55" s="1"/>
      <c r="T55" s="1">
        <f>SUM(OSRRefT22_9x_0)</f>
        <v>9.86</v>
      </c>
      <c r="U55" s="1"/>
      <c r="V55" s="5">
        <f t="shared" si="33"/>
        <v>1.2261822492336049E-4</v>
      </c>
      <c r="W55" s="1"/>
      <c r="X55" s="1">
        <f t="shared" si="34"/>
        <v>1.9400000000000013</v>
      </c>
      <c r="Y55" s="1"/>
      <c r="Z55" s="5">
        <f t="shared" si="35"/>
        <v>0.19675456389452348</v>
      </c>
    </row>
    <row r="56" spans="1:26" s="24" customFormat="1" hidden="1" outlineLevel="2" x14ac:dyDescent="0.25">
      <c r="A56" s="29"/>
      <c r="B56" s="11" t="str">
        <f>CONCATENATE("          ", "6314", " - ", "LIABILITY INSURANCE")</f>
        <v xml:space="preserve">          6314 - LIABILITY INSURANCE</v>
      </c>
      <c r="C56" s="11"/>
      <c r="D56" s="7">
        <v>5.9</v>
      </c>
      <c r="E56" s="2"/>
      <c r="F56" s="6">
        <f t="shared" si="28"/>
        <v>7.4636013445108574E-5</v>
      </c>
      <c r="G56" s="2"/>
      <c r="H56" s="7">
        <v>4.93</v>
      </c>
      <c r="I56" s="2"/>
      <c r="J56" s="6">
        <f t="shared" si="29"/>
        <v>6.1309112461680246E-5</v>
      </c>
      <c r="K56" s="2"/>
      <c r="L56" s="7">
        <f t="shared" si="30"/>
        <v>0.97000000000000064</v>
      </c>
      <c r="M56" s="2"/>
      <c r="N56" s="6">
        <f t="shared" si="31"/>
        <v>0.19675456389452348</v>
      </c>
      <c r="O56" s="11"/>
      <c r="P56" s="7">
        <v>11.8</v>
      </c>
      <c r="Q56" s="2"/>
      <c r="R56" s="6">
        <f t="shared" si="32"/>
        <v>9.3854032323169653E-5</v>
      </c>
      <c r="S56" s="2"/>
      <c r="T56" s="7">
        <v>9.86</v>
      </c>
      <c r="U56" s="2"/>
      <c r="V56" s="6">
        <f t="shared" si="33"/>
        <v>1.2261822492336049E-4</v>
      </c>
      <c r="W56" s="2"/>
      <c r="X56" s="7">
        <f t="shared" si="34"/>
        <v>1.9400000000000013</v>
      </c>
      <c r="Y56" s="2"/>
      <c r="Z56" s="6">
        <f t="shared" si="35"/>
        <v>0.19675456389452348</v>
      </c>
    </row>
    <row r="57" spans="1:26" s="27" customFormat="1" outlineLevel="1" collapsed="1" x14ac:dyDescent="0.25">
      <c r="A57" s="28"/>
      <c r="B57" s="14" t="str">
        <f>CONCATENATE("     ","R/H Commissions                                   ")</f>
        <v xml:space="preserve">     R/H Commissions                                   </v>
      </c>
      <c r="C57" s="14"/>
      <c r="D57" s="1">
        <f>SUM(OSRRefD22_10x_0)</f>
        <v>6259.91</v>
      </c>
      <c r="E57" s="1"/>
      <c r="F57" s="5">
        <f t="shared" si="28"/>
        <v>7.9188936766977885E-2</v>
      </c>
      <c r="G57" s="1"/>
      <c r="H57" s="1">
        <f>SUM(OSRRefH22_10x_0)</f>
        <v>6359.2</v>
      </c>
      <c r="I57" s="1"/>
      <c r="J57" s="5">
        <f t="shared" si="29"/>
        <v>7.9082537112843215E-2</v>
      </c>
      <c r="K57" s="1"/>
      <c r="L57" s="1">
        <f t="shared" si="30"/>
        <v>-99.289999999999964</v>
      </c>
      <c r="M57" s="1"/>
      <c r="N57" s="5">
        <f t="shared" si="31"/>
        <v>-1.5613599194867274E-2</v>
      </c>
      <c r="O57" s="14"/>
      <c r="P57" s="1">
        <f>SUM(OSRRefP22_10x_0)</f>
        <v>9941.2000000000007</v>
      </c>
      <c r="Q57" s="1"/>
      <c r="R57" s="5">
        <f t="shared" si="32"/>
        <v>7.9069636112804598E-2</v>
      </c>
      <c r="S57" s="1"/>
      <c r="T57" s="1">
        <f>SUM(OSRRefT22_10x_0)</f>
        <v>6359.2</v>
      </c>
      <c r="U57" s="1"/>
      <c r="V57" s="5">
        <f t="shared" si="33"/>
        <v>7.9082537112843215E-2</v>
      </c>
      <c r="W57" s="1"/>
      <c r="X57" s="1">
        <f t="shared" si="34"/>
        <v>3582.0000000000009</v>
      </c>
      <c r="Y57" s="1"/>
      <c r="Z57" s="5">
        <f t="shared" si="35"/>
        <v>0.56327839979871697</v>
      </c>
    </row>
    <row r="58" spans="1:26" s="24" customFormat="1" hidden="1" outlineLevel="2" x14ac:dyDescent="0.25">
      <c r="A58" s="29"/>
      <c r="B58" s="11" t="str">
        <f>CONCATENATE("          ", "6387", " - ", "COMMISSION DUE HOUSING")</f>
        <v xml:space="preserve">          6387 - COMMISSION DUE HOUSING</v>
      </c>
      <c r="C58" s="11"/>
      <c r="D58" s="7">
        <v>6259.91</v>
      </c>
      <c r="E58" s="2"/>
      <c r="F58" s="6">
        <f t="shared" si="28"/>
        <v>7.9188936766977885E-2</v>
      </c>
      <c r="G58" s="2"/>
      <c r="H58" s="7">
        <v>6359.2</v>
      </c>
      <c r="I58" s="2"/>
      <c r="J58" s="6">
        <f t="shared" si="29"/>
        <v>7.9082537112843215E-2</v>
      </c>
      <c r="K58" s="2"/>
      <c r="L58" s="7">
        <f t="shared" si="30"/>
        <v>-99.289999999999964</v>
      </c>
      <c r="M58" s="2"/>
      <c r="N58" s="6">
        <f t="shared" si="31"/>
        <v>-1.5613599194867274E-2</v>
      </c>
      <c r="O58" s="11"/>
      <c r="P58" s="7">
        <v>9941.2000000000007</v>
      </c>
      <c r="Q58" s="2"/>
      <c r="R58" s="6">
        <f t="shared" si="32"/>
        <v>7.9069636112804598E-2</v>
      </c>
      <c r="S58" s="2"/>
      <c r="T58" s="7">
        <v>6359.2</v>
      </c>
      <c r="U58" s="2"/>
      <c r="V58" s="6">
        <f t="shared" si="33"/>
        <v>7.9082537112843215E-2</v>
      </c>
      <c r="W58" s="2"/>
      <c r="X58" s="7">
        <f t="shared" si="34"/>
        <v>3582.0000000000009</v>
      </c>
      <c r="Y58" s="2"/>
      <c r="Z58" s="6">
        <f t="shared" si="35"/>
        <v>0.56327839979871697</v>
      </c>
    </row>
    <row r="59" spans="1:26" s="27" customFormat="1" outlineLevel="1" collapsed="1" x14ac:dyDescent="0.25">
      <c r="A59" s="28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SUM(OSRRefD22_11x_0)</f>
        <v>6240.07</v>
      </c>
      <c r="E59" s="1"/>
      <c r="F59" s="5">
        <f t="shared" si="28"/>
        <v>7.8937957359053998E-2</v>
      </c>
      <c r="G59" s="1"/>
      <c r="H59" s="1">
        <f>SUM(OSRRefH22_11x_0)</f>
        <v>3249.83</v>
      </c>
      <c r="I59" s="1"/>
      <c r="J59" s="5">
        <f t="shared" si="29"/>
        <v>4.0414643600677952E-2</v>
      </c>
      <c r="K59" s="1"/>
      <c r="L59" s="1">
        <f t="shared" si="30"/>
        <v>2990.24</v>
      </c>
      <c r="M59" s="1"/>
      <c r="N59" s="5">
        <f t="shared" si="31"/>
        <v>0.92012197561103193</v>
      </c>
      <c r="O59" s="14"/>
      <c r="P59" s="1">
        <f>SUM(OSRRefP22_11x_0)</f>
        <v>13208.210000000001</v>
      </c>
      <c r="Q59" s="1"/>
      <c r="R59" s="5">
        <f t="shared" si="32"/>
        <v>0.10505455663315362</v>
      </c>
      <c r="S59" s="1"/>
      <c r="T59" s="1">
        <f>SUM(OSRRefT22_11x_0)</f>
        <v>591.33999999999992</v>
      </c>
      <c r="U59" s="1"/>
      <c r="V59" s="5">
        <f t="shared" si="33"/>
        <v>7.353860154784988E-3</v>
      </c>
      <c r="W59" s="1"/>
      <c r="X59" s="1">
        <f t="shared" si="34"/>
        <v>12616.87</v>
      </c>
      <c r="Y59" s="1"/>
      <c r="Z59" s="5">
        <f t="shared" si="35"/>
        <v>21.336067237122471</v>
      </c>
    </row>
    <row r="60" spans="1:26" s="24" customFormat="1" hidden="1" outlineLevel="2" x14ac:dyDescent="0.25">
      <c r="A60" s="29"/>
      <c r="B60" s="11" t="str">
        <f>CONCATENATE("          ", "6282", " - ", "JANITORIAL/EXTERMINATOR EXPENS")</f>
        <v xml:space="preserve">          6282 - JANITORIAL/EXTERMINATOR EXPENS</v>
      </c>
      <c r="C60" s="11"/>
      <c r="D60" s="7">
        <v>819.64</v>
      </c>
      <c r="E60" s="2"/>
      <c r="F60" s="6">
        <f t="shared" si="28"/>
        <v>1.0368586789855727E-2</v>
      </c>
      <c r="G60" s="2"/>
      <c r="H60" s="7">
        <v>669.64</v>
      </c>
      <c r="I60" s="2"/>
      <c r="J60" s="6">
        <f t="shared" si="29"/>
        <v>8.3275931174116753E-3</v>
      </c>
      <c r="K60" s="2"/>
      <c r="L60" s="7">
        <f t="shared" si="30"/>
        <v>150</v>
      </c>
      <c r="M60" s="2"/>
      <c r="N60" s="6">
        <f t="shared" si="31"/>
        <v>0.22400095573741116</v>
      </c>
      <c r="O60" s="11"/>
      <c r="P60" s="7">
        <v>1489.28</v>
      </c>
      <c r="Q60" s="2"/>
      <c r="R60" s="6">
        <f t="shared" si="32"/>
        <v>1.1845333326970346E-2</v>
      </c>
      <c r="S60" s="2"/>
      <c r="T60" s="7">
        <v>1339.28</v>
      </c>
      <c r="U60" s="2"/>
      <c r="V60" s="6">
        <f t="shared" si="33"/>
        <v>1.6655186234823351E-2</v>
      </c>
      <c r="W60" s="2"/>
      <c r="X60" s="7">
        <f t="shared" si="34"/>
        <v>150</v>
      </c>
      <c r="Y60" s="2"/>
      <c r="Z60" s="6">
        <f t="shared" si="35"/>
        <v>0.11200047786870558</v>
      </c>
    </row>
    <row r="61" spans="1:26" s="24" customFormat="1" hidden="1" outlineLevel="2" x14ac:dyDescent="0.25">
      <c r="A61" s="29"/>
      <c r="B61" s="11" t="str">
        <f>CONCATENATE("          ", "6285", " - ", "JANITORIAL SERVICES")</f>
        <v xml:space="preserve">          6285 - JANITORIAL SERVICES</v>
      </c>
      <c r="C61" s="11"/>
      <c r="D61" s="7">
        <v>3639.27</v>
      </c>
      <c r="E61" s="2"/>
      <c r="F61" s="6">
        <f t="shared" si="28"/>
        <v>4.6037390618708519E-2</v>
      </c>
      <c r="G61" s="2"/>
      <c r="H61" s="7">
        <v>1743.6</v>
      </c>
      <c r="I61" s="2"/>
      <c r="J61" s="6">
        <f t="shared" si="29"/>
        <v>2.1683279612208048E-2</v>
      </c>
      <c r="K61" s="2"/>
      <c r="L61" s="7">
        <f t="shared" si="30"/>
        <v>1895.67</v>
      </c>
      <c r="M61" s="2"/>
      <c r="N61" s="6">
        <f t="shared" si="31"/>
        <v>1.0872161046111495</v>
      </c>
      <c r="O61" s="11"/>
      <c r="P61" s="7">
        <v>8664.0400000000009</v>
      </c>
      <c r="Q61" s="2"/>
      <c r="R61" s="6">
        <f t="shared" si="32"/>
        <v>6.891144832281651E-2</v>
      </c>
      <c r="S61" s="2"/>
      <c r="T61" s="7">
        <v>-1634.63</v>
      </c>
      <c r="U61" s="2"/>
      <c r="V61" s="6">
        <f t="shared" si="33"/>
        <v>-2.032813681607229E-2</v>
      </c>
      <c r="W61" s="2"/>
      <c r="X61" s="7">
        <f t="shared" si="34"/>
        <v>10298.670000000002</v>
      </c>
      <c r="Y61" s="2"/>
      <c r="Z61" s="6">
        <f t="shared" si="35"/>
        <v>-6.3003064913772544</v>
      </c>
    </row>
    <row r="62" spans="1:26" s="24" customFormat="1" hidden="1" outlineLevel="2" x14ac:dyDescent="0.25">
      <c r="A62" s="29"/>
      <c r="B62" s="11" t="str">
        <f>CONCATENATE("          ", "6286", " - ", "LAUNDRY EXPENSE")</f>
        <v xml:space="preserve">          6286 - LAUNDRY EXPENSE</v>
      </c>
      <c r="C62" s="11"/>
      <c r="D62" s="7">
        <v>1781.16</v>
      </c>
      <c r="E62" s="2"/>
      <c r="F62" s="6">
        <f t="shared" si="28"/>
        <v>2.253197995048976E-2</v>
      </c>
      <c r="G62" s="2"/>
      <c r="H62" s="7">
        <v>836.59</v>
      </c>
      <c r="I62" s="2"/>
      <c r="J62" s="6">
        <f t="shared" si="29"/>
        <v>1.0403770871058232E-2</v>
      </c>
      <c r="K62" s="2"/>
      <c r="L62" s="7">
        <f t="shared" si="30"/>
        <v>944.57</v>
      </c>
      <c r="M62" s="2"/>
      <c r="N62" s="6">
        <f t="shared" si="31"/>
        <v>1.1290715882331848</v>
      </c>
      <c r="O62" s="11"/>
      <c r="P62" s="7">
        <v>3054.89</v>
      </c>
      <c r="Q62" s="2"/>
      <c r="R62" s="6">
        <f t="shared" si="32"/>
        <v>2.4297774983366757E-2</v>
      </c>
      <c r="S62" s="2"/>
      <c r="T62" s="7">
        <v>886.69</v>
      </c>
      <c r="U62" s="2"/>
      <c r="V62" s="6">
        <f t="shared" si="33"/>
        <v>1.1026810736033928E-2</v>
      </c>
      <c r="W62" s="2"/>
      <c r="X62" s="7">
        <f t="shared" si="34"/>
        <v>2168.1999999999998</v>
      </c>
      <c r="Y62" s="2"/>
      <c r="Z62" s="6">
        <f t="shared" si="35"/>
        <v>2.4452739965489627</v>
      </c>
    </row>
    <row r="63" spans="1:26" s="27" customFormat="1" outlineLevel="1" collapsed="1" x14ac:dyDescent="0.25">
      <c r="A63" s="28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SUM(OSRRefD22_12x_0)</f>
        <v>6107.07</v>
      </c>
      <c r="E63" s="1"/>
      <c r="F63" s="5">
        <f t="shared" ref="F63:F69" si="36">IF(D$12=0,0,D63/D$12)</f>
        <v>7.725548451359647E-2</v>
      </c>
      <c r="G63" s="1"/>
      <c r="H63" s="1">
        <f>SUM(OSRRefH22_12x_0)</f>
        <v>5684.5</v>
      </c>
      <c r="I63" s="1"/>
      <c r="J63" s="5">
        <f t="shared" ref="J63:J69" si="37">IF(H$12=0,0,H63/H$12)</f>
        <v>7.0692018212661537E-2</v>
      </c>
      <c r="K63" s="1"/>
      <c r="L63" s="1">
        <f t="shared" ref="L63:L69" si="38">+D63-H63</f>
        <v>422.56999999999971</v>
      </c>
      <c r="M63" s="1"/>
      <c r="N63" s="5">
        <f t="shared" ref="N63:N69" si="39">IF(H63=0,0,L63/H63)</f>
        <v>7.433723282610602E-2</v>
      </c>
      <c r="O63" s="14"/>
      <c r="P63" s="1">
        <f>SUM(OSRRefP22_12x_0)</f>
        <v>18195.23</v>
      </c>
      <c r="Q63" s="1"/>
      <c r="R63" s="5">
        <f t="shared" ref="R63:R69" si="40">IF(P$12=0,0,P63/P$12)</f>
        <v>0.14471997496165306</v>
      </c>
      <c r="S63" s="1"/>
      <c r="T63" s="1">
        <f>SUM(OSRRefT22_12x_0)</f>
        <v>10180.040000000001</v>
      </c>
      <c r="U63" s="1"/>
      <c r="V63" s="5">
        <f t="shared" ref="V63:V69" si="41">IF(T$12=0,0,T63/T$12)</f>
        <v>0.12659821850393579</v>
      </c>
      <c r="W63" s="1"/>
      <c r="X63" s="1">
        <f t="shared" ref="X63:X69" si="42">+P63-T63</f>
        <v>8015.1899999999987</v>
      </c>
      <c r="Y63" s="1"/>
      <c r="Z63" s="5">
        <f t="shared" ref="Z63:Z69" si="43">IF(T63=0,0,X63/T63)</f>
        <v>0.78734366466143535</v>
      </c>
    </row>
    <row r="64" spans="1:26" s="24" customFormat="1" hidden="1" outlineLevel="2" x14ac:dyDescent="0.25">
      <c r="A64" s="29"/>
      <c r="B64" s="11" t="str">
        <f>CONCATENATE("          ", "6237", " - ", "JANITORIAL SUPPLIES")</f>
        <v xml:space="preserve">          6237 - JANITORIAL SUPPLIES</v>
      </c>
      <c r="C64" s="11"/>
      <c r="D64" s="7">
        <v>2731.7</v>
      </c>
      <c r="E64" s="2"/>
      <c r="F64" s="6">
        <f t="shared" si="36"/>
        <v>3.4556474225085267E-2</v>
      </c>
      <c r="G64" s="2"/>
      <c r="H64" s="7">
        <v>1719.98</v>
      </c>
      <c r="I64" s="2"/>
      <c r="J64" s="6">
        <f t="shared" si="37"/>
        <v>2.1389543053111724E-2</v>
      </c>
      <c r="K64" s="2"/>
      <c r="L64" s="7">
        <f t="shared" si="38"/>
        <v>1011.7199999999998</v>
      </c>
      <c r="M64" s="2"/>
      <c r="N64" s="6">
        <f t="shared" si="39"/>
        <v>0.58821614204816319</v>
      </c>
      <c r="O64" s="11"/>
      <c r="P64" s="7">
        <v>2731.7</v>
      </c>
      <c r="Q64" s="2"/>
      <c r="R64" s="6">
        <f t="shared" si="40"/>
        <v>2.1727208482813773E-2</v>
      </c>
      <c r="S64" s="2"/>
      <c r="T64" s="7">
        <v>1719.98</v>
      </c>
      <c r="U64" s="2"/>
      <c r="V64" s="6">
        <f t="shared" si="41"/>
        <v>2.1389543053111724E-2</v>
      </c>
      <c r="W64" s="2"/>
      <c r="X64" s="7">
        <f t="shared" si="42"/>
        <v>1011.7199999999998</v>
      </c>
      <c r="Y64" s="2"/>
      <c r="Z64" s="6">
        <f t="shared" si="43"/>
        <v>0.58821614204816319</v>
      </c>
    </row>
    <row r="65" spans="1:26" s="24" customFormat="1" hidden="1" outlineLevel="2" x14ac:dyDescent="0.25">
      <c r="A65" s="29"/>
      <c r="B65" s="11" t="str">
        <f>CONCATENATE("          ", "6239", " - ", "KITCHEN SUPPLIES")</f>
        <v xml:space="preserve">          6239 - KITCHEN SUPPLIES</v>
      </c>
      <c r="C65" s="11"/>
      <c r="D65" s="7">
        <v>1261.48</v>
      </c>
      <c r="E65" s="2"/>
      <c r="F65" s="6">
        <f t="shared" si="36"/>
        <v>1.5957938684870433E-2</v>
      </c>
      <c r="G65" s="2"/>
      <c r="H65" s="7">
        <v>1231.48</v>
      </c>
      <c r="I65" s="2"/>
      <c r="J65" s="6">
        <f t="shared" si="37"/>
        <v>1.5314593471462473E-2</v>
      </c>
      <c r="K65" s="2"/>
      <c r="L65" s="7">
        <f t="shared" si="38"/>
        <v>30</v>
      </c>
      <c r="M65" s="2"/>
      <c r="N65" s="6">
        <f t="shared" si="39"/>
        <v>2.4360931562022931E-2</v>
      </c>
      <c r="O65" s="11"/>
      <c r="P65" s="7">
        <v>1739.72</v>
      </c>
      <c r="Q65" s="2"/>
      <c r="R65" s="6">
        <f t="shared" si="40"/>
        <v>1.3837265857056332E-2</v>
      </c>
      <c r="S65" s="2"/>
      <c r="T65" s="7">
        <v>1231.48</v>
      </c>
      <c r="U65" s="2"/>
      <c r="V65" s="6">
        <f t="shared" si="41"/>
        <v>1.5314593471462473E-2</v>
      </c>
      <c r="W65" s="2"/>
      <c r="X65" s="7">
        <f t="shared" si="42"/>
        <v>508.24</v>
      </c>
      <c r="Y65" s="2"/>
      <c r="Z65" s="6">
        <f t="shared" si="43"/>
        <v>0.41270666190275118</v>
      </c>
    </row>
    <row r="66" spans="1:26" s="24" customFormat="1" hidden="1" outlineLevel="2" x14ac:dyDescent="0.25">
      <c r="A66" s="29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36"/>
        <v>0</v>
      </c>
      <c r="G66" s="2"/>
      <c r="H66" s="7">
        <v>1108.02</v>
      </c>
      <c r="I66" s="2"/>
      <c r="J66" s="6">
        <f t="shared" si="37"/>
        <v>1.3779254115576256E-2</v>
      </c>
      <c r="K66" s="2"/>
      <c r="L66" s="7">
        <f t="shared" si="38"/>
        <v>-1108.02</v>
      </c>
      <c r="M66" s="2"/>
      <c r="N66" s="6">
        <f t="shared" si="39"/>
        <v>-1</v>
      </c>
      <c r="O66" s="11"/>
      <c r="P66" s="7">
        <v>19222.28</v>
      </c>
      <c r="Q66" s="2"/>
      <c r="R66" s="6">
        <f t="shared" si="40"/>
        <v>0.15288885495296758</v>
      </c>
      <c r="S66" s="2"/>
      <c r="T66" s="7">
        <v>1690.64</v>
      </c>
      <c r="U66" s="2"/>
      <c r="V66" s="6">
        <f t="shared" si="41"/>
        <v>2.1024673000449311E-2</v>
      </c>
      <c r="W66" s="2"/>
      <c r="X66" s="7">
        <f t="shared" si="42"/>
        <v>17531.64</v>
      </c>
      <c r="Y66" s="2"/>
      <c r="Z66" s="6">
        <f t="shared" si="43"/>
        <v>10.369824445180523</v>
      </c>
    </row>
    <row r="67" spans="1:26" s="24" customFormat="1" hidden="1" outlineLevel="2" x14ac:dyDescent="0.25">
      <c r="A67" s="29"/>
      <c r="B67" s="11" t="str">
        <f>CONCATENATE("          ", "6243", " - ", "PAPER SUPPLIES")</f>
        <v xml:space="preserve">          6243 - PAPER SUPPLIES</v>
      </c>
      <c r="C67" s="11"/>
      <c r="D67" s="7">
        <v>1672.89</v>
      </c>
      <c r="E67" s="2"/>
      <c r="F67" s="6">
        <f t="shared" si="36"/>
        <v>2.1162345852913166E-2</v>
      </c>
      <c r="G67" s="2"/>
      <c r="H67" s="7">
        <v>1625.02</v>
      </c>
      <c r="I67" s="2"/>
      <c r="J67" s="6">
        <f t="shared" si="37"/>
        <v>2.0208627572511084E-2</v>
      </c>
      <c r="K67" s="2"/>
      <c r="L67" s="7">
        <f t="shared" si="38"/>
        <v>47.870000000000118</v>
      </c>
      <c r="M67" s="2"/>
      <c r="N67" s="6">
        <f t="shared" si="39"/>
        <v>2.9458098977243431E-2</v>
      </c>
      <c r="O67" s="11"/>
      <c r="P67" s="7">
        <v>2120.15</v>
      </c>
      <c r="Q67" s="2"/>
      <c r="R67" s="6">
        <f t="shared" si="40"/>
        <v>1.6863103951692215E-2</v>
      </c>
      <c r="S67" s="2"/>
      <c r="T67" s="7">
        <v>1940.04</v>
      </c>
      <c r="U67" s="2"/>
      <c r="V67" s="6">
        <f t="shared" si="41"/>
        <v>2.4126192807334308E-2</v>
      </c>
      <c r="W67" s="2"/>
      <c r="X67" s="7">
        <f t="shared" si="42"/>
        <v>180.11000000000013</v>
      </c>
      <c r="Y67" s="2"/>
      <c r="Z67" s="6">
        <f t="shared" si="43"/>
        <v>9.2838291993979569E-2</v>
      </c>
    </row>
    <row r="68" spans="1:26" s="24" customFormat="1" hidden="1" outlineLevel="2" x14ac:dyDescent="0.25">
      <c r="A68" s="29"/>
      <c r="B68" s="11" t="str">
        <f>CONCATENATE("          ", "6245", " - ", "PRINTING")</f>
        <v xml:space="preserve">          6245 - PRINTING</v>
      </c>
      <c r="C68" s="11"/>
      <c r="D68" s="7">
        <v>441</v>
      </c>
      <c r="E68" s="2"/>
      <c r="F68" s="6">
        <f t="shared" si="36"/>
        <v>5.5787257507276065E-3</v>
      </c>
      <c r="G68" s="2"/>
      <c r="H68" s="7"/>
      <c r="I68" s="2"/>
      <c r="J68" s="6">
        <f t="shared" si="37"/>
        <v>0</v>
      </c>
      <c r="K68" s="2"/>
      <c r="L68" s="7">
        <f t="shared" si="38"/>
        <v>441</v>
      </c>
      <c r="M68" s="2"/>
      <c r="N68" s="6">
        <f t="shared" si="39"/>
        <v>0</v>
      </c>
      <c r="O68" s="11"/>
      <c r="P68" s="7">
        <v>441</v>
      </c>
      <c r="Q68" s="2"/>
      <c r="R68" s="6">
        <f t="shared" si="40"/>
        <v>3.5075956147896455E-3</v>
      </c>
      <c r="S68" s="2"/>
      <c r="T68" s="7"/>
      <c r="U68" s="2"/>
      <c r="V68" s="6">
        <f t="shared" si="41"/>
        <v>0</v>
      </c>
      <c r="W68" s="2"/>
      <c r="X68" s="7">
        <f t="shared" si="42"/>
        <v>441</v>
      </c>
      <c r="Y68" s="2"/>
      <c r="Z68" s="6">
        <f t="shared" si="43"/>
        <v>0</v>
      </c>
    </row>
    <row r="69" spans="1:26" s="24" customFormat="1" hidden="1" outlineLevel="2" x14ac:dyDescent="0.25">
      <c r="A69" s="29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-8059.62</v>
      </c>
      <c r="Q69" s="2"/>
      <c r="R69" s="6">
        <f t="shared" si="40"/>
        <v>-6.4104053897666491E-2</v>
      </c>
      <c r="S69" s="2"/>
      <c r="T69" s="7">
        <v>3597.9</v>
      </c>
      <c r="U69" s="2"/>
      <c r="V69" s="6">
        <f t="shared" si="41"/>
        <v>4.4743216171577962E-2</v>
      </c>
      <c r="W69" s="2"/>
      <c r="X69" s="7">
        <f t="shared" si="42"/>
        <v>-11657.52</v>
      </c>
      <c r="Y69" s="2"/>
      <c r="Z69" s="6">
        <f t="shared" si="43"/>
        <v>-3.2400900525306429</v>
      </c>
    </row>
    <row r="70" spans="1:26" s="27" customFormat="1" outlineLevel="1" collapsed="1" x14ac:dyDescent="0.25">
      <c r="A70" s="28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SUM(OSRRefD22_13x_0)</f>
        <v>131.9</v>
      </c>
      <c r="E70" s="1"/>
      <c r="F70" s="5">
        <f t="shared" ref="F70:F76" si="44">IF(D$12=0,0,D70/D$12)</f>
        <v>1.668557656510139E-3</v>
      </c>
      <c r="G70" s="1"/>
      <c r="H70" s="1">
        <f>SUM(OSRRefH22_13x_0)</f>
        <v>177.65</v>
      </c>
      <c r="I70" s="1"/>
      <c r="J70" s="5">
        <f t="shared" ref="J70:J76" si="45">IF(H$12=0,0,H70/H$12)</f>
        <v>2.2092421559467539E-3</v>
      </c>
      <c r="K70" s="1"/>
      <c r="L70" s="1">
        <f t="shared" ref="L70:L76" si="46">+D70-H70</f>
        <v>-45.75</v>
      </c>
      <c r="M70" s="1"/>
      <c r="N70" s="5">
        <f t="shared" ref="N70:N76" si="47">IF(H70=0,0,L70/H70)</f>
        <v>-0.25752884886011818</v>
      </c>
      <c r="O70" s="14"/>
      <c r="P70" s="1">
        <f>SUM(OSRRefP22_13x_0)</f>
        <v>161.9</v>
      </c>
      <c r="Q70" s="1"/>
      <c r="R70" s="5">
        <f t="shared" ref="R70:R76" si="48">IF(P$12=0,0,P70/P$12)</f>
        <v>1.2877091384000988E-3</v>
      </c>
      <c r="S70" s="1"/>
      <c r="T70" s="1">
        <f>SUM(OSRRefT22_13x_0)</f>
        <v>230.85</v>
      </c>
      <c r="U70" s="1"/>
      <c r="V70" s="5">
        <f t="shared" ref="V70:V76" si="49">IF(T$12=0,0,T70/T$12)</f>
        <v>2.8708333898131611E-3</v>
      </c>
      <c r="W70" s="1"/>
      <c r="X70" s="1">
        <f t="shared" ref="X70:X76" si="50">+P70-T70</f>
        <v>-68.949999999999989</v>
      </c>
      <c r="Y70" s="1"/>
      <c r="Z70" s="5">
        <f t="shared" ref="Z70:Z76" si="51">IF(T70=0,0,X70/T70)</f>
        <v>-0.29867879575481909</v>
      </c>
    </row>
    <row r="71" spans="1:26" s="24" customFormat="1" hidden="1" outlineLevel="2" x14ac:dyDescent="0.25">
      <c r="A71" s="29"/>
      <c r="B71" s="11" t="str">
        <f>CONCATENATE("          ", "6309", " - ", "TELEPHONE")</f>
        <v xml:space="preserve">          6309 - TELEPHONE</v>
      </c>
      <c r="C71" s="11"/>
      <c r="D71" s="7">
        <v>131.9</v>
      </c>
      <c r="E71" s="2"/>
      <c r="F71" s="6">
        <f t="shared" si="44"/>
        <v>1.668557656510139E-3</v>
      </c>
      <c r="G71" s="2"/>
      <c r="H71" s="7">
        <v>177.65</v>
      </c>
      <c r="I71" s="2"/>
      <c r="J71" s="6">
        <f t="shared" si="45"/>
        <v>2.2092421559467539E-3</v>
      </c>
      <c r="K71" s="2"/>
      <c r="L71" s="7">
        <f t="shared" si="46"/>
        <v>-45.75</v>
      </c>
      <c r="M71" s="2"/>
      <c r="N71" s="6">
        <f t="shared" si="47"/>
        <v>-0.25752884886011818</v>
      </c>
      <c r="O71" s="11"/>
      <c r="P71" s="7">
        <v>161.9</v>
      </c>
      <c r="Q71" s="2"/>
      <c r="R71" s="6">
        <f t="shared" si="48"/>
        <v>1.2877091384000988E-3</v>
      </c>
      <c r="S71" s="2"/>
      <c r="T71" s="7">
        <v>230.85</v>
      </c>
      <c r="U71" s="2"/>
      <c r="V71" s="6">
        <f t="shared" si="49"/>
        <v>2.8708333898131611E-3</v>
      </c>
      <c r="W71" s="2"/>
      <c r="X71" s="7">
        <f t="shared" si="50"/>
        <v>-68.949999999999989</v>
      </c>
      <c r="Y71" s="2"/>
      <c r="Z71" s="6">
        <f t="shared" si="51"/>
        <v>-0.29867879575481909</v>
      </c>
    </row>
    <row r="72" spans="1:26" s="27" customFormat="1" outlineLevel="1" collapsed="1" x14ac:dyDescent="0.25">
      <c r="A72" s="28"/>
      <c r="B72" s="14" t="str">
        <f>CONCATENATE("     ","Training                                          ")</f>
        <v xml:space="preserve">     Training                                          </v>
      </c>
      <c r="C72" s="14"/>
      <c r="D72" s="1">
        <f>SUM(OSRRefD22_14x_0)</f>
        <v>60.73</v>
      </c>
      <c r="E72" s="1"/>
      <c r="F72" s="5">
        <f t="shared" si="44"/>
        <v>7.6824493161380385E-4</v>
      </c>
      <c r="G72" s="1"/>
      <c r="H72" s="1">
        <f>SUM(OSRRefH22_14x_0)</f>
        <v>84.35</v>
      </c>
      <c r="I72" s="1"/>
      <c r="J72" s="5">
        <f t="shared" si="45"/>
        <v>1.0489703115908171E-3</v>
      </c>
      <c r="K72" s="1"/>
      <c r="L72" s="1">
        <f t="shared" si="46"/>
        <v>-23.619999999999997</v>
      </c>
      <c r="M72" s="1"/>
      <c r="N72" s="5">
        <f t="shared" si="47"/>
        <v>-0.28002371072910492</v>
      </c>
      <c r="O72" s="14"/>
      <c r="P72" s="1">
        <f>SUM(OSRRefP22_14x_0)</f>
        <v>1107.78</v>
      </c>
      <c r="Q72" s="1"/>
      <c r="R72" s="5">
        <f t="shared" si="48"/>
        <v>8.8109847395729558E-3</v>
      </c>
      <c r="S72" s="1"/>
      <c r="T72" s="1">
        <f>SUM(OSRRefT22_14x_0)</f>
        <v>886.1</v>
      </c>
      <c r="U72" s="1"/>
      <c r="V72" s="5">
        <f t="shared" si="49"/>
        <v>1.1019473540019243E-2</v>
      </c>
      <c r="W72" s="1"/>
      <c r="X72" s="1">
        <f t="shared" si="50"/>
        <v>221.67999999999995</v>
      </c>
      <c r="Y72" s="1"/>
      <c r="Z72" s="5">
        <f t="shared" si="51"/>
        <v>0.25017492382349615</v>
      </c>
    </row>
    <row r="73" spans="1:26" s="24" customFormat="1" hidden="1" outlineLevel="2" x14ac:dyDescent="0.25">
      <c r="A73" s="29"/>
      <c r="B73" s="11" t="str">
        <f>CONCATENATE("          ", "6376", " - ", "TRAINING")</f>
        <v xml:space="preserve">          6376 - TRAINING</v>
      </c>
      <c r="C73" s="11"/>
      <c r="D73" s="7">
        <v>60.73</v>
      </c>
      <c r="E73" s="2"/>
      <c r="F73" s="6">
        <f t="shared" si="44"/>
        <v>7.6824493161380385E-4</v>
      </c>
      <c r="G73" s="2"/>
      <c r="H73" s="7">
        <v>84.35</v>
      </c>
      <c r="I73" s="2"/>
      <c r="J73" s="6">
        <f t="shared" si="45"/>
        <v>1.0489703115908171E-3</v>
      </c>
      <c r="K73" s="2"/>
      <c r="L73" s="7">
        <f t="shared" si="46"/>
        <v>-23.619999999999997</v>
      </c>
      <c r="M73" s="2"/>
      <c r="N73" s="6">
        <f t="shared" si="47"/>
        <v>-0.28002371072910492</v>
      </c>
      <c r="O73" s="11"/>
      <c r="P73" s="7">
        <v>1107.78</v>
      </c>
      <c r="Q73" s="2"/>
      <c r="R73" s="6">
        <f t="shared" si="48"/>
        <v>8.8109847395729558E-3</v>
      </c>
      <c r="S73" s="2"/>
      <c r="T73" s="7">
        <v>886.1</v>
      </c>
      <c r="U73" s="2"/>
      <c r="V73" s="6">
        <f t="shared" si="49"/>
        <v>1.1019473540019243E-2</v>
      </c>
      <c r="W73" s="2"/>
      <c r="X73" s="7">
        <f t="shared" si="50"/>
        <v>221.67999999999995</v>
      </c>
      <c r="Y73" s="2"/>
      <c r="Z73" s="6">
        <f t="shared" si="51"/>
        <v>0.25017492382349615</v>
      </c>
    </row>
    <row r="74" spans="1:26" s="27" customFormat="1" outlineLevel="1" collapsed="1" x14ac:dyDescent="0.25">
      <c r="A74" s="28"/>
      <c r="B74" s="14" t="str">
        <f>CONCATENATE("     ","Travel                                            ")</f>
        <v xml:space="preserve">     Travel                                            </v>
      </c>
      <c r="C74" s="14"/>
      <c r="D74" s="1">
        <f>SUM(OSRRefD22_15x_0)</f>
        <v>0</v>
      </c>
      <c r="E74" s="1"/>
      <c r="F74" s="5">
        <f t="shared" si="44"/>
        <v>0</v>
      </c>
      <c r="G74" s="1"/>
      <c r="H74" s="1">
        <f>SUM(OSRRefH22_15x_0)</f>
        <v>108.83</v>
      </c>
      <c r="I74" s="1"/>
      <c r="J74" s="5">
        <f t="shared" si="45"/>
        <v>1.3534017665729537E-3</v>
      </c>
      <c r="K74" s="1"/>
      <c r="L74" s="1">
        <f t="shared" si="46"/>
        <v>-108.83</v>
      </c>
      <c r="M74" s="1"/>
      <c r="N74" s="5">
        <f t="shared" si="47"/>
        <v>-1</v>
      </c>
      <c r="O74" s="14"/>
      <c r="P74" s="1">
        <f>SUM(OSRRefP22_15x_0)</f>
        <v>79.510000000000005</v>
      </c>
      <c r="Q74" s="1"/>
      <c r="R74" s="5">
        <f t="shared" si="48"/>
        <v>6.3240119576400168E-4</v>
      </c>
      <c r="S74" s="1"/>
      <c r="T74" s="1">
        <f>SUM(OSRRefT22_15x_0)</f>
        <v>108.83</v>
      </c>
      <c r="U74" s="1"/>
      <c r="V74" s="5">
        <f t="shared" si="49"/>
        <v>1.3534017665729537E-3</v>
      </c>
      <c r="W74" s="1"/>
      <c r="X74" s="1">
        <f t="shared" si="50"/>
        <v>-29.319999999999993</v>
      </c>
      <c r="Y74" s="1"/>
      <c r="Z74" s="5">
        <f t="shared" si="51"/>
        <v>-0.26941100799411921</v>
      </c>
    </row>
    <row r="75" spans="1:26" s="24" customFormat="1" hidden="1" outlineLevel="2" x14ac:dyDescent="0.25">
      <c r="A75" s="29"/>
      <c r="B75" s="11" t="str">
        <f>CONCATENATE("          ", "6292", " - ", "TRAVEL/CONFERENCE")</f>
        <v xml:space="preserve">          6292 - TRAVEL/CONFERENCE</v>
      </c>
      <c r="C75" s="11"/>
      <c r="D75" s="7"/>
      <c r="E75" s="2"/>
      <c r="F75" s="6">
        <f t="shared" si="44"/>
        <v>0</v>
      </c>
      <c r="G75" s="2"/>
      <c r="H75" s="7"/>
      <c r="I75" s="2"/>
      <c r="J75" s="6">
        <f t="shared" si="45"/>
        <v>0</v>
      </c>
      <c r="K75" s="2"/>
      <c r="L75" s="7">
        <f t="shared" si="46"/>
        <v>0</v>
      </c>
      <c r="M75" s="2"/>
      <c r="N75" s="6">
        <f t="shared" si="47"/>
        <v>0</v>
      </c>
      <c r="O75" s="11"/>
      <c r="P75" s="7">
        <v>79.510000000000005</v>
      </c>
      <c r="Q75" s="2"/>
      <c r="R75" s="6">
        <f t="shared" si="48"/>
        <v>6.3240119576400168E-4</v>
      </c>
      <c r="S75" s="2"/>
      <c r="T75" s="7"/>
      <c r="U75" s="2"/>
      <c r="V75" s="6">
        <f t="shared" si="49"/>
        <v>0</v>
      </c>
      <c r="W75" s="2"/>
      <c r="X75" s="7">
        <f t="shared" si="50"/>
        <v>79.510000000000005</v>
      </c>
      <c r="Y75" s="2"/>
      <c r="Z75" s="6">
        <f t="shared" si="51"/>
        <v>0</v>
      </c>
    </row>
    <row r="76" spans="1:26" s="24" customFormat="1" hidden="1" outlineLevel="2" x14ac:dyDescent="0.25">
      <c r="A76" s="29"/>
      <c r="B76" s="11" t="str">
        <f>CONCATENATE("          ", "6294", " - ", "TRAVEL OPERATIONAL")</f>
        <v xml:space="preserve">          6294 - TRAVEL OPERATIONAL</v>
      </c>
      <c r="C76" s="11"/>
      <c r="D76" s="7"/>
      <c r="E76" s="2"/>
      <c r="F76" s="6">
        <f t="shared" si="44"/>
        <v>0</v>
      </c>
      <c r="G76" s="2"/>
      <c r="H76" s="7">
        <v>108.83</v>
      </c>
      <c r="I76" s="2"/>
      <c r="J76" s="6">
        <f t="shared" si="45"/>
        <v>1.3534017665729537E-3</v>
      </c>
      <c r="K76" s="2"/>
      <c r="L76" s="7">
        <f t="shared" si="46"/>
        <v>-108.83</v>
      </c>
      <c r="M76" s="2"/>
      <c r="N76" s="6">
        <f t="shared" si="47"/>
        <v>-1</v>
      </c>
      <c r="O76" s="11"/>
      <c r="P76" s="7"/>
      <c r="Q76" s="2"/>
      <c r="R76" s="6">
        <f t="shared" si="48"/>
        <v>0</v>
      </c>
      <c r="S76" s="2"/>
      <c r="T76" s="7">
        <v>108.83</v>
      </c>
      <c r="U76" s="2"/>
      <c r="V76" s="6">
        <f t="shared" si="49"/>
        <v>1.3534017665729537E-3</v>
      </c>
      <c r="W76" s="2"/>
      <c r="X76" s="7">
        <f t="shared" si="50"/>
        <v>-108.83</v>
      </c>
      <c r="Y76" s="2"/>
      <c r="Z76" s="6">
        <f t="shared" si="51"/>
        <v>-1</v>
      </c>
    </row>
    <row r="77" spans="1:26" s="62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5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6" t="s">
        <v>3</v>
      </c>
      <c r="C80" s="26"/>
      <c r="D80" s="20">
        <f>+D21-D23+D78</f>
        <v>-49705.069999999978</v>
      </c>
      <c r="E80" s="13"/>
      <c r="F80" s="19">
        <f>IF(D$12=0,0,D80/D$12)</f>
        <v>-0.62877767335763746</v>
      </c>
      <c r="G80" s="13"/>
      <c r="H80" s="20">
        <f>+H21-H23+H78</f>
        <v>-46667.499999999993</v>
      </c>
      <c r="I80" s="13"/>
      <c r="J80" s="19">
        <f>IF(H$12=0,0,H80/H$12)</f>
        <v>-0.58035355087331897</v>
      </c>
      <c r="K80" s="15"/>
      <c r="L80" s="20">
        <f>+D80-H80</f>
        <v>-3037.5699999999852</v>
      </c>
      <c r="M80" s="15"/>
      <c r="N80" s="19">
        <f>IF(H80=0,0,L80/H80)</f>
        <v>6.5089623399581839E-2</v>
      </c>
      <c r="O80" s="25"/>
      <c r="P80" s="20">
        <f>+P21-P23+P78</f>
        <v>-99722.399999999965</v>
      </c>
      <c r="Q80" s="13"/>
      <c r="R80" s="19">
        <f>IF(P$12=0,0,P80/P$12)</f>
        <v>-0.79316519940203811</v>
      </c>
      <c r="S80" s="13"/>
      <c r="T80" s="20">
        <f>+T21-T23+T78</f>
        <v>-100768.33000000005</v>
      </c>
      <c r="U80" s="13"/>
      <c r="V80" s="19">
        <f>IF(T$12=0,0,T80/T$12)</f>
        <v>-1.2531474394616045</v>
      </c>
      <c r="W80" s="15"/>
      <c r="X80" s="20">
        <f>+P80-T80</f>
        <v>1045.9300000000803</v>
      </c>
      <c r="Y80" s="15"/>
      <c r="Z80" s="19">
        <f>IF(T80=0,0,X80/T80)</f>
        <v>-1.0379550797359447E-2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5970.36</v>
      </c>
      <c r="E82" s="4"/>
      <c r="F82" s="12">
        <f>IF(D$12=0,0,D82/D$12)</f>
        <v>7.5526079530870913E-2</v>
      </c>
      <c r="G82" s="4"/>
      <c r="H82" s="4">
        <v>8209.7099999999991</v>
      </c>
      <c r="I82" s="4"/>
      <c r="J82" s="12">
        <f>IF(H$12=0,0,H82/H$12)</f>
        <v>0.10209534151476286</v>
      </c>
      <c r="K82" s="4"/>
      <c r="L82" s="4">
        <f>+D82-H82</f>
        <v>-2239.3499999999995</v>
      </c>
      <c r="M82" s="4"/>
      <c r="N82" s="12">
        <f>IF(H82=0,0,L82/H82)</f>
        <v>-0.27276846563398705</v>
      </c>
      <c r="O82" s="10"/>
      <c r="P82" s="4">
        <v>15675.849999999999</v>
      </c>
      <c r="Q82" s="4"/>
      <c r="R82" s="12">
        <f>IF(P$12=0,0,P82/P$12)</f>
        <v>0.12468150276213211</v>
      </c>
      <c r="S82" s="4"/>
      <c r="T82" s="4">
        <v>8209.7099999999991</v>
      </c>
      <c r="U82" s="4"/>
      <c r="V82" s="12">
        <f>IF(T$12=0,0,T82/T$12)</f>
        <v>0.10209534151476286</v>
      </c>
      <c r="W82" s="4"/>
      <c r="X82" s="4">
        <f>+P82-T82</f>
        <v>7466.1399999999994</v>
      </c>
      <c r="Y82" s="4"/>
      <c r="Z82" s="12">
        <f>IF(T82=0,0,X82/T82)</f>
        <v>0.90942798223079746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4</v>
      </c>
      <c r="C84" s="26"/>
      <c r="D84" s="31">
        <f>+D80-D82</f>
        <v>-55675.429999999978</v>
      </c>
      <c r="E84" s="13"/>
      <c r="F84" s="36">
        <f>IF(D$12=0,0,D84/D$12)</f>
        <v>-0.70430375288850833</v>
      </c>
      <c r="G84" s="13"/>
      <c r="H84" s="31">
        <f>+H80-H82</f>
        <v>-54877.209999999992</v>
      </c>
      <c r="I84" s="13"/>
      <c r="J84" s="36">
        <f>IF(H$12=0,0,H84/H$12)</f>
        <v>-0.68244889238808182</v>
      </c>
      <c r="K84" s="15"/>
      <c r="L84" s="31">
        <f>D84-H84</f>
        <v>-798.21999999998661</v>
      </c>
      <c r="M84" s="15"/>
      <c r="N84" s="36">
        <f>IF(H84=0,0,L84/H84)</f>
        <v>1.4545564543095153E-2</v>
      </c>
      <c r="O84" s="25"/>
      <c r="P84" s="31">
        <f>+P80-P82</f>
        <v>-115398.24999999997</v>
      </c>
      <c r="Q84" s="13"/>
      <c r="R84" s="36">
        <f>IF(P$12=0,0,P84/P$12)</f>
        <v>-0.9178467021641703</v>
      </c>
      <c r="S84" s="13"/>
      <c r="T84" s="31">
        <f>+T80-T82</f>
        <v>-108978.04000000004</v>
      </c>
      <c r="U84" s="13"/>
      <c r="V84" s="36">
        <f>IF(T$12=0,0,T84/T$12)</f>
        <v>-1.3552427809763674</v>
      </c>
      <c r="W84" s="15"/>
      <c r="X84" s="31">
        <f>P84-T84</f>
        <v>-6420.2099999999336</v>
      </c>
      <c r="Y84" s="15"/>
      <c r="Z84" s="36">
        <f>IF(T84=0,0,X84/T84)</f>
        <v>5.8912878227576231E-2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5</v>
      </c>
      <c r="C87" s="26"/>
      <c r="D87" s="32">
        <f>SUM(D84:D86)</f>
        <v>-55675.429999999978</v>
      </c>
      <c r="E87" s="13"/>
      <c r="F87" s="30">
        <f>IF(D$12=0,0,D87/D$12)</f>
        <v>-0.70430375288850833</v>
      </c>
      <c r="G87" s="13"/>
      <c r="H87" s="32">
        <f>SUM(H84:H86)</f>
        <v>-54877.209999999992</v>
      </c>
      <c r="I87" s="13"/>
      <c r="J87" s="30">
        <f>IF(H$12=0,0,H87/H$12)</f>
        <v>-0.68244889238808182</v>
      </c>
      <c r="K87" s="15"/>
      <c r="L87" s="32">
        <f>+D87-H87</f>
        <v>-798.21999999998661</v>
      </c>
      <c r="M87" s="15"/>
      <c r="N87" s="30">
        <f>IF(H87=0,0,L87/H87)</f>
        <v>1.4545564543095153E-2</v>
      </c>
      <c r="O87" s="25"/>
      <c r="P87" s="32">
        <f>SUM(P84:P86)</f>
        <v>-115398.24999999997</v>
      </c>
      <c r="Q87" s="13"/>
      <c r="R87" s="30">
        <f>IF(P$12=0,0,P87/P$12)</f>
        <v>-0.9178467021641703</v>
      </c>
      <c r="S87" s="13"/>
      <c r="T87" s="32">
        <f>SUM(T84:T86)</f>
        <v>-108978.04000000004</v>
      </c>
      <c r="U87" s="13"/>
      <c r="V87" s="30">
        <f>IF(T$12=0,0,T87/T$12)</f>
        <v>-1.3552427809763674</v>
      </c>
      <c r="W87" s="15"/>
      <c r="X87" s="32">
        <f>+P87-T87</f>
        <v>-6420.2099999999336</v>
      </c>
      <c r="Y87" s="15"/>
      <c r="Z87" s="30">
        <f>IF(T87=0,0,X87/T87)</f>
        <v>5.8912878227576231E-2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7">
        <v>43732.710268437499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0" t="s">
        <v>313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6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7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30975</v>
      </c>
      <c r="E12" s="4"/>
      <c r="F12" s="12"/>
      <c r="G12" s="4"/>
      <c r="H12" s="4">
        <f>SUM(OSRRefH13x_0)</f>
        <v>35670</v>
      </c>
      <c r="I12" s="4"/>
      <c r="J12" s="12"/>
      <c r="K12" s="4"/>
      <c r="L12" s="4">
        <f t="shared" ref="L12:L13" si="0">+D12-H12</f>
        <v>-4695</v>
      </c>
      <c r="M12" s="4"/>
      <c r="N12" s="12">
        <f t="shared" ref="N12:N13" si="1">IF(H12=0,0,L12/H12)</f>
        <v>-0.13162321278385197</v>
      </c>
      <c r="O12" s="10"/>
      <c r="P12" s="4">
        <f>SUM(OSRRefP13x_0)</f>
        <v>67886</v>
      </c>
      <c r="Q12" s="4"/>
      <c r="R12" s="12"/>
      <c r="S12" s="4"/>
      <c r="T12" s="4">
        <f>SUM(OSRRefT13x_0)</f>
        <v>101763</v>
      </c>
      <c r="U12" s="4"/>
      <c r="V12" s="12"/>
      <c r="W12" s="4"/>
      <c r="X12" s="4">
        <f t="shared" ref="X12:X13" si="2">+P12-T12</f>
        <v>-33877</v>
      </c>
      <c r="Y12" s="4"/>
      <c r="Z12" s="12">
        <f t="shared" ref="Z12:Z13" si="3">IF(T12=0,0,X12/T12)</f>
        <v>-0.33290095614319548</v>
      </c>
    </row>
    <row r="13" spans="1:26" s="24" customFormat="1" hidden="1" outlineLevel="1" x14ac:dyDescent="0.25">
      <c r="A13" s="50"/>
      <c r="B13" s="11" t="str">
        <f>CONCATENATE("          ", "4100", " - ", "NON-TAXABLE SALES")</f>
        <v xml:space="preserve">          4100 - NON-TAXABLE SALES</v>
      </c>
      <c r="C13" s="11"/>
      <c r="D13" s="2">
        <f>--30975</f>
        <v>30975</v>
      </c>
      <c r="E13" s="2"/>
      <c r="F13" s="21"/>
      <c r="G13" s="2"/>
      <c r="H13" s="2">
        <f>--35670</f>
        <v>35670</v>
      </c>
      <c r="I13" s="2"/>
      <c r="J13" s="21"/>
      <c r="K13" s="2"/>
      <c r="L13" s="2">
        <f t="shared" si="0"/>
        <v>-4695</v>
      </c>
      <c r="M13" s="2"/>
      <c r="N13" s="21">
        <f t="shared" si="1"/>
        <v>-0.13162321278385197</v>
      </c>
      <c r="O13" s="11"/>
      <c r="P13" s="2">
        <f>--67886</f>
        <v>67886</v>
      </c>
      <c r="Q13" s="2"/>
      <c r="R13" s="21"/>
      <c r="S13" s="2"/>
      <c r="T13" s="2">
        <f>--101763</f>
        <v>101763</v>
      </c>
      <c r="U13" s="2"/>
      <c r="V13" s="21"/>
      <c r="W13" s="2"/>
      <c r="X13" s="2">
        <f t="shared" si="2"/>
        <v>-33877</v>
      </c>
      <c r="Y13" s="2"/>
      <c r="Z13" s="21">
        <f t="shared" si="3"/>
        <v>-0.33290095614319548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30975</v>
      </c>
      <c r="E17" s="13"/>
      <c r="F17" s="19">
        <f>IF(D$12=0,0,D17/D$12)</f>
        <v>1</v>
      </c>
      <c r="G17" s="13"/>
      <c r="H17" s="20">
        <f>H12-H15</f>
        <v>35670</v>
      </c>
      <c r="I17" s="13"/>
      <c r="J17" s="19">
        <f>IF(H$12=0,0,H17/H$12)</f>
        <v>1</v>
      </c>
      <c r="K17" s="15"/>
      <c r="L17" s="20">
        <f>+D17-H17</f>
        <v>-4695</v>
      </c>
      <c r="M17" s="15"/>
      <c r="N17" s="19">
        <f>IF(H17=0,0,L17/H17)</f>
        <v>-0.13162321278385197</v>
      </c>
      <c r="O17" s="25"/>
      <c r="P17" s="20">
        <f>P12-P15</f>
        <v>67886</v>
      </c>
      <c r="Q17" s="13"/>
      <c r="R17" s="19">
        <f>IF(P$12=0,0,P17/P$12)</f>
        <v>1</v>
      </c>
      <c r="S17" s="13"/>
      <c r="T17" s="20">
        <f>T12-T15</f>
        <v>101763</v>
      </c>
      <c r="U17" s="13"/>
      <c r="V17" s="19">
        <f>IF(T$12=0,0,T17/T$12)</f>
        <v>1</v>
      </c>
      <c r="W17" s="15"/>
      <c r="X17" s="20">
        <f>+P17-T17</f>
        <v>-33877</v>
      </c>
      <c r="Y17" s="15"/>
      <c r="Z17" s="19">
        <f>IF(T17=0,0,X17/T17)</f>
        <v>-0.33290095614319548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2">
        <f>SUM(OSRRefD22x_0)</f>
        <v>26838.589999999997</v>
      </c>
      <c r="E19" s="22"/>
      <c r="F19" s="33">
        <f t="shared" ref="F19:F28" si="4">IF(D$12=0,0,D19/D$12)</f>
        <v>0.86645972558514917</v>
      </c>
      <c r="G19" s="22"/>
      <c r="H19" s="22">
        <f>SUM(OSRRefH22x_0)</f>
        <v>26320.21</v>
      </c>
      <c r="I19" s="22"/>
      <c r="J19" s="33">
        <f t="shared" ref="J19:J28" si="5">IF(H$12=0,0,H19/H$12)</f>
        <v>0.73788085225679845</v>
      </c>
      <c r="K19" s="4"/>
      <c r="L19" s="22">
        <f t="shared" ref="L19:L28" si="6">+D19-H19</f>
        <v>518.37999999999738</v>
      </c>
      <c r="M19" s="4"/>
      <c r="N19" s="33">
        <f t="shared" ref="N19:N28" si="7">IF(H19=0,0,L19/H19)</f>
        <v>1.9695131611791754E-2</v>
      </c>
      <c r="O19" s="10"/>
      <c r="P19" s="22">
        <f>SUM(OSRRefP22x_0)</f>
        <v>64600.19999999999</v>
      </c>
      <c r="Q19" s="22"/>
      <c r="R19" s="33">
        <f t="shared" ref="R19:R28" si="8">IF(P$12=0,0,P19/P$12)</f>
        <v>0.95159826768405842</v>
      </c>
      <c r="S19" s="22"/>
      <c r="T19" s="22">
        <f>SUM(OSRRefT22x_0)</f>
        <v>93712.22</v>
      </c>
      <c r="U19" s="22"/>
      <c r="V19" s="33">
        <f t="shared" ref="V19:V28" si="9">IF(T$12=0,0,T19/T$12)</f>
        <v>0.9208869628450419</v>
      </c>
      <c r="W19" s="4"/>
      <c r="X19" s="22">
        <f t="shared" ref="X19:X28" si="10">+P19-T19</f>
        <v>-29112.020000000011</v>
      </c>
      <c r="Y19" s="4"/>
      <c r="Z19" s="33">
        <f t="shared" ref="Z19:Z28" si="11">IF(T19=0,0,X19/T19)</f>
        <v>-0.31065340251250062</v>
      </c>
    </row>
    <row r="20" spans="1:26" s="27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4226.13</v>
      </c>
      <c r="E20" s="1"/>
      <c r="F20" s="5">
        <f t="shared" si="4"/>
        <v>0.13643680387409202</v>
      </c>
      <c r="G20" s="1"/>
      <c r="H20" s="1">
        <f>SUM(OSRRefH22_0x_0)</f>
        <v>4654.2399999999989</v>
      </c>
      <c r="I20" s="1"/>
      <c r="J20" s="5">
        <f t="shared" si="5"/>
        <v>0.13048051583964113</v>
      </c>
      <c r="K20" s="1"/>
      <c r="L20" s="1">
        <f t="shared" si="6"/>
        <v>-428.10999999999876</v>
      </c>
      <c r="M20" s="1"/>
      <c r="N20" s="5">
        <f t="shared" si="7"/>
        <v>-9.1982794183368036E-2</v>
      </c>
      <c r="O20" s="14"/>
      <c r="P20" s="1">
        <f>SUM(OSRRefP22_0x_0)</f>
        <v>8625.48</v>
      </c>
      <c r="Q20" s="1"/>
      <c r="R20" s="5">
        <f t="shared" si="8"/>
        <v>0.12705830362666823</v>
      </c>
      <c r="S20" s="1"/>
      <c r="T20" s="1">
        <f>SUM(OSRRefT22_0x_0)</f>
        <v>8750.17</v>
      </c>
      <c r="U20" s="1"/>
      <c r="V20" s="5">
        <f t="shared" si="9"/>
        <v>8.5985770859742738E-2</v>
      </c>
      <c r="W20" s="1"/>
      <c r="X20" s="1">
        <f t="shared" si="10"/>
        <v>-124.69000000000051</v>
      </c>
      <c r="Y20" s="1"/>
      <c r="Z20" s="5">
        <f t="shared" si="11"/>
        <v>-1.4250008856970836E-2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1291.28</v>
      </c>
      <c r="E21" s="2"/>
      <c r="F21" s="6">
        <f t="shared" si="4"/>
        <v>4.1687812752219534E-2</v>
      </c>
      <c r="G21" s="2"/>
      <c r="H21" s="7">
        <v>1338.4</v>
      </c>
      <c r="I21" s="2"/>
      <c r="J21" s="6">
        <f t="shared" si="5"/>
        <v>3.7521726941407346E-2</v>
      </c>
      <c r="K21" s="2"/>
      <c r="L21" s="7">
        <f t="shared" si="6"/>
        <v>-47.120000000000118</v>
      </c>
      <c r="M21" s="2"/>
      <c r="N21" s="6">
        <f t="shared" si="7"/>
        <v>-3.5206216377764582E-2</v>
      </c>
      <c r="O21" s="11"/>
      <c r="P21" s="7">
        <v>2357.21</v>
      </c>
      <c r="Q21" s="2"/>
      <c r="R21" s="6">
        <f t="shared" si="8"/>
        <v>3.4723065138614735E-2</v>
      </c>
      <c r="S21" s="2"/>
      <c r="T21" s="7">
        <v>2440.14</v>
      </c>
      <c r="U21" s="2"/>
      <c r="V21" s="6">
        <f t="shared" si="9"/>
        <v>2.3978656289614101E-2</v>
      </c>
      <c r="W21" s="2"/>
      <c r="X21" s="7">
        <f t="shared" si="10"/>
        <v>-82.929999999999836</v>
      </c>
      <c r="Y21" s="2"/>
      <c r="Z21" s="6">
        <f t="shared" si="11"/>
        <v>-3.3985754915701494E-2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60.78</v>
      </c>
      <c r="E22" s="2"/>
      <c r="F22" s="6">
        <f t="shared" si="4"/>
        <v>1.9622276029055692E-3</v>
      </c>
      <c r="G22" s="2"/>
      <c r="H22" s="7">
        <v>56.62</v>
      </c>
      <c r="I22" s="2"/>
      <c r="J22" s="6">
        <f t="shared" si="5"/>
        <v>1.5873282870759741E-3</v>
      </c>
      <c r="K22" s="2"/>
      <c r="L22" s="7">
        <f t="shared" si="6"/>
        <v>4.1600000000000037</v>
      </c>
      <c r="M22" s="2"/>
      <c r="N22" s="6">
        <f t="shared" si="7"/>
        <v>7.3472271282232493E-2</v>
      </c>
      <c r="O22" s="11"/>
      <c r="P22" s="7">
        <v>109.78</v>
      </c>
      <c r="Q22" s="2"/>
      <c r="R22" s="6">
        <f t="shared" si="8"/>
        <v>1.6171228235571399E-3</v>
      </c>
      <c r="S22" s="2"/>
      <c r="T22" s="7">
        <v>125.92</v>
      </c>
      <c r="U22" s="2"/>
      <c r="V22" s="6">
        <f t="shared" si="9"/>
        <v>1.2373849041400116E-3</v>
      </c>
      <c r="W22" s="2"/>
      <c r="X22" s="7">
        <f t="shared" si="10"/>
        <v>-16.14</v>
      </c>
      <c r="Y22" s="2"/>
      <c r="Z22" s="6">
        <f t="shared" si="11"/>
        <v>-0.1281766200762389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1243.31</v>
      </c>
      <c r="E23" s="2"/>
      <c r="F23" s="6">
        <f t="shared" si="4"/>
        <v>4.0139144471347858E-2</v>
      </c>
      <c r="G23" s="2"/>
      <c r="H23" s="7">
        <v>1243.31</v>
      </c>
      <c r="I23" s="2"/>
      <c r="J23" s="6">
        <f t="shared" si="5"/>
        <v>3.4855901317633865E-2</v>
      </c>
      <c r="K23" s="2"/>
      <c r="L23" s="7">
        <f t="shared" si="6"/>
        <v>0</v>
      </c>
      <c r="M23" s="2"/>
      <c r="N23" s="6">
        <f t="shared" si="7"/>
        <v>0</v>
      </c>
      <c r="O23" s="11"/>
      <c r="P23" s="7">
        <v>2486.62</v>
      </c>
      <c r="Q23" s="2"/>
      <c r="R23" s="6">
        <f t="shared" si="8"/>
        <v>3.6629349203075742E-2</v>
      </c>
      <c r="S23" s="2"/>
      <c r="T23" s="7">
        <v>1688.34</v>
      </c>
      <c r="U23" s="2"/>
      <c r="V23" s="6">
        <f t="shared" si="9"/>
        <v>1.6590902390849326E-2</v>
      </c>
      <c r="W23" s="2"/>
      <c r="X23" s="7">
        <f t="shared" si="10"/>
        <v>798.28</v>
      </c>
      <c r="Y23" s="2"/>
      <c r="Z23" s="6">
        <f t="shared" si="11"/>
        <v>0.47281945579681817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46.48</v>
      </c>
      <c r="E24" s="2"/>
      <c r="F24" s="6">
        <f t="shared" si="4"/>
        <v>1.5005649717514124E-3</v>
      </c>
      <c r="G24" s="2"/>
      <c r="H24" s="7">
        <v>47.49</v>
      </c>
      <c r="I24" s="2"/>
      <c r="J24" s="6">
        <f t="shared" si="5"/>
        <v>1.3313708999158958E-3</v>
      </c>
      <c r="K24" s="2"/>
      <c r="L24" s="7">
        <f t="shared" si="6"/>
        <v>-1.0100000000000051</v>
      </c>
      <c r="M24" s="2"/>
      <c r="N24" s="6">
        <f t="shared" si="7"/>
        <v>-2.1267635291640451E-2</v>
      </c>
      <c r="O24" s="11"/>
      <c r="P24" s="7">
        <v>83.95</v>
      </c>
      <c r="Q24" s="2"/>
      <c r="R24" s="6">
        <f t="shared" si="8"/>
        <v>1.2366320007070677E-3</v>
      </c>
      <c r="S24" s="2"/>
      <c r="T24" s="7">
        <v>105.62</v>
      </c>
      <c r="U24" s="2"/>
      <c r="V24" s="6">
        <f t="shared" si="9"/>
        <v>1.0379017914173129E-3</v>
      </c>
      <c r="W24" s="2"/>
      <c r="X24" s="7">
        <f t="shared" si="10"/>
        <v>-21.67</v>
      </c>
      <c r="Y24" s="2"/>
      <c r="Z24" s="6">
        <f t="shared" si="11"/>
        <v>-0.20516947547812914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609.02</v>
      </c>
      <c r="E25" s="2"/>
      <c r="F25" s="6">
        <f t="shared" si="4"/>
        <v>1.9661662631154157E-2</v>
      </c>
      <c r="G25" s="2"/>
      <c r="H25" s="7">
        <v>544.30999999999995</v>
      </c>
      <c r="I25" s="2"/>
      <c r="J25" s="6">
        <f t="shared" si="5"/>
        <v>1.525960190636389E-2</v>
      </c>
      <c r="K25" s="2"/>
      <c r="L25" s="7">
        <f t="shared" si="6"/>
        <v>64.710000000000036</v>
      </c>
      <c r="M25" s="2"/>
      <c r="N25" s="6">
        <f t="shared" si="7"/>
        <v>0.11888445922360427</v>
      </c>
      <c r="O25" s="11"/>
      <c r="P25" s="7">
        <v>1218.04</v>
      </c>
      <c r="Q25" s="2"/>
      <c r="R25" s="6">
        <f t="shared" si="8"/>
        <v>1.7942432902218426E-2</v>
      </c>
      <c r="S25" s="2"/>
      <c r="T25" s="7">
        <v>1352.84</v>
      </c>
      <c r="U25" s="2"/>
      <c r="V25" s="6">
        <f t="shared" si="9"/>
        <v>1.3294026316048072E-2</v>
      </c>
      <c r="W25" s="2"/>
      <c r="X25" s="7">
        <f t="shared" si="10"/>
        <v>-134.79999999999995</v>
      </c>
      <c r="Y25" s="2"/>
      <c r="Z25" s="6">
        <f t="shared" si="11"/>
        <v>-9.9642234114899003E-2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550.41999999999996</v>
      </c>
      <c r="E26" s="2"/>
      <c r="F26" s="6">
        <f t="shared" si="4"/>
        <v>1.7769814366424535E-2</v>
      </c>
      <c r="G26" s="2"/>
      <c r="H26" s="7">
        <v>682.22</v>
      </c>
      <c r="I26" s="2"/>
      <c r="J26" s="6">
        <f t="shared" si="5"/>
        <v>1.9125876086347072E-2</v>
      </c>
      <c r="K26" s="2"/>
      <c r="L26" s="7">
        <f t="shared" si="6"/>
        <v>-131.80000000000007</v>
      </c>
      <c r="M26" s="2"/>
      <c r="N26" s="6">
        <f t="shared" si="7"/>
        <v>-0.19319281170296981</v>
      </c>
      <c r="O26" s="11"/>
      <c r="P26" s="7">
        <v>1393.78</v>
      </c>
      <c r="Q26" s="2"/>
      <c r="R26" s="6">
        <f t="shared" si="8"/>
        <v>2.0531184633061309E-2</v>
      </c>
      <c r="S26" s="2"/>
      <c r="T26" s="7">
        <v>1591.63</v>
      </c>
      <c r="U26" s="2"/>
      <c r="V26" s="6">
        <f t="shared" si="9"/>
        <v>1.5640556980434935E-2</v>
      </c>
      <c r="W26" s="2"/>
      <c r="X26" s="7">
        <f t="shared" si="10"/>
        <v>-197.85000000000014</v>
      </c>
      <c r="Y26" s="2"/>
      <c r="Z26" s="6">
        <f t="shared" si="11"/>
        <v>-0.12430652852735882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274.83999999999997</v>
      </c>
      <c r="E27" s="2"/>
      <c r="F27" s="6">
        <f t="shared" si="4"/>
        <v>8.8729620661824049E-3</v>
      </c>
      <c r="G27" s="2"/>
      <c r="H27" s="7">
        <v>443.95</v>
      </c>
      <c r="I27" s="2"/>
      <c r="J27" s="6">
        <f t="shared" si="5"/>
        <v>1.2446033081020465E-2</v>
      </c>
      <c r="K27" s="2"/>
      <c r="L27" s="7">
        <f t="shared" si="6"/>
        <v>-169.11</v>
      </c>
      <c r="M27" s="2"/>
      <c r="N27" s="6">
        <f t="shared" si="7"/>
        <v>-0.38092127491834671</v>
      </c>
      <c r="O27" s="11"/>
      <c r="P27" s="7">
        <v>693.22</v>
      </c>
      <c r="Q27" s="2"/>
      <c r="R27" s="6">
        <f t="shared" si="8"/>
        <v>1.0211531096249594E-2</v>
      </c>
      <c r="S27" s="2"/>
      <c r="T27" s="7">
        <v>879.79</v>
      </c>
      <c r="U27" s="2"/>
      <c r="V27" s="6">
        <f t="shared" si="9"/>
        <v>8.6454801843499109E-3</v>
      </c>
      <c r="W27" s="2"/>
      <c r="X27" s="7">
        <f t="shared" si="10"/>
        <v>-186.56999999999994</v>
      </c>
      <c r="Y27" s="2"/>
      <c r="Z27" s="6">
        <f t="shared" si="11"/>
        <v>-0.21206196933359089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150</v>
      </c>
      <c r="E28" s="2"/>
      <c r="F28" s="6">
        <f t="shared" si="4"/>
        <v>4.8426150121065378E-3</v>
      </c>
      <c r="G28" s="2"/>
      <c r="H28" s="7">
        <v>297.94</v>
      </c>
      <c r="I28" s="2"/>
      <c r="J28" s="6">
        <f t="shared" si="5"/>
        <v>8.3526773198766471E-3</v>
      </c>
      <c r="K28" s="2"/>
      <c r="L28" s="7">
        <f t="shared" si="6"/>
        <v>-147.94</v>
      </c>
      <c r="M28" s="2"/>
      <c r="N28" s="6">
        <f t="shared" si="7"/>
        <v>-0.49654292810633011</v>
      </c>
      <c r="O28" s="11"/>
      <c r="P28" s="7">
        <v>282.88</v>
      </c>
      <c r="Q28" s="2"/>
      <c r="R28" s="6">
        <f t="shared" si="8"/>
        <v>4.1669858291842202E-3</v>
      </c>
      <c r="S28" s="2"/>
      <c r="T28" s="7">
        <v>565.89</v>
      </c>
      <c r="U28" s="2"/>
      <c r="V28" s="6">
        <f t="shared" si="9"/>
        <v>5.5608620028890655E-3</v>
      </c>
      <c r="W28" s="2"/>
      <c r="X28" s="7">
        <f t="shared" si="10"/>
        <v>-283.01</v>
      </c>
      <c r="Y28" s="2"/>
      <c r="Z28" s="6">
        <f t="shared" si="11"/>
        <v>-0.50011486331265798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18951.8</v>
      </c>
      <c r="E29" s="1"/>
      <c r="F29" s="5">
        <f t="shared" ref="F29:F35" si="12">IF(D$12=0,0,D29/D$12)</f>
        <v>0.61184180790960452</v>
      </c>
      <c r="G29" s="1"/>
      <c r="H29" s="1">
        <f>SUM(OSRRefH22_1x_0)</f>
        <v>18189.269999999997</v>
      </c>
      <c r="I29" s="1"/>
      <c r="J29" s="5">
        <f t="shared" ref="J29:J35" si="13">IF(H$12=0,0,H29/H$12)</f>
        <v>0.50993187552565167</v>
      </c>
      <c r="K29" s="1"/>
      <c r="L29" s="1">
        <f t="shared" ref="L29:L35" si="14">+D29-H29</f>
        <v>762.53000000000247</v>
      </c>
      <c r="M29" s="1"/>
      <c r="N29" s="5">
        <f t="shared" ref="N29:N35" si="15">IF(H29=0,0,L29/H29)</f>
        <v>4.192196828130005E-2</v>
      </c>
      <c r="O29" s="14"/>
      <c r="P29" s="1">
        <f>SUM(OSRRefP22_1x_0)</f>
        <v>36772.49</v>
      </c>
      <c r="Q29" s="1"/>
      <c r="R29" s="5">
        <f t="shared" ref="R29:R35" si="16">IF(P$12=0,0,P29/P$12)</f>
        <v>0.54168002239047808</v>
      </c>
      <c r="S29" s="1"/>
      <c r="T29" s="1">
        <f>SUM(OSRRefT22_1x_0)</f>
        <v>37368.979999999996</v>
      </c>
      <c r="U29" s="1"/>
      <c r="V29" s="5">
        <f t="shared" ref="V29:V35" si="17">IF(T$12=0,0,T29/T$12)</f>
        <v>0.36721578569814173</v>
      </c>
      <c r="W29" s="1"/>
      <c r="X29" s="1">
        <f t="shared" ref="X29:X35" si="18">+P29-T29</f>
        <v>-596.48999999999796</v>
      </c>
      <c r="Y29" s="1"/>
      <c r="Z29" s="5">
        <f t="shared" ref="Z29:Z35" si="19">IF(T29=0,0,X29/T29)</f>
        <v>-1.5962169692616657E-2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5660.58</v>
      </c>
      <c r="E30" s="2"/>
      <c r="F30" s="6">
        <f t="shared" si="12"/>
        <v>0.18274673123486682</v>
      </c>
      <c r="G30" s="2"/>
      <c r="H30" s="7">
        <v>5784.94</v>
      </c>
      <c r="I30" s="2"/>
      <c r="J30" s="6">
        <f t="shared" si="13"/>
        <v>0.16217942248388001</v>
      </c>
      <c r="K30" s="2"/>
      <c r="L30" s="7">
        <f t="shared" si="14"/>
        <v>-124.35999999999967</v>
      </c>
      <c r="M30" s="2"/>
      <c r="N30" s="6">
        <f t="shared" si="15"/>
        <v>-2.1497197896607343E-2</v>
      </c>
      <c r="O30" s="11"/>
      <c r="P30" s="7">
        <v>12215.31</v>
      </c>
      <c r="Q30" s="2"/>
      <c r="R30" s="6">
        <f t="shared" si="16"/>
        <v>0.17993857349085229</v>
      </c>
      <c r="S30" s="2"/>
      <c r="T30" s="7">
        <v>12726.63</v>
      </c>
      <c r="U30" s="2"/>
      <c r="V30" s="6">
        <f t="shared" si="17"/>
        <v>0.12506146634827983</v>
      </c>
      <c r="W30" s="2"/>
      <c r="X30" s="7">
        <f t="shared" si="18"/>
        <v>-511.31999999999971</v>
      </c>
      <c r="Y30" s="2"/>
      <c r="Z30" s="6">
        <f t="shared" si="19"/>
        <v>-4.0177171804318956E-2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12"/>
        <v>0</v>
      </c>
      <c r="G31" s="2"/>
      <c r="H31" s="7">
        <v>3963</v>
      </c>
      <c r="I31" s="2"/>
      <c r="J31" s="6">
        <f t="shared" si="13"/>
        <v>0.1111017661900757</v>
      </c>
      <c r="K31" s="2"/>
      <c r="L31" s="7">
        <f t="shared" si="14"/>
        <v>-3963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5835</v>
      </c>
      <c r="U31" s="2"/>
      <c r="V31" s="6">
        <f t="shared" si="17"/>
        <v>5.7339111464874269E-2</v>
      </c>
      <c r="W31" s="2"/>
      <c r="X31" s="7">
        <f t="shared" si="18"/>
        <v>-5835</v>
      </c>
      <c r="Y31" s="2"/>
      <c r="Z31" s="6">
        <f t="shared" si="19"/>
        <v>-1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>
        <v>7838.45</v>
      </c>
      <c r="E32" s="2"/>
      <c r="F32" s="6">
        <f t="shared" si="12"/>
        <v>0.25305730427764328</v>
      </c>
      <c r="G32" s="2"/>
      <c r="H32" s="7">
        <v>2783.27</v>
      </c>
      <c r="I32" s="2"/>
      <c r="J32" s="6">
        <f t="shared" si="13"/>
        <v>7.8028315110737309E-2</v>
      </c>
      <c r="K32" s="2"/>
      <c r="L32" s="7">
        <f t="shared" si="14"/>
        <v>5055.18</v>
      </c>
      <c r="M32" s="2"/>
      <c r="N32" s="6">
        <f t="shared" si="15"/>
        <v>1.8162736637121086</v>
      </c>
      <c r="O32" s="11"/>
      <c r="P32" s="7">
        <v>13194.39</v>
      </c>
      <c r="Q32" s="2"/>
      <c r="R32" s="6">
        <f t="shared" si="16"/>
        <v>0.19436098753793124</v>
      </c>
      <c r="S32" s="2"/>
      <c r="T32" s="7">
        <v>5282.45</v>
      </c>
      <c r="U32" s="2"/>
      <c r="V32" s="6">
        <f t="shared" si="17"/>
        <v>5.1909338364631546E-2</v>
      </c>
      <c r="W32" s="2"/>
      <c r="X32" s="7">
        <f t="shared" si="18"/>
        <v>7911.94</v>
      </c>
      <c r="Y32" s="2"/>
      <c r="Z32" s="6">
        <f t="shared" si="19"/>
        <v>1.4977784929341498</v>
      </c>
    </row>
    <row r="33" spans="1:26" s="24" customFormat="1" hidden="1" outlineLevel="2" x14ac:dyDescent="0.25">
      <c r="A33" s="29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12"/>
        <v>0</v>
      </c>
      <c r="G33" s="2"/>
      <c r="H33" s="7">
        <v>934.13</v>
      </c>
      <c r="I33" s="2"/>
      <c r="J33" s="6">
        <f t="shared" si="13"/>
        <v>2.6188113260442947E-2</v>
      </c>
      <c r="K33" s="2"/>
      <c r="L33" s="7">
        <f t="shared" si="14"/>
        <v>-934.13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1794.82</v>
      </c>
      <c r="U33" s="2"/>
      <c r="V33" s="6">
        <f t="shared" si="17"/>
        <v>1.763725519098297E-2</v>
      </c>
      <c r="W33" s="2"/>
      <c r="X33" s="7">
        <f t="shared" si="18"/>
        <v>-1794.82</v>
      </c>
      <c r="Y33" s="2"/>
      <c r="Z33" s="6">
        <f t="shared" si="19"/>
        <v>-1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7">
        <v>4633.58</v>
      </c>
      <c r="E34" s="2"/>
      <c r="F34" s="6">
        <f t="shared" si="12"/>
        <v>0.14959096045197739</v>
      </c>
      <c r="G34" s="2"/>
      <c r="H34" s="7">
        <v>4723.93</v>
      </c>
      <c r="I34" s="2"/>
      <c r="J34" s="6">
        <f t="shared" si="13"/>
        <v>0.13243425848051585</v>
      </c>
      <c r="K34" s="2"/>
      <c r="L34" s="7">
        <f t="shared" si="14"/>
        <v>-90.350000000000364</v>
      </c>
      <c r="M34" s="2"/>
      <c r="N34" s="6">
        <f t="shared" si="15"/>
        <v>-1.9126024306033398E-2</v>
      </c>
      <c r="O34" s="11"/>
      <c r="P34" s="7">
        <v>10062.290000000001</v>
      </c>
      <c r="Q34" s="2"/>
      <c r="R34" s="6">
        <f t="shared" si="16"/>
        <v>0.14822334501959167</v>
      </c>
      <c r="S34" s="2"/>
      <c r="T34" s="7">
        <v>11730.08</v>
      </c>
      <c r="U34" s="2"/>
      <c r="V34" s="6">
        <f t="shared" si="17"/>
        <v>0.11526861432937315</v>
      </c>
      <c r="W34" s="2"/>
      <c r="X34" s="7">
        <f t="shared" si="18"/>
        <v>-1667.7899999999991</v>
      </c>
      <c r="Y34" s="2"/>
      <c r="Z34" s="6">
        <f t="shared" si="19"/>
        <v>-0.14218061598897869</v>
      </c>
    </row>
    <row r="35" spans="1:26" s="24" customFormat="1" hidden="1" outlineLevel="2" x14ac:dyDescent="0.25">
      <c r="A35" s="29"/>
      <c r="B35" s="11" t="str">
        <f>CONCATENATE("          ", "6008", " - ", "STUDENT HOURLY-FICA EXEMPT")</f>
        <v xml:space="preserve">          6008 - STUDENT HOURLY-FICA EXEMPT</v>
      </c>
      <c r="C35" s="11"/>
      <c r="D35" s="7">
        <v>819.19</v>
      </c>
      <c r="E35" s="2"/>
      <c r="F35" s="6">
        <f t="shared" si="12"/>
        <v>2.644681194511703E-2</v>
      </c>
      <c r="G35" s="2"/>
      <c r="H35" s="7"/>
      <c r="I35" s="2"/>
      <c r="J35" s="6">
        <f t="shared" si="13"/>
        <v>0</v>
      </c>
      <c r="K35" s="2"/>
      <c r="L35" s="7">
        <f t="shared" si="14"/>
        <v>819.19</v>
      </c>
      <c r="M35" s="2"/>
      <c r="N35" s="6">
        <f t="shared" si="15"/>
        <v>0</v>
      </c>
      <c r="O35" s="11"/>
      <c r="P35" s="7">
        <v>1300.5</v>
      </c>
      <c r="Q35" s="2"/>
      <c r="R35" s="6">
        <f t="shared" si="16"/>
        <v>1.9157116342102938E-2</v>
      </c>
      <c r="S35" s="2"/>
      <c r="T35" s="7"/>
      <c r="U35" s="2"/>
      <c r="V35" s="6">
        <f t="shared" si="17"/>
        <v>0</v>
      </c>
      <c r="W35" s="2"/>
      <c r="X35" s="7">
        <f t="shared" si="18"/>
        <v>1300.5</v>
      </c>
      <c r="Y35" s="2"/>
      <c r="Z35" s="6">
        <f t="shared" si="19"/>
        <v>0</v>
      </c>
    </row>
    <row r="36" spans="1:26" s="27" customFormat="1" outlineLevel="1" collapsed="1" x14ac:dyDescent="0.25">
      <c r="A36" s="28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38</v>
      </c>
      <c r="E36" s="1"/>
      <c r="F36" s="5">
        <f t="shared" ref="F36:F54" si="20">IF(D$12=0,0,D36/D$12)</f>
        <v>1.2267958030669896E-3</v>
      </c>
      <c r="G36" s="1"/>
      <c r="H36" s="1">
        <f>SUM(OSRRefH22_2x_0)</f>
        <v>152.97</v>
      </c>
      <c r="I36" s="1"/>
      <c r="J36" s="5">
        <f t="shared" ref="J36:J54" si="21">IF(H$12=0,0,H36/H$12)</f>
        <v>4.2884777123633304E-3</v>
      </c>
      <c r="K36" s="1"/>
      <c r="L36" s="1">
        <f t="shared" ref="L36:L54" si="22">+D36-H36</f>
        <v>-114.97</v>
      </c>
      <c r="M36" s="1"/>
      <c r="N36" s="5">
        <f t="shared" ref="N36:N54" si="23">IF(H36=0,0,L36/H36)</f>
        <v>-0.75158527815911613</v>
      </c>
      <c r="O36" s="14"/>
      <c r="P36" s="1">
        <f>SUM(OSRRefP22_2x_0)</f>
        <v>38</v>
      </c>
      <c r="Q36" s="1"/>
      <c r="R36" s="5">
        <f t="shared" ref="R36:R54" si="24">IF(P$12=0,0,P36/P$12)</f>
        <v>5.5976195386383057E-4</v>
      </c>
      <c r="S36" s="1"/>
      <c r="T36" s="1">
        <f>SUM(OSRRefT22_2x_0)</f>
        <v>920.24</v>
      </c>
      <c r="U36" s="1"/>
      <c r="V36" s="5">
        <f t="shared" ref="V36:V54" si="25">IF(T$12=0,0,T36/T$12)</f>
        <v>9.0429723966471108E-3</v>
      </c>
      <c r="W36" s="1"/>
      <c r="X36" s="1">
        <f t="shared" ref="X36:X54" si="26">+P36-T36</f>
        <v>-882.24</v>
      </c>
      <c r="Y36" s="1"/>
      <c r="Z36" s="5">
        <f t="shared" ref="Z36:Z54" si="27">IF(T36=0,0,X36/T36)</f>
        <v>-0.95870642441102316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>
        <v>38</v>
      </c>
      <c r="E37" s="2"/>
      <c r="F37" s="6">
        <f t="shared" si="20"/>
        <v>1.2267958030669896E-3</v>
      </c>
      <c r="G37" s="2"/>
      <c r="H37" s="7">
        <v>152.97</v>
      </c>
      <c r="I37" s="2"/>
      <c r="J37" s="6">
        <f t="shared" si="21"/>
        <v>4.2884777123633304E-3</v>
      </c>
      <c r="K37" s="2"/>
      <c r="L37" s="7">
        <f t="shared" si="22"/>
        <v>-114.97</v>
      </c>
      <c r="M37" s="2"/>
      <c r="N37" s="6">
        <f t="shared" si="23"/>
        <v>-0.75158527815911613</v>
      </c>
      <c r="O37" s="11"/>
      <c r="P37" s="7">
        <v>38</v>
      </c>
      <c r="Q37" s="2"/>
      <c r="R37" s="6">
        <f t="shared" si="24"/>
        <v>5.5976195386383057E-4</v>
      </c>
      <c r="S37" s="2"/>
      <c r="T37" s="7">
        <v>920.24</v>
      </c>
      <c r="U37" s="2"/>
      <c r="V37" s="6">
        <f t="shared" si="25"/>
        <v>9.0429723966471108E-3</v>
      </c>
      <c r="W37" s="2"/>
      <c r="X37" s="7">
        <f t="shared" si="26"/>
        <v>-882.24</v>
      </c>
      <c r="Y37" s="2"/>
      <c r="Z37" s="6">
        <f t="shared" si="27"/>
        <v>-0.95870642441102316</v>
      </c>
    </row>
    <row r="38" spans="1:26" s="27" customFormat="1" outlineLevel="1" collapsed="1" x14ac:dyDescent="0.25">
      <c r="A38" s="28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2174.79</v>
      </c>
      <c r="E38" s="1"/>
      <c r="F38" s="5">
        <f t="shared" si="20"/>
        <v>7.0211138014527844E-2</v>
      </c>
      <c r="G38" s="1"/>
      <c r="H38" s="1">
        <f>SUM(OSRRefH22_3x_0)</f>
        <v>1982.48</v>
      </c>
      <c r="I38" s="1"/>
      <c r="J38" s="5">
        <f t="shared" si="21"/>
        <v>5.5578357162881974E-2</v>
      </c>
      <c r="K38" s="1"/>
      <c r="L38" s="1">
        <f t="shared" si="22"/>
        <v>192.30999999999995</v>
      </c>
      <c r="M38" s="1"/>
      <c r="N38" s="5">
        <f t="shared" si="23"/>
        <v>9.7004761712602375E-2</v>
      </c>
      <c r="O38" s="14"/>
      <c r="P38" s="1">
        <f>SUM(OSRRefP22_3x_0)</f>
        <v>2494.4899999999998</v>
      </c>
      <c r="Q38" s="1"/>
      <c r="R38" s="5">
        <f t="shared" si="24"/>
        <v>3.6745278849836485E-2</v>
      </c>
      <c r="S38" s="1"/>
      <c r="T38" s="1">
        <f>SUM(OSRRefT22_3x_0)</f>
        <v>2359.35</v>
      </c>
      <c r="U38" s="1"/>
      <c r="V38" s="5">
        <f t="shared" si="25"/>
        <v>2.3184752807995045E-2</v>
      </c>
      <c r="W38" s="1"/>
      <c r="X38" s="1">
        <f t="shared" si="26"/>
        <v>135.13999999999987</v>
      </c>
      <c r="Y38" s="1"/>
      <c r="Z38" s="5">
        <f t="shared" si="27"/>
        <v>5.7278487719075115E-2</v>
      </c>
    </row>
    <row r="39" spans="1:26" s="24" customFormat="1" hidden="1" outlineLevel="2" x14ac:dyDescent="0.25">
      <c r="A39" s="29"/>
      <c r="B39" s="11" t="str">
        <f>CONCATENATE("          ", "6381", " - ", "BANK/CREDIT CARD FEES")</f>
        <v xml:space="preserve">          6381 - BANK/CREDIT CARD FEES</v>
      </c>
      <c r="C39" s="11"/>
      <c r="D39" s="7">
        <v>2174.79</v>
      </c>
      <c r="E39" s="2"/>
      <c r="F39" s="6">
        <f t="shared" si="20"/>
        <v>7.0211138014527844E-2</v>
      </c>
      <c r="G39" s="2"/>
      <c r="H39" s="7">
        <v>1982.48</v>
      </c>
      <c r="I39" s="2"/>
      <c r="J39" s="6">
        <f t="shared" si="21"/>
        <v>5.5578357162881974E-2</v>
      </c>
      <c r="K39" s="2"/>
      <c r="L39" s="7">
        <f t="shared" si="22"/>
        <v>192.30999999999995</v>
      </c>
      <c r="M39" s="2"/>
      <c r="N39" s="6">
        <f t="shared" si="23"/>
        <v>9.7004761712602375E-2</v>
      </c>
      <c r="O39" s="11"/>
      <c r="P39" s="7">
        <v>2494.4899999999998</v>
      </c>
      <c r="Q39" s="2"/>
      <c r="R39" s="6">
        <f t="shared" si="24"/>
        <v>3.6745278849836485E-2</v>
      </c>
      <c r="S39" s="2"/>
      <c r="T39" s="7">
        <v>2359.35</v>
      </c>
      <c r="U39" s="2"/>
      <c r="V39" s="6">
        <f t="shared" si="25"/>
        <v>2.3184752807995045E-2</v>
      </c>
      <c r="W39" s="2"/>
      <c r="X39" s="7">
        <f t="shared" si="26"/>
        <v>135.13999999999987</v>
      </c>
      <c r="Y39" s="2"/>
      <c r="Z39" s="6">
        <f t="shared" si="27"/>
        <v>5.7278487719075115E-2</v>
      </c>
    </row>
    <row r="40" spans="1:26" s="27" customFormat="1" outlineLevel="1" collapsed="1" x14ac:dyDescent="0.25">
      <c r="A40" s="28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4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21.12</v>
      </c>
      <c r="U40" s="1"/>
      <c r="V40" s="5">
        <f t="shared" si="25"/>
        <v>2.0754105126617731E-4</v>
      </c>
      <c r="W40" s="1"/>
      <c r="X40" s="1">
        <f t="shared" si="26"/>
        <v>-21.12</v>
      </c>
      <c r="Y40" s="1"/>
      <c r="Z40" s="5">
        <f t="shared" si="27"/>
        <v>-1</v>
      </c>
    </row>
    <row r="41" spans="1:26" s="24" customFormat="1" hidden="1" outlineLevel="2" x14ac:dyDescent="0.25">
      <c r="A41" s="29"/>
      <c r="B41" s="11" t="str">
        <f>CONCATENATE("          ", "6305", " - ", "FREIGHT OUT")</f>
        <v xml:space="preserve">          6305 - FREIGHT OUT</v>
      </c>
      <c r="C41" s="11"/>
      <c r="D41" s="7"/>
      <c r="E41" s="2"/>
      <c r="F41" s="6">
        <f t="shared" si="20"/>
        <v>0</v>
      </c>
      <c r="G41" s="2"/>
      <c r="H41" s="7"/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21.12</v>
      </c>
      <c r="U41" s="2"/>
      <c r="V41" s="6">
        <f t="shared" si="25"/>
        <v>2.0754105126617731E-4</v>
      </c>
      <c r="W41" s="2"/>
      <c r="X41" s="7">
        <f t="shared" si="26"/>
        <v>-21.12</v>
      </c>
      <c r="Y41" s="2"/>
      <c r="Z41" s="6">
        <f t="shared" si="27"/>
        <v>-1</v>
      </c>
    </row>
    <row r="42" spans="1:26" s="27" customFormat="1" outlineLevel="1" collapsed="1" x14ac:dyDescent="0.25">
      <c r="A42" s="28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301</v>
      </c>
      <c r="I42" s="1"/>
      <c r="J42" s="5">
        <f t="shared" si="21"/>
        <v>8.4384636949817772E-3</v>
      </c>
      <c r="K42" s="1"/>
      <c r="L42" s="1">
        <f t="shared" si="22"/>
        <v>-301</v>
      </c>
      <c r="M42" s="1"/>
      <c r="N42" s="5">
        <f t="shared" si="23"/>
        <v>-1</v>
      </c>
      <c r="O42" s="14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301</v>
      </c>
      <c r="U42" s="1"/>
      <c r="V42" s="5">
        <f t="shared" si="25"/>
        <v>2.9578530507158789E-3</v>
      </c>
      <c r="W42" s="1"/>
      <c r="X42" s="1">
        <f t="shared" si="26"/>
        <v>-301</v>
      </c>
      <c r="Y42" s="1"/>
      <c r="Z42" s="5">
        <f t="shared" si="27"/>
        <v>-1</v>
      </c>
    </row>
    <row r="43" spans="1:26" s="24" customFormat="1" hidden="1" outlineLevel="2" x14ac:dyDescent="0.25">
      <c r="A43" s="29"/>
      <c r="B43" s="11" t="str">
        <f>CONCATENATE("          ", "6279", " - ", "GENERAL EXPENSE")</f>
        <v xml:space="preserve">          6279 - GENERAL EXPENSE</v>
      </c>
      <c r="C43" s="11"/>
      <c r="D43" s="7"/>
      <c r="E43" s="2"/>
      <c r="F43" s="6">
        <f t="shared" si="20"/>
        <v>0</v>
      </c>
      <c r="G43" s="2"/>
      <c r="H43" s="7">
        <v>301</v>
      </c>
      <c r="I43" s="2"/>
      <c r="J43" s="6">
        <f t="shared" si="21"/>
        <v>8.4384636949817772E-3</v>
      </c>
      <c r="K43" s="2"/>
      <c r="L43" s="7">
        <f t="shared" si="22"/>
        <v>-301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301</v>
      </c>
      <c r="U43" s="2"/>
      <c r="V43" s="6">
        <f t="shared" si="25"/>
        <v>2.9578530507158789E-3</v>
      </c>
      <c r="W43" s="2"/>
      <c r="X43" s="7">
        <f t="shared" si="26"/>
        <v>-301</v>
      </c>
      <c r="Y43" s="2"/>
      <c r="Z43" s="6">
        <f t="shared" si="27"/>
        <v>-1</v>
      </c>
    </row>
    <row r="44" spans="1:26" s="27" customFormat="1" outlineLevel="1" collapsed="1" x14ac:dyDescent="0.25">
      <c r="A44" s="28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SUM(OSRRefD22_6x_0)</f>
        <v>29.01</v>
      </c>
      <c r="E44" s="1"/>
      <c r="F44" s="5">
        <f t="shared" si="20"/>
        <v>9.3656174334140441E-4</v>
      </c>
      <c r="G44" s="1"/>
      <c r="H44" s="1">
        <f>SUM(OSRRefH22_6x_0)</f>
        <v>27.33</v>
      </c>
      <c r="I44" s="1"/>
      <c r="J44" s="5">
        <f t="shared" si="21"/>
        <v>7.6619007569386029E-4</v>
      </c>
      <c r="K44" s="1"/>
      <c r="L44" s="1">
        <f t="shared" si="22"/>
        <v>1.6800000000000033</v>
      </c>
      <c r="M44" s="1"/>
      <c r="N44" s="5">
        <f t="shared" si="23"/>
        <v>6.1470911086718018E-2</v>
      </c>
      <c r="O44" s="14"/>
      <c r="P44" s="1">
        <f>SUM(OSRRefP22_6x_0)</f>
        <v>58.02</v>
      </c>
      <c r="Q44" s="1"/>
      <c r="R44" s="5">
        <f t="shared" si="24"/>
        <v>8.5466812008366973E-4</v>
      </c>
      <c r="S44" s="1"/>
      <c r="T44" s="1">
        <f>SUM(OSRRefT22_6x_0)</f>
        <v>54.66</v>
      </c>
      <c r="U44" s="1"/>
      <c r="V44" s="5">
        <f t="shared" si="25"/>
        <v>5.3713039120308948E-4</v>
      </c>
      <c r="W44" s="1"/>
      <c r="X44" s="1">
        <f t="shared" si="26"/>
        <v>3.3600000000000065</v>
      </c>
      <c r="Y44" s="1"/>
      <c r="Z44" s="5">
        <f t="shared" si="27"/>
        <v>6.1470911086718018E-2</v>
      </c>
    </row>
    <row r="45" spans="1:26" s="24" customFormat="1" hidden="1" outlineLevel="2" x14ac:dyDescent="0.25">
      <c r="A45" s="29"/>
      <c r="B45" s="11" t="str">
        <f>CONCATENATE("          ", "6314", " - ", "LIABILITY INSURANCE")</f>
        <v xml:space="preserve">          6314 - LIABILITY INSURANCE</v>
      </c>
      <c r="C45" s="11"/>
      <c r="D45" s="7">
        <v>29.01</v>
      </c>
      <c r="E45" s="2"/>
      <c r="F45" s="6">
        <f t="shared" si="20"/>
        <v>9.3656174334140441E-4</v>
      </c>
      <c r="G45" s="2"/>
      <c r="H45" s="7">
        <v>27.33</v>
      </c>
      <c r="I45" s="2"/>
      <c r="J45" s="6">
        <f t="shared" si="21"/>
        <v>7.6619007569386029E-4</v>
      </c>
      <c r="K45" s="2"/>
      <c r="L45" s="7">
        <f t="shared" si="22"/>
        <v>1.6800000000000033</v>
      </c>
      <c r="M45" s="2"/>
      <c r="N45" s="6">
        <f t="shared" si="23"/>
        <v>6.1470911086718018E-2</v>
      </c>
      <c r="O45" s="11"/>
      <c r="P45" s="7">
        <v>58.02</v>
      </c>
      <c r="Q45" s="2"/>
      <c r="R45" s="6">
        <f t="shared" si="24"/>
        <v>8.5466812008366973E-4</v>
      </c>
      <c r="S45" s="2"/>
      <c r="T45" s="7">
        <v>54.66</v>
      </c>
      <c r="U45" s="2"/>
      <c r="V45" s="6">
        <f t="shared" si="25"/>
        <v>5.3713039120308948E-4</v>
      </c>
      <c r="W45" s="2"/>
      <c r="X45" s="7">
        <f t="shared" si="26"/>
        <v>3.3600000000000065</v>
      </c>
      <c r="Y45" s="2"/>
      <c r="Z45" s="6">
        <f t="shared" si="27"/>
        <v>6.1470911086718018E-2</v>
      </c>
    </row>
    <row r="46" spans="1:26" s="27" customFormat="1" outlineLevel="1" collapsed="1" x14ac:dyDescent="0.25">
      <c r="A46" s="28"/>
      <c r="B46" s="14" t="str">
        <f>CONCATENATE("     ","Rent                                              ")</f>
        <v xml:space="preserve">     Rent                                              </v>
      </c>
      <c r="C46" s="14"/>
      <c r="D46" s="1">
        <f>SUM(OSRRefD22_7x_0)</f>
        <v>800</v>
      </c>
      <c r="E46" s="1"/>
      <c r="F46" s="5">
        <f t="shared" si="20"/>
        <v>2.5827280064568199E-2</v>
      </c>
      <c r="G46" s="1"/>
      <c r="H46" s="1">
        <f>SUM(OSRRefH22_7x_0)</f>
        <v>0</v>
      </c>
      <c r="I46" s="1"/>
      <c r="J46" s="5">
        <f t="shared" si="21"/>
        <v>0</v>
      </c>
      <c r="K46" s="1"/>
      <c r="L46" s="1">
        <f t="shared" si="22"/>
        <v>800</v>
      </c>
      <c r="M46" s="1"/>
      <c r="N46" s="5">
        <f t="shared" si="23"/>
        <v>0</v>
      </c>
      <c r="O46" s="14"/>
      <c r="P46" s="1">
        <f>SUM(OSRRefP22_7x_0)</f>
        <v>1600</v>
      </c>
      <c r="Q46" s="1"/>
      <c r="R46" s="5">
        <f t="shared" si="24"/>
        <v>2.3568924373213916E-2</v>
      </c>
      <c r="S46" s="1"/>
      <c r="T46" s="1">
        <f>SUM(OSRRefT22_7x_0)</f>
        <v>800</v>
      </c>
      <c r="U46" s="1"/>
      <c r="V46" s="5">
        <f t="shared" si="25"/>
        <v>7.8614034570521699E-3</v>
      </c>
      <c r="W46" s="1"/>
      <c r="X46" s="1">
        <f t="shared" si="26"/>
        <v>800</v>
      </c>
      <c r="Y46" s="1"/>
      <c r="Z46" s="5">
        <f t="shared" si="27"/>
        <v>1</v>
      </c>
    </row>
    <row r="47" spans="1:26" s="24" customFormat="1" hidden="1" outlineLevel="2" x14ac:dyDescent="0.25">
      <c r="A47" s="29"/>
      <c r="B47" s="11" t="str">
        <f>CONCATENATE("          ", "6273", " - ", "RENT")</f>
        <v xml:space="preserve">          6273 - RENT</v>
      </c>
      <c r="C47" s="11"/>
      <c r="D47" s="7">
        <v>800</v>
      </c>
      <c r="E47" s="2"/>
      <c r="F47" s="6">
        <f t="shared" si="20"/>
        <v>2.5827280064568199E-2</v>
      </c>
      <c r="G47" s="2"/>
      <c r="H47" s="7"/>
      <c r="I47" s="2"/>
      <c r="J47" s="6">
        <f t="shared" si="21"/>
        <v>0</v>
      </c>
      <c r="K47" s="2"/>
      <c r="L47" s="7">
        <f t="shared" si="22"/>
        <v>800</v>
      </c>
      <c r="M47" s="2"/>
      <c r="N47" s="6">
        <f t="shared" si="23"/>
        <v>0</v>
      </c>
      <c r="O47" s="11"/>
      <c r="P47" s="7">
        <v>1600</v>
      </c>
      <c r="Q47" s="2"/>
      <c r="R47" s="6">
        <f t="shared" si="24"/>
        <v>2.3568924373213916E-2</v>
      </c>
      <c r="S47" s="2"/>
      <c r="T47" s="7">
        <v>800</v>
      </c>
      <c r="U47" s="2"/>
      <c r="V47" s="6">
        <f t="shared" si="25"/>
        <v>7.8614034570521699E-3</v>
      </c>
      <c r="W47" s="2"/>
      <c r="X47" s="7">
        <f t="shared" si="26"/>
        <v>800</v>
      </c>
      <c r="Y47" s="2"/>
      <c r="Z47" s="6">
        <f t="shared" si="27"/>
        <v>1</v>
      </c>
    </row>
    <row r="48" spans="1:26" s="27" customFormat="1" outlineLevel="1" collapsed="1" x14ac:dyDescent="0.25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SUM(OSRRefD22_8x_0)</f>
        <v>0</v>
      </c>
      <c r="E48" s="1"/>
      <c r="F48" s="5">
        <f t="shared" si="20"/>
        <v>0</v>
      </c>
      <c r="G48" s="1"/>
      <c r="H48" s="1">
        <f>SUM(OSRRefH22_8x_0)</f>
        <v>0</v>
      </c>
      <c r="I48" s="1"/>
      <c r="J48" s="5">
        <f t="shared" si="21"/>
        <v>0</v>
      </c>
      <c r="K48" s="1"/>
      <c r="L48" s="1">
        <f t="shared" si="22"/>
        <v>0</v>
      </c>
      <c r="M48" s="1"/>
      <c r="N48" s="5">
        <f t="shared" si="23"/>
        <v>0</v>
      </c>
      <c r="O48" s="14"/>
      <c r="P48" s="1">
        <f>SUM(OSRRefP22_8x_0)</f>
        <v>0</v>
      </c>
      <c r="Q48" s="1"/>
      <c r="R48" s="5">
        <f t="shared" si="24"/>
        <v>0</v>
      </c>
      <c r="S48" s="1"/>
      <c r="T48" s="1">
        <f>SUM(OSRRefT22_8x_0)</f>
        <v>600</v>
      </c>
      <c r="U48" s="1"/>
      <c r="V48" s="5">
        <f t="shared" si="25"/>
        <v>5.8960525927891274E-3</v>
      </c>
      <c r="W48" s="1"/>
      <c r="X48" s="1">
        <f t="shared" si="26"/>
        <v>-600</v>
      </c>
      <c r="Y48" s="1"/>
      <c r="Z48" s="5">
        <f t="shared" si="27"/>
        <v>-1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/>
      <c r="Q49" s="2"/>
      <c r="R49" s="6">
        <f t="shared" si="24"/>
        <v>0</v>
      </c>
      <c r="S49" s="2"/>
      <c r="T49" s="7">
        <v>600</v>
      </c>
      <c r="U49" s="2"/>
      <c r="V49" s="6">
        <f t="shared" si="25"/>
        <v>5.8960525927891274E-3</v>
      </c>
      <c r="W49" s="2"/>
      <c r="X49" s="7">
        <f t="shared" si="26"/>
        <v>-600</v>
      </c>
      <c r="Y49" s="2"/>
      <c r="Z49" s="6">
        <f t="shared" si="27"/>
        <v>-1</v>
      </c>
    </row>
    <row r="50" spans="1:26" s="27" customFormat="1" outlineLevel="1" collapsed="1" x14ac:dyDescent="0.25">
      <c r="A50" s="28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SUM(OSRRefD22_9x_0)</f>
        <v>419.85999999999996</v>
      </c>
      <c r="E50" s="1"/>
      <c r="F50" s="5">
        <f t="shared" si="20"/>
        <v>1.3554802259887004E-2</v>
      </c>
      <c r="G50" s="1"/>
      <c r="H50" s="1">
        <f>SUM(OSRRefH22_9x_0)</f>
        <v>557.1</v>
      </c>
      <c r="I50" s="1"/>
      <c r="J50" s="5">
        <f t="shared" si="21"/>
        <v>1.5618166526492852E-2</v>
      </c>
      <c r="K50" s="1"/>
      <c r="L50" s="1">
        <f t="shared" si="22"/>
        <v>-137.24000000000007</v>
      </c>
      <c r="M50" s="1"/>
      <c r="N50" s="5">
        <f t="shared" si="23"/>
        <v>-0.24634715490935211</v>
      </c>
      <c r="O50" s="14"/>
      <c r="P50" s="1">
        <f>SUM(OSRRefP22_9x_0)</f>
        <v>14836.07</v>
      </c>
      <c r="Q50" s="1"/>
      <c r="R50" s="5">
        <f t="shared" si="24"/>
        <v>0.21854388239106737</v>
      </c>
      <c r="S50" s="1"/>
      <c r="T50" s="1">
        <f>SUM(OSRRefT22_9x_0)</f>
        <v>41956.11</v>
      </c>
      <c r="U50" s="1"/>
      <c r="V50" s="5">
        <f t="shared" si="25"/>
        <v>0.41229238524807643</v>
      </c>
      <c r="W50" s="1"/>
      <c r="X50" s="1">
        <f t="shared" si="26"/>
        <v>-27120.04</v>
      </c>
      <c r="Y50" s="1"/>
      <c r="Z50" s="5">
        <f t="shared" si="27"/>
        <v>-0.64639071639386969</v>
      </c>
    </row>
    <row r="51" spans="1:26" s="24" customFormat="1" hidden="1" outlineLevel="2" x14ac:dyDescent="0.25">
      <c r="A51" s="29"/>
      <c r="B51" s="11" t="str">
        <f>CONCATENATE("          ", "6234", " - ", "EXPENDABLE SUPPLIES &amp; EQUIPMEN")</f>
        <v xml:space="preserve">          6234 - EXPENDABLE SUPPLIES &amp; EQUIPMEN</v>
      </c>
      <c r="C51" s="11"/>
      <c r="D51" s="7">
        <v>413.27</v>
      </c>
      <c r="E51" s="2"/>
      <c r="F51" s="6">
        <f t="shared" si="20"/>
        <v>1.3342050040355125E-2</v>
      </c>
      <c r="G51" s="2"/>
      <c r="H51" s="7"/>
      <c r="I51" s="2"/>
      <c r="J51" s="6">
        <f t="shared" si="21"/>
        <v>0</v>
      </c>
      <c r="K51" s="2"/>
      <c r="L51" s="7">
        <f t="shared" si="22"/>
        <v>413.27</v>
      </c>
      <c r="M51" s="2"/>
      <c r="N51" s="6">
        <f t="shared" si="23"/>
        <v>0</v>
      </c>
      <c r="O51" s="11"/>
      <c r="P51" s="7">
        <v>413.27</v>
      </c>
      <c r="Q51" s="2"/>
      <c r="R51" s="6">
        <f t="shared" si="24"/>
        <v>6.0877058598238221E-3</v>
      </c>
      <c r="S51" s="2"/>
      <c r="T51" s="7"/>
      <c r="U51" s="2"/>
      <c r="V51" s="6">
        <f t="shared" si="25"/>
        <v>0</v>
      </c>
      <c r="W51" s="2"/>
      <c r="X51" s="7">
        <f t="shared" si="26"/>
        <v>413.27</v>
      </c>
      <c r="Y51" s="2"/>
      <c r="Z51" s="6">
        <f t="shared" si="27"/>
        <v>0</v>
      </c>
    </row>
    <row r="52" spans="1:26" s="24" customFormat="1" hidden="1" outlineLevel="2" x14ac:dyDescent="0.25">
      <c r="A52" s="29"/>
      <c r="B52" s="11" t="str">
        <f>CONCATENATE("          ", "6241", " - ", "OFFICE EXPENSE")</f>
        <v xml:space="preserve">          6241 - OFFICE EXPENSE</v>
      </c>
      <c r="C52" s="11"/>
      <c r="D52" s="7">
        <v>6.59</v>
      </c>
      <c r="E52" s="2"/>
      <c r="F52" s="6">
        <f t="shared" si="20"/>
        <v>2.1275221953188055E-4</v>
      </c>
      <c r="G52" s="2"/>
      <c r="H52" s="7">
        <v>435.82</v>
      </c>
      <c r="I52" s="2"/>
      <c r="J52" s="6">
        <f t="shared" si="21"/>
        <v>1.2218110456966639E-2</v>
      </c>
      <c r="K52" s="2"/>
      <c r="L52" s="7">
        <f t="shared" si="22"/>
        <v>-429.23</v>
      </c>
      <c r="M52" s="2"/>
      <c r="N52" s="6">
        <f t="shared" si="23"/>
        <v>-0.98487907851865453</v>
      </c>
      <c r="O52" s="11"/>
      <c r="P52" s="7">
        <v>14422.8</v>
      </c>
      <c r="Q52" s="2"/>
      <c r="R52" s="6">
        <f t="shared" si="24"/>
        <v>0.21245617653124355</v>
      </c>
      <c r="S52" s="2"/>
      <c r="T52" s="7">
        <v>33770.83</v>
      </c>
      <c r="U52" s="2"/>
      <c r="V52" s="6">
        <f t="shared" si="25"/>
        <v>0.33185764963690145</v>
      </c>
      <c r="W52" s="2"/>
      <c r="X52" s="7">
        <f t="shared" si="26"/>
        <v>-19348.030000000002</v>
      </c>
      <c r="Y52" s="2"/>
      <c r="Z52" s="6">
        <f t="shared" si="27"/>
        <v>-0.57292136438458874</v>
      </c>
    </row>
    <row r="53" spans="1:26" s="24" customFormat="1" hidden="1" outlineLevel="2" x14ac:dyDescent="0.25">
      <c r="A53" s="29"/>
      <c r="B53" s="11" t="str">
        <f>CONCATENATE("          ", "6245", " - ", "PRINTING")</f>
        <v xml:space="preserve">          6245 - PRINTING</v>
      </c>
      <c r="C53" s="11"/>
      <c r="D53" s="7"/>
      <c r="E53" s="2"/>
      <c r="F53" s="6">
        <f t="shared" si="20"/>
        <v>0</v>
      </c>
      <c r="G53" s="2"/>
      <c r="H53" s="7">
        <v>121.28</v>
      </c>
      <c r="I53" s="2"/>
      <c r="J53" s="6">
        <f t="shared" si="21"/>
        <v>3.4000560695262127E-3</v>
      </c>
      <c r="K53" s="2"/>
      <c r="L53" s="7">
        <f t="shared" si="22"/>
        <v>-121.28</v>
      </c>
      <c r="M53" s="2"/>
      <c r="N53" s="6">
        <f t="shared" si="23"/>
        <v>-1</v>
      </c>
      <c r="O53" s="11"/>
      <c r="P53" s="7"/>
      <c r="Q53" s="2"/>
      <c r="R53" s="6">
        <f t="shared" si="24"/>
        <v>0</v>
      </c>
      <c r="S53" s="2"/>
      <c r="T53" s="7">
        <v>121.28</v>
      </c>
      <c r="U53" s="2"/>
      <c r="V53" s="6">
        <f t="shared" si="25"/>
        <v>1.1917887640891091E-3</v>
      </c>
      <c r="W53" s="2"/>
      <c r="X53" s="7">
        <f t="shared" si="26"/>
        <v>-121.28</v>
      </c>
      <c r="Y53" s="2"/>
      <c r="Z53" s="6">
        <f t="shared" si="27"/>
        <v>-1</v>
      </c>
    </row>
    <row r="54" spans="1:26" s="24" customFormat="1" hidden="1" outlineLevel="2" x14ac:dyDescent="0.25">
      <c r="A54" s="29"/>
      <c r="B54" s="11" t="str">
        <f>CONCATENATE("          ", "6247", " - ", "STORE SUPPLIES")</f>
        <v xml:space="preserve">          6247 - STORE SUPPLIES</v>
      </c>
      <c r="C54" s="11"/>
      <c r="D54" s="7"/>
      <c r="E54" s="2"/>
      <c r="F54" s="6">
        <f t="shared" si="20"/>
        <v>0</v>
      </c>
      <c r="G54" s="2"/>
      <c r="H54" s="7"/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8064</v>
      </c>
      <c r="U54" s="2"/>
      <c r="V54" s="6">
        <f t="shared" si="25"/>
        <v>7.9242946847085882E-2</v>
      </c>
      <c r="W54" s="2"/>
      <c r="X54" s="7">
        <f t="shared" si="26"/>
        <v>-8064</v>
      </c>
      <c r="Y54" s="2"/>
      <c r="Z54" s="6">
        <f t="shared" si="27"/>
        <v>-1</v>
      </c>
    </row>
    <row r="55" spans="1:26" s="27" customFormat="1" outlineLevel="1" collapsed="1" x14ac:dyDescent="0.25">
      <c r="A55" s="28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SUM(OSRRefD22_10x_0)</f>
        <v>199</v>
      </c>
      <c r="E55" s="1"/>
      <c r="F55" s="5">
        <f t="shared" ref="F55:F56" si="28">IF(D$12=0,0,D55/D$12)</f>
        <v>6.4245359160613399E-3</v>
      </c>
      <c r="G55" s="1"/>
      <c r="H55" s="1">
        <f>SUM(OSRRefH22_10x_0)</f>
        <v>455.82</v>
      </c>
      <c r="I55" s="1"/>
      <c r="J55" s="5">
        <f t="shared" ref="J55:J56" si="29">IF(H$12=0,0,H55/H$12)</f>
        <v>1.2778805719091674E-2</v>
      </c>
      <c r="K55" s="1"/>
      <c r="L55" s="1">
        <f t="shared" ref="L55:L56" si="30">+D55-H55</f>
        <v>-256.82</v>
      </c>
      <c r="M55" s="1"/>
      <c r="N55" s="5">
        <f t="shared" ref="N55:N56" si="31">IF(H55=0,0,L55/H55)</f>
        <v>-0.56342415865911977</v>
      </c>
      <c r="O55" s="14"/>
      <c r="P55" s="1">
        <f>SUM(OSRRefP22_10x_0)</f>
        <v>175.65</v>
      </c>
      <c r="Q55" s="1"/>
      <c r="R55" s="5">
        <f t="shared" ref="R55:R56" si="32">IF(P$12=0,0,P55/P$12)</f>
        <v>2.5874259788468907E-3</v>
      </c>
      <c r="S55" s="1"/>
      <c r="T55" s="1">
        <f>SUM(OSRRefT22_10x_0)</f>
        <v>580.59</v>
      </c>
      <c r="U55" s="1"/>
      <c r="V55" s="5">
        <f t="shared" ref="V55:V56" si="33">IF(T$12=0,0,T55/T$12)</f>
        <v>5.7053152914123993E-3</v>
      </c>
      <c r="W55" s="1"/>
      <c r="X55" s="1">
        <f t="shared" ref="X55:X56" si="34">+P55-T55</f>
        <v>-404.94000000000005</v>
      </c>
      <c r="Y55" s="1"/>
      <c r="Z55" s="5">
        <f t="shared" ref="Z55:Z56" si="35">IF(T55=0,0,X55/T55)</f>
        <v>-0.69746292564460299</v>
      </c>
    </row>
    <row r="56" spans="1:26" s="24" customFormat="1" hidden="1" outlineLevel="2" x14ac:dyDescent="0.25">
      <c r="A56" s="29"/>
      <c r="B56" s="11" t="str">
        <f>CONCATENATE("          ", "6309", " - ", "TELEPHONE")</f>
        <v xml:space="preserve">          6309 - TELEPHONE</v>
      </c>
      <c r="C56" s="11"/>
      <c r="D56" s="7">
        <v>199</v>
      </c>
      <c r="E56" s="2"/>
      <c r="F56" s="6">
        <f t="shared" si="28"/>
        <v>6.4245359160613399E-3</v>
      </c>
      <c r="G56" s="2"/>
      <c r="H56" s="7">
        <v>455.82</v>
      </c>
      <c r="I56" s="2"/>
      <c r="J56" s="6">
        <f t="shared" si="29"/>
        <v>1.2778805719091674E-2</v>
      </c>
      <c r="K56" s="2"/>
      <c r="L56" s="7">
        <f t="shared" si="30"/>
        <v>-256.82</v>
      </c>
      <c r="M56" s="2"/>
      <c r="N56" s="6">
        <f t="shared" si="31"/>
        <v>-0.56342415865911977</v>
      </c>
      <c r="O56" s="11"/>
      <c r="P56" s="7">
        <v>175.65</v>
      </c>
      <c r="Q56" s="2"/>
      <c r="R56" s="6">
        <f t="shared" si="32"/>
        <v>2.5874259788468907E-3</v>
      </c>
      <c r="S56" s="2"/>
      <c r="T56" s="7">
        <v>580.59</v>
      </c>
      <c r="U56" s="2"/>
      <c r="V56" s="6">
        <f t="shared" si="33"/>
        <v>5.7053152914123993E-3</v>
      </c>
      <c r="W56" s="2"/>
      <c r="X56" s="7">
        <f t="shared" si="34"/>
        <v>-404.94000000000005</v>
      </c>
      <c r="Y56" s="2"/>
      <c r="Z56" s="6">
        <f t="shared" si="35"/>
        <v>-0.69746292564460299</v>
      </c>
    </row>
    <row r="57" spans="1:26" s="62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collapsed="1" x14ac:dyDescent="0.25">
      <c r="A58" s="10"/>
      <c r="B58" s="25" t="s">
        <v>0</v>
      </c>
      <c r="C58" s="10"/>
      <c r="D58" s="4">
        <f>SUM(OSRRefD25x_0)</f>
        <v>3537.91</v>
      </c>
      <c r="E58" s="4"/>
      <c r="F58" s="12">
        <f t="shared" ref="F58:F59" si="36">IF(D$12=0,0,D58/D$12)</f>
        <v>0.1142182405165456</v>
      </c>
      <c r="G58" s="4"/>
      <c r="H58" s="4">
        <f>SUM(OSRRefH25x_0)</f>
        <v>4218.3</v>
      </c>
      <c r="I58" s="4"/>
      <c r="J58" s="12">
        <f t="shared" ref="J58:J59" si="37">IF(H$12=0,0,H58/H$12)</f>
        <v>0.11825904121110177</v>
      </c>
      <c r="K58" s="4"/>
      <c r="L58" s="4">
        <f t="shared" ref="L58:L59" si="38">+D58-H58</f>
        <v>-680.39000000000033</v>
      </c>
      <c r="M58" s="4"/>
      <c r="N58" s="12">
        <f t="shared" ref="N58:N59" si="39">IF(H58=0,0,L58/H58)</f>
        <v>-0.16129483441196699</v>
      </c>
      <c r="O58" s="10"/>
      <c r="P58" s="4">
        <f>SUM(OSRRefP25x_0)</f>
        <v>4389</v>
      </c>
      <c r="Q58" s="4"/>
      <c r="R58" s="12">
        <f t="shared" ref="R58:R59" si="40">IF(P$12=0,0,P58/P$12)</f>
        <v>6.4652505671272426E-2</v>
      </c>
      <c r="S58" s="4"/>
      <c r="T58" s="4">
        <f>SUM(OSRRefT25x_0)</f>
        <v>5517.42</v>
      </c>
      <c r="U58" s="4"/>
      <c r="V58" s="12">
        <f t="shared" ref="V58:V59" si="41">IF(T$12=0,0,T58/T$12)</f>
        <v>5.4218330827510985E-2</v>
      </c>
      <c r="W58" s="4"/>
      <c r="X58" s="4">
        <f t="shared" ref="X58:X59" si="42">+P58-T58</f>
        <v>-1128.42</v>
      </c>
      <c r="Y58" s="4"/>
      <c r="Z58" s="12">
        <f t="shared" ref="Z58:Z59" si="43">IF(T58=0,0,X58/T58)</f>
        <v>-0.20451950368106833</v>
      </c>
    </row>
    <row r="59" spans="1:26" s="24" customFormat="1" hidden="1" outlineLevel="1" x14ac:dyDescent="0.25">
      <c r="A59" s="50"/>
      <c r="B59" s="11" t="str">
        <f>CONCATENATE("          ", "9150", " - ", "MISC. INCOME")</f>
        <v xml:space="preserve">          9150 - MISC. INCOME</v>
      </c>
      <c r="C59" s="11"/>
      <c r="D59" s="2">
        <f>--3537.91</f>
        <v>3537.91</v>
      </c>
      <c r="E59" s="2"/>
      <c r="F59" s="21">
        <f t="shared" si="36"/>
        <v>0.1142182405165456</v>
      </c>
      <c r="G59" s="2"/>
      <c r="H59" s="2">
        <f>--4218.3</f>
        <v>4218.3</v>
      </c>
      <c r="I59" s="2"/>
      <c r="J59" s="21">
        <f t="shared" si="37"/>
        <v>0.11825904121110177</v>
      </c>
      <c r="K59" s="2"/>
      <c r="L59" s="2">
        <f t="shared" si="38"/>
        <v>-680.39000000000033</v>
      </c>
      <c r="M59" s="2"/>
      <c r="N59" s="21">
        <f t="shared" si="39"/>
        <v>-0.16129483441196699</v>
      </c>
      <c r="O59" s="11"/>
      <c r="P59" s="2">
        <f>--4389</f>
        <v>4389</v>
      </c>
      <c r="Q59" s="2"/>
      <c r="R59" s="21">
        <f t="shared" si="40"/>
        <v>6.4652505671272426E-2</v>
      </c>
      <c r="S59" s="2"/>
      <c r="T59" s="2">
        <f>--5517.42</f>
        <v>5517.42</v>
      </c>
      <c r="U59" s="2"/>
      <c r="V59" s="21">
        <f t="shared" si="41"/>
        <v>5.4218330827510985E-2</v>
      </c>
      <c r="W59" s="2"/>
      <c r="X59" s="2">
        <f t="shared" si="42"/>
        <v>-1128.42</v>
      </c>
      <c r="Y59" s="2"/>
      <c r="Z59" s="21">
        <f t="shared" si="43"/>
        <v>-0.20451950368106833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6" t="s">
        <v>3</v>
      </c>
      <c r="C61" s="26"/>
      <c r="D61" s="20">
        <f>+D17-D19+D58</f>
        <v>7674.3200000000033</v>
      </c>
      <c r="E61" s="13"/>
      <c r="F61" s="19">
        <f>IF(D$12=0,0,D61/D$12)</f>
        <v>0.24775851493139639</v>
      </c>
      <c r="G61" s="13"/>
      <c r="H61" s="20">
        <f>+H17-H19+H58</f>
        <v>13568.09</v>
      </c>
      <c r="I61" s="13"/>
      <c r="J61" s="19">
        <f>IF(H$12=0,0,H61/H$12)</f>
        <v>0.38037818895430336</v>
      </c>
      <c r="K61" s="15"/>
      <c r="L61" s="20">
        <f>+D61-H61</f>
        <v>-5893.7699999999968</v>
      </c>
      <c r="M61" s="15"/>
      <c r="N61" s="19">
        <f>IF(H61=0,0,L61/H61)</f>
        <v>-0.43438464809711586</v>
      </c>
      <c r="O61" s="25"/>
      <c r="P61" s="20">
        <f>+P17-P19+P58</f>
        <v>7674.8000000000102</v>
      </c>
      <c r="Q61" s="13"/>
      <c r="R61" s="19">
        <f>IF(P$12=0,0,P61/P$12)</f>
        <v>0.11305423798721401</v>
      </c>
      <c r="S61" s="13"/>
      <c r="T61" s="20">
        <f>+T17-T19+T58</f>
        <v>13568.199999999999</v>
      </c>
      <c r="U61" s="13"/>
      <c r="V61" s="19">
        <f>IF(T$12=0,0,T61/T$12)</f>
        <v>0.13333136798246906</v>
      </c>
      <c r="W61" s="15"/>
      <c r="X61" s="20">
        <f>+P61-T61</f>
        <v>-5893.3999999999887</v>
      </c>
      <c r="Y61" s="15"/>
      <c r="Z61" s="19">
        <f>IF(T61=0,0,X61/T61)</f>
        <v>-0.43435385681225136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>
        <v>789.27</v>
      </c>
      <c r="E63" s="4"/>
      <c r="F63" s="12">
        <f>IF(D$12=0,0,D63/D$12)</f>
        <v>2.548087167070218E-2</v>
      </c>
      <c r="G63" s="4"/>
      <c r="H63" s="4">
        <v>-3179.42</v>
      </c>
      <c r="I63" s="4"/>
      <c r="J63" s="12">
        <f>IF(H$12=0,0,H63/H$12)</f>
        <v>-8.9134286515278952E-2</v>
      </c>
      <c r="K63" s="4"/>
      <c r="L63" s="4">
        <f>+D63-H63</f>
        <v>3968.69</v>
      </c>
      <c r="M63" s="4"/>
      <c r="N63" s="12">
        <f>IF(H63=0,0,L63/H63)</f>
        <v>-1.2482433903038919</v>
      </c>
      <c r="O63" s="10"/>
      <c r="P63" s="4">
        <v>8464.15</v>
      </c>
      <c r="Q63" s="4"/>
      <c r="R63" s="12">
        <f>IF(P$12=0,0,P63/P$12)</f>
        <v>0.12468181952096161</v>
      </c>
      <c r="S63" s="4"/>
      <c r="T63" s="4">
        <v>10389.52</v>
      </c>
      <c r="U63" s="4"/>
      <c r="V63" s="12">
        <f>IF(T$12=0,0,T63/T$12)</f>
        <v>0.10209526055639083</v>
      </c>
      <c r="W63" s="4"/>
      <c r="X63" s="4">
        <f>+P63-T63</f>
        <v>-1925.3700000000008</v>
      </c>
      <c r="Y63" s="4"/>
      <c r="Z63" s="12">
        <f>IF(T63=0,0,X63/T63)</f>
        <v>-0.18531847477073057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6" t="s">
        <v>4</v>
      </c>
      <c r="C65" s="26"/>
      <c r="D65" s="31">
        <f>+D61-D63</f>
        <v>6885.0500000000029</v>
      </c>
      <c r="E65" s="13"/>
      <c r="F65" s="36">
        <f>IF(D$12=0,0,D65/D$12)</f>
        <v>0.22227764326069421</v>
      </c>
      <c r="G65" s="13"/>
      <c r="H65" s="31">
        <f>+H61-H63</f>
        <v>16747.510000000002</v>
      </c>
      <c r="I65" s="13"/>
      <c r="J65" s="36">
        <f>IF(H$12=0,0,H65/H$12)</f>
        <v>0.46951247546958236</v>
      </c>
      <c r="K65" s="15"/>
      <c r="L65" s="31">
        <f>D65-H65</f>
        <v>-9862.4599999999991</v>
      </c>
      <c r="M65" s="15"/>
      <c r="N65" s="36">
        <f>IF(H65=0,0,L65/H65)</f>
        <v>-0.58889112471047922</v>
      </c>
      <c r="O65" s="25"/>
      <c r="P65" s="31">
        <f>+P61-P63</f>
        <v>-789.34999999998945</v>
      </c>
      <c r="Q65" s="13"/>
      <c r="R65" s="36">
        <f>IF(P$12=0,0,P65/P$12)</f>
        <v>-1.1627581533747598E-2</v>
      </c>
      <c r="S65" s="13"/>
      <c r="T65" s="31">
        <f>+T61-T63</f>
        <v>3178.6799999999985</v>
      </c>
      <c r="U65" s="13"/>
      <c r="V65" s="36">
        <f>IF(T$12=0,0,T65/T$12)</f>
        <v>3.1236107426078227E-2</v>
      </c>
      <c r="W65" s="15"/>
      <c r="X65" s="31">
        <f>P65-T65</f>
        <v>-3968.0299999999879</v>
      </c>
      <c r="Y65" s="15"/>
      <c r="Z65" s="36">
        <f>IF(T65=0,0,X65/T65)</f>
        <v>-1.248326349302223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6" t="s">
        <v>5</v>
      </c>
      <c r="C68" s="26"/>
      <c r="D68" s="32">
        <f>SUM(D65:D67)</f>
        <v>6885.0500000000029</v>
      </c>
      <c r="E68" s="13"/>
      <c r="F68" s="30">
        <f>IF(D$12=0,0,D68/D$12)</f>
        <v>0.22227764326069421</v>
      </c>
      <c r="G68" s="13"/>
      <c r="H68" s="32">
        <f>SUM(H65:H67)</f>
        <v>16747.510000000002</v>
      </c>
      <c r="I68" s="13"/>
      <c r="J68" s="30">
        <f>IF(H$12=0,0,H68/H$12)</f>
        <v>0.46951247546958236</v>
      </c>
      <c r="K68" s="15"/>
      <c r="L68" s="32">
        <f>+D68-H68</f>
        <v>-9862.4599999999991</v>
      </c>
      <c r="M68" s="15"/>
      <c r="N68" s="30">
        <f>IF(H68=0,0,L68/H68)</f>
        <v>-0.58889112471047922</v>
      </c>
      <c r="O68" s="25"/>
      <c r="P68" s="32">
        <f>SUM(P65:P67)</f>
        <v>-789.34999999998945</v>
      </c>
      <c r="Q68" s="13"/>
      <c r="R68" s="30">
        <f>IF(P$12=0,0,P68/P$12)</f>
        <v>-1.1627581533747598E-2</v>
      </c>
      <c r="S68" s="13"/>
      <c r="T68" s="32">
        <f>SUM(T65:T67)</f>
        <v>3178.6799999999985</v>
      </c>
      <c r="U68" s="13"/>
      <c r="V68" s="30">
        <f>IF(T$12=0,0,T68/T$12)</f>
        <v>3.1236107426078227E-2</v>
      </c>
      <c r="W68" s="15"/>
      <c r="X68" s="32">
        <f>+P68-T68</f>
        <v>-3968.0299999999879</v>
      </c>
      <c r="Y68" s="15"/>
      <c r="Z68" s="30">
        <f>IF(T68=0,0,X68/T68)</f>
        <v>-1.248326349302223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7">
        <v>43732.709368368058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60" t="s">
        <v>313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6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str">
        <f>CONCATENATE("Period ",RIGHT(202002,2),", ",2020)</f>
        <v>Period 02,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43708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","501", " - ", "ID Card Services")</f>
        <v>Department 501 - ID Card Services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30975</v>
      </c>
      <c r="E12" s="4"/>
      <c r="F12" s="12"/>
      <c r="G12" s="4"/>
      <c r="H12" s="4">
        <f>SUM(OSRRefH13x_0)</f>
        <v>35670</v>
      </c>
      <c r="I12" s="4"/>
      <c r="J12" s="12"/>
      <c r="K12" s="4"/>
      <c r="L12" s="4">
        <f t="shared" ref="L12:L13" si="0">+D12-H12</f>
        <v>-4695</v>
      </c>
      <c r="M12" s="4"/>
      <c r="N12" s="12">
        <f t="shared" ref="N12:N13" si="1">IF(H12=0,0,L12/H12)</f>
        <v>-0.13162321278385197</v>
      </c>
      <c r="O12" s="10"/>
      <c r="P12" s="4">
        <f>SUM(OSRRefP13x_0)</f>
        <v>67886</v>
      </c>
      <c r="Q12" s="4"/>
      <c r="R12" s="12"/>
      <c r="S12" s="4"/>
      <c r="T12" s="4">
        <f>SUM(OSRRefT13x_0)</f>
        <v>101763</v>
      </c>
      <c r="U12" s="4"/>
      <c r="V12" s="12"/>
      <c r="W12" s="4"/>
      <c r="X12" s="4">
        <f t="shared" ref="X12:X13" si="2">+P12-T12</f>
        <v>-33877</v>
      </c>
      <c r="Y12" s="4"/>
      <c r="Z12" s="12">
        <f t="shared" ref="Z12:Z13" si="3">IF(T12=0,0,X12/T12)</f>
        <v>-0.33290095614319548</v>
      </c>
    </row>
    <row r="13" spans="1:26" s="24" customFormat="1" hidden="1" outlineLevel="1" x14ac:dyDescent="0.25">
      <c r="A13" s="50"/>
      <c r="B13" s="11" t="str">
        <f>CONCATENATE("          ", "4100", " - ", "NON-TAXABLE SALES")</f>
        <v xml:space="preserve">          4100 - NON-TAXABLE SALES</v>
      </c>
      <c r="C13" s="11"/>
      <c r="D13" s="2">
        <f>--30975</f>
        <v>30975</v>
      </c>
      <c r="E13" s="2"/>
      <c r="F13" s="21"/>
      <c r="G13" s="2"/>
      <c r="H13" s="2">
        <f>--35670</f>
        <v>35670</v>
      </c>
      <c r="I13" s="2"/>
      <c r="J13" s="21"/>
      <c r="K13" s="2"/>
      <c r="L13" s="2">
        <f t="shared" si="0"/>
        <v>-4695</v>
      </c>
      <c r="M13" s="2"/>
      <c r="N13" s="21">
        <f t="shared" si="1"/>
        <v>-0.13162321278385197</v>
      </c>
      <c r="O13" s="11"/>
      <c r="P13" s="2">
        <f>--67886</f>
        <v>67886</v>
      </c>
      <c r="Q13" s="2"/>
      <c r="R13" s="21"/>
      <c r="S13" s="2"/>
      <c r="T13" s="2">
        <f>--101763</f>
        <v>101763</v>
      </c>
      <c r="U13" s="2"/>
      <c r="V13" s="21"/>
      <c r="W13" s="2"/>
      <c r="X13" s="2">
        <f t="shared" si="2"/>
        <v>-33877</v>
      </c>
      <c r="Y13" s="2"/>
      <c r="Z13" s="21">
        <f t="shared" si="3"/>
        <v>-0.33290095614319548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30975</v>
      </c>
      <c r="E17" s="13"/>
      <c r="F17" s="19">
        <f>IF(D$12=0,0,D17/D$12)</f>
        <v>1</v>
      </c>
      <c r="G17" s="13"/>
      <c r="H17" s="20">
        <f>H12-H15</f>
        <v>35670</v>
      </c>
      <c r="I17" s="13"/>
      <c r="J17" s="19">
        <f>IF(H$12=0,0,H17/H$12)</f>
        <v>1</v>
      </c>
      <c r="K17" s="15"/>
      <c r="L17" s="20">
        <f>+D17-H17</f>
        <v>-4695</v>
      </c>
      <c r="M17" s="15"/>
      <c r="N17" s="19">
        <f>IF(H17=0,0,L17/H17)</f>
        <v>-0.13162321278385197</v>
      </c>
      <c r="O17" s="25"/>
      <c r="P17" s="20">
        <f>P12-P15</f>
        <v>67886</v>
      </c>
      <c r="Q17" s="13"/>
      <c r="R17" s="19">
        <f>IF(P$12=0,0,P17/P$12)</f>
        <v>1</v>
      </c>
      <c r="S17" s="13"/>
      <c r="T17" s="20">
        <f>T12-T15</f>
        <v>101763</v>
      </c>
      <c r="U17" s="13"/>
      <c r="V17" s="19">
        <f>IF(T$12=0,0,T17/T$12)</f>
        <v>1</v>
      </c>
      <c r="W17" s="15"/>
      <c r="X17" s="20">
        <f>+P17-T17</f>
        <v>-33877</v>
      </c>
      <c r="Y17" s="15"/>
      <c r="Z17" s="19">
        <f>IF(T17=0,0,X17/T17)</f>
        <v>-0.33290095614319548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2">
        <f>SUM(OSRRefD22x_0)</f>
        <v>26838.589999999997</v>
      </c>
      <c r="E19" s="22"/>
      <c r="F19" s="33">
        <f t="shared" ref="F19:F28" si="4">IF(D$12=0,0,D19/D$12)</f>
        <v>0.86645972558514917</v>
      </c>
      <c r="G19" s="22"/>
      <c r="H19" s="22">
        <f>SUM(OSRRefH22x_0)</f>
        <v>26320.21</v>
      </c>
      <c r="I19" s="22"/>
      <c r="J19" s="33">
        <f t="shared" ref="J19:J28" si="5">IF(H$12=0,0,H19/H$12)</f>
        <v>0.73788085225679845</v>
      </c>
      <c r="K19" s="4"/>
      <c r="L19" s="22">
        <f t="shared" ref="L19:L28" si="6">+D19-H19</f>
        <v>518.37999999999738</v>
      </c>
      <c r="M19" s="4"/>
      <c r="N19" s="33">
        <f t="shared" ref="N19:N28" si="7">IF(H19=0,0,L19/H19)</f>
        <v>1.9695131611791754E-2</v>
      </c>
      <c r="O19" s="10"/>
      <c r="P19" s="22">
        <f>SUM(OSRRefP22x_0)</f>
        <v>64600.19999999999</v>
      </c>
      <c r="Q19" s="22"/>
      <c r="R19" s="33">
        <f t="shared" ref="R19:R28" si="8">IF(P$12=0,0,P19/P$12)</f>
        <v>0.95159826768405842</v>
      </c>
      <c r="S19" s="22"/>
      <c r="T19" s="22">
        <f>SUM(OSRRefT22x_0)</f>
        <v>93712.22</v>
      </c>
      <c r="U19" s="22"/>
      <c r="V19" s="33">
        <f t="shared" ref="V19:V28" si="9">IF(T$12=0,0,T19/T$12)</f>
        <v>0.9208869628450419</v>
      </c>
      <c r="W19" s="4"/>
      <c r="X19" s="22">
        <f t="shared" ref="X19:X28" si="10">+P19-T19</f>
        <v>-29112.020000000011</v>
      </c>
      <c r="Y19" s="4"/>
      <c r="Z19" s="33">
        <f t="shared" ref="Z19:Z28" si="11">IF(T19=0,0,X19/T19)</f>
        <v>-0.31065340251250062</v>
      </c>
    </row>
    <row r="20" spans="1:26" s="27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4226.13</v>
      </c>
      <c r="E20" s="1"/>
      <c r="F20" s="5">
        <f t="shared" si="4"/>
        <v>0.13643680387409202</v>
      </c>
      <c r="G20" s="1"/>
      <c r="H20" s="1">
        <f>SUM(OSRRefH22_0x_0)</f>
        <v>4654.2399999999989</v>
      </c>
      <c r="I20" s="1"/>
      <c r="J20" s="5">
        <f t="shared" si="5"/>
        <v>0.13048051583964113</v>
      </c>
      <c r="K20" s="1"/>
      <c r="L20" s="1">
        <f t="shared" si="6"/>
        <v>-428.10999999999876</v>
      </c>
      <c r="M20" s="1"/>
      <c r="N20" s="5">
        <f t="shared" si="7"/>
        <v>-9.1982794183368036E-2</v>
      </c>
      <c r="O20" s="14"/>
      <c r="P20" s="1">
        <f>SUM(OSRRefP22_0x_0)</f>
        <v>8625.48</v>
      </c>
      <c r="Q20" s="1"/>
      <c r="R20" s="5">
        <f t="shared" si="8"/>
        <v>0.12705830362666823</v>
      </c>
      <c r="S20" s="1"/>
      <c r="T20" s="1">
        <f>SUM(OSRRefT22_0x_0)</f>
        <v>8750.17</v>
      </c>
      <c r="U20" s="1"/>
      <c r="V20" s="5">
        <f t="shared" si="9"/>
        <v>8.5985770859742738E-2</v>
      </c>
      <c r="W20" s="1"/>
      <c r="X20" s="1">
        <f t="shared" si="10"/>
        <v>-124.69000000000051</v>
      </c>
      <c r="Y20" s="1"/>
      <c r="Z20" s="5">
        <f t="shared" si="11"/>
        <v>-1.4250008856970836E-2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1291.28</v>
      </c>
      <c r="E21" s="2"/>
      <c r="F21" s="6">
        <f t="shared" si="4"/>
        <v>4.1687812752219534E-2</v>
      </c>
      <c r="G21" s="2"/>
      <c r="H21" s="7">
        <v>1338.4</v>
      </c>
      <c r="I21" s="2"/>
      <c r="J21" s="6">
        <f t="shared" si="5"/>
        <v>3.7521726941407346E-2</v>
      </c>
      <c r="K21" s="2"/>
      <c r="L21" s="7">
        <f t="shared" si="6"/>
        <v>-47.120000000000118</v>
      </c>
      <c r="M21" s="2"/>
      <c r="N21" s="6">
        <f t="shared" si="7"/>
        <v>-3.5206216377764582E-2</v>
      </c>
      <c r="O21" s="11"/>
      <c r="P21" s="7">
        <v>2357.21</v>
      </c>
      <c r="Q21" s="2"/>
      <c r="R21" s="6">
        <f t="shared" si="8"/>
        <v>3.4723065138614735E-2</v>
      </c>
      <c r="S21" s="2"/>
      <c r="T21" s="7">
        <v>2440.14</v>
      </c>
      <c r="U21" s="2"/>
      <c r="V21" s="6">
        <f t="shared" si="9"/>
        <v>2.3978656289614101E-2</v>
      </c>
      <c r="W21" s="2"/>
      <c r="X21" s="7">
        <f t="shared" si="10"/>
        <v>-82.929999999999836</v>
      </c>
      <c r="Y21" s="2"/>
      <c r="Z21" s="6">
        <f t="shared" si="11"/>
        <v>-3.3985754915701494E-2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60.78</v>
      </c>
      <c r="E22" s="2"/>
      <c r="F22" s="6">
        <f t="shared" si="4"/>
        <v>1.9622276029055692E-3</v>
      </c>
      <c r="G22" s="2"/>
      <c r="H22" s="7">
        <v>56.62</v>
      </c>
      <c r="I22" s="2"/>
      <c r="J22" s="6">
        <f t="shared" si="5"/>
        <v>1.5873282870759741E-3</v>
      </c>
      <c r="K22" s="2"/>
      <c r="L22" s="7">
        <f t="shared" si="6"/>
        <v>4.1600000000000037</v>
      </c>
      <c r="M22" s="2"/>
      <c r="N22" s="6">
        <f t="shared" si="7"/>
        <v>7.3472271282232493E-2</v>
      </c>
      <c r="O22" s="11"/>
      <c r="P22" s="7">
        <v>109.78</v>
      </c>
      <c r="Q22" s="2"/>
      <c r="R22" s="6">
        <f t="shared" si="8"/>
        <v>1.6171228235571399E-3</v>
      </c>
      <c r="S22" s="2"/>
      <c r="T22" s="7">
        <v>125.92</v>
      </c>
      <c r="U22" s="2"/>
      <c r="V22" s="6">
        <f t="shared" si="9"/>
        <v>1.2373849041400116E-3</v>
      </c>
      <c r="W22" s="2"/>
      <c r="X22" s="7">
        <f t="shared" si="10"/>
        <v>-16.14</v>
      </c>
      <c r="Y22" s="2"/>
      <c r="Z22" s="6">
        <f t="shared" si="11"/>
        <v>-0.1281766200762389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1243.31</v>
      </c>
      <c r="E23" s="2"/>
      <c r="F23" s="6">
        <f t="shared" si="4"/>
        <v>4.0139144471347858E-2</v>
      </c>
      <c r="G23" s="2"/>
      <c r="H23" s="7">
        <v>1243.31</v>
      </c>
      <c r="I23" s="2"/>
      <c r="J23" s="6">
        <f t="shared" si="5"/>
        <v>3.4855901317633865E-2</v>
      </c>
      <c r="K23" s="2"/>
      <c r="L23" s="7">
        <f t="shared" si="6"/>
        <v>0</v>
      </c>
      <c r="M23" s="2"/>
      <c r="N23" s="6">
        <f t="shared" si="7"/>
        <v>0</v>
      </c>
      <c r="O23" s="11"/>
      <c r="P23" s="7">
        <v>2486.62</v>
      </c>
      <c r="Q23" s="2"/>
      <c r="R23" s="6">
        <f t="shared" si="8"/>
        <v>3.6629349203075742E-2</v>
      </c>
      <c r="S23" s="2"/>
      <c r="T23" s="7">
        <v>1688.34</v>
      </c>
      <c r="U23" s="2"/>
      <c r="V23" s="6">
        <f t="shared" si="9"/>
        <v>1.6590902390849326E-2</v>
      </c>
      <c r="W23" s="2"/>
      <c r="X23" s="7">
        <f t="shared" si="10"/>
        <v>798.28</v>
      </c>
      <c r="Y23" s="2"/>
      <c r="Z23" s="6">
        <f t="shared" si="11"/>
        <v>0.47281945579681817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46.48</v>
      </c>
      <c r="E24" s="2"/>
      <c r="F24" s="6">
        <f t="shared" si="4"/>
        <v>1.5005649717514124E-3</v>
      </c>
      <c r="G24" s="2"/>
      <c r="H24" s="7">
        <v>47.49</v>
      </c>
      <c r="I24" s="2"/>
      <c r="J24" s="6">
        <f t="shared" si="5"/>
        <v>1.3313708999158958E-3</v>
      </c>
      <c r="K24" s="2"/>
      <c r="L24" s="7">
        <f t="shared" si="6"/>
        <v>-1.0100000000000051</v>
      </c>
      <c r="M24" s="2"/>
      <c r="N24" s="6">
        <f t="shared" si="7"/>
        <v>-2.1267635291640451E-2</v>
      </c>
      <c r="O24" s="11"/>
      <c r="P24" s="7">
        <v>83.95</v>
      </c>
      <c r="Q24" s="2"/>
      <c r="R24" s="6">
        <f t="shared" si="8"/>
        <v>1.2366320007070677E-3</v>
      </c>
      <c r="S24" s="2"/>
      <c r="T24" s="7">
        <v>105.62</v>
      </c>
      <c r="U24" s="2"/>
      <c r="V24" s="6">
        <f t="shared" si="9"/>
        <v>1.0379017914173129E-3</v>
      </c>
      <c r="W24" s="2"/>
      <c r="X24" s="7">
        <f t="shared" si="10"/>
        <v>-21.67</v>
      </c>
      <c r="Y24" s="2"/>
      <c r="Z24" s="6">
        <f t="shared" si="11"/>
        <v>-0.20516947547812914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609.02</v>
      </c>
      <c r="E25" s="2"/>
      <c r="F25" s="6">
        <f t="shared" si="4"/>
        <v>1.9661662631154157E-2</v>
      </c>
      <c r="G25" s="2"/>
      <c r="H25" s="7">
        <v>544.30999999999995</v>
      </c>
      <c r="I25" s="2"/>
      <c r="J25" s="6">
        <f t="shared" si="5"/>
        <v>1.525960190636389E-2</v>
      </c>
      <c r="K25" s="2"/>
      <c r="L25" s="7">
        <f t="shared" si="6"/>
        <v>64.710000000000036</v>
      </c>
      <c r="M25" s="2"/>
      <c r="N25" s="6">
        <f t="shared" si="7"/>
        <v>0.11888445922360427</v>
      </c>
      <c r="O25" s="11"/>
      <c r="P25" s="7">
        <v>1218.04</v>
      </c>
      <c r="Q25" s="2"/>
      <c r="R25" s="6">
        <f t="shared" si="8"/>
        <v>1.7942432902218426E-2</v>
      </c>
      <c r="S25" s="2"/>
      <c r="T25" s="7">
        <v>1352.84</v>
      </c>
      <c r="U25" s="2"/>
      <c r="V25" s="6">
        <f t="shared" si="9"/>
        <v>1.3294026316048072E-2</v>
      </c>
      <c r="W25" s="2"/>
      <c r="X25" s="7">
        <f t="shared" si="10"/>
        <v>-134.79999999999995</v>
      </c>
      <c r="Y25" s="2"/>
      <c r="Z25" s="6">
        <f t="shared" si="11"/>
        <v>-9.9642234114899003E-2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550.41999999999996</v>
      </c>
      <c r="E26" s="2"/>
      <c r="F26" s="6">
        <f t="shared" si="4"/>
        <v>1.7769814366424535E-2</v>
      </c>
      <c r="G26" s="2"/>
      <c r="H26" s="7">
        <v>682.22</v>
      </c>
      <c r="I26" s="2"/>
      <c r="J26" s="6">
        <f t="shared" si="5"/>
        <v>1.9125876086347072E-2</v>
      </c>
      <c r="K26" s="2"/>
      <c r="L26" s="7">
        <f t="shared" si="6"/>
        <v>-131.80000000000007</v>
      </c>
      <c r="M26" s="2"/>
      <c r="N26" s="6">
        <f t="shared" si="7"/>
        <v>-0.19319281170296981</v>
      </c>
      <c r="O26" s="11"/>
      <c r="P26" s="7">
        <v>1393.78</v>
      </c>
      <c r="Q26" s="2"/>
      <c r="R26" s="6">
        <f t="shared" si="8"/>
        <v>2.0531184633061309E-2</v>
      </c>
      <c r="S26" s="2"/>
      <c r="T26" s="7">
        <v>1591.63</v>
      </c>
      <c r="U26" s="2"/>
      <c r="V26" s="6">
        <f t="shared" si="9"/>
        <v>1.5640556980434935E-2</v>
      </c>
      <c r="W26" s="2"/>
      <c r="X26" s="7">
        <f t="shared" si="10"/>
        <v>-197.85000000000014</v>
      </c>
      <c r="Y26" s="2"/>
      <c r="Z26" s="6">
        <f t="shared" si="11"/>
        <v>-0.12430652852735882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274.83999999999997</v>
      </c>
      <c r="E27" s="2"/>
      <c r="F27" s="6">
        <f t="shared" si="4"/>
        <v>8.8729620661824049E-3</v>
      </c>
      <c r="G27" s="2"/>
      <c r="H27" s="7">
        <v>443.95</v>
      </c>
      <c r="I27" s="2"/>
      <c r="J27" s="6">
        <f t="shared" si="5"/>
        <v>1.2446033081020465E-2</v>
      </c>
      <c r="K27" s="2"/>
      <c r="L27" s="7">
        <f t="shared" si="6"/>
        <v>-169.11</v>
      </c>
      <c r="M27" s="2"/>
      <c r="N27" s="6">
        <f t="shared" si="7"/>
        <v>-0.38092127491834671</v>
      </c>
      <c r="O27" s="11"/>
      <c r="P27" s="7">
        <v>693.22</v>
      </c>
      <c r="Q27" s="2"/>
      <c r="R27" s="6">
        <f t="shared" si="8"/>
        <v>1.0211531096249594E-2</v>
      </c>
      <c r="S27" s="2"/>
      <c r="T27" s="7">
        <v>879.79</v>
      </c>
      <c r="U27" s="2"/>
      <c r="V27" s="6">
        <f t="shared" si="9"/>
        <v>8.6454801843499109E-3</v>
      </c>
      <c r="W27" s="2"/>
      <c r="X27" s="7">
        <f t="shared" si="10"/>
        <v>-186.56999999999994</v>
      </c>
      <c r="Y27" s="2"/>
      <c r="Z27" s="6">
        <f t="shared" si="11"/>
        <v>-0.21206196933359089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150</v>
      </c>
      <c r="E28" s="2"/>
      <c r="F28" s="6">
        <f t="shared" si="4"/>
        <v>4.8426150121065378E-3</v>
      </c>
      <c r="G28" s="2"/>
      <c r="H28" s="7">
        <v>297.94</v>
      </c>
      <c r="I28" s="2"/>
      <c r="J28" s="6">
        <f t="shared" si="5"/>
        <v>8.3526773198766471E-3</v>
      </c>
      <c r="K28" s="2"/>
      <c r="L28" s="7">
        <f t="shared" si="6"/>
        <v>-147.94</v>
      </c>
      <c r="M28" s="2"/>
      <c r="N28" s="6">
        <f t="shared" si="7"/>
        <v>-0.49654292810633011</v>
      </c>
      <c r="O28" s="11"/>
      <c r="P28" s="7">
        <v>282.88</v>
      </c>
      <c r="Q28" s="2"/>
      <c r="R28" s="6">
        <f t="shared" si="8"/>
        <v>4.1669858291842202E-3</v>
      </c>
      <c r="S28" s="2"/>
      <c r="T28" s="7">
        <v>565.89</v>
      </c>
      <c r="U28" s="2"/>
      <c r="V28" s="6">
        <f t="shared" si="9"/>
        <v>5.5608620028890655E-3</v>
      </c>
      <c r="W28" s="2"/>
      <c r="X28" s="7">
        <f t="shared" si="10"/>
        <v>-283.01</v>
      </c>
      <c r="Y28" s="2"/>
      <c r="Z28" s="6">
        <f t="shared" si="11"/>
        <v>-0.50011486331265798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18951.8</v>
      </c>
      <c r="E29" s="1"/>
      <c r="F29" s="5">
        <f t="shared" ref="F29:F35" si="12">IF(D$12=0,0,D29/D$12)</f>
        <v>0.61184180790960452</v>
      </c>
      <c r="G29" s="1"/>
      <c r="H29" s="1">
        <f>SUM(OSRRefH22_1x_0)</f>
        <v>18189.269999999997</v>
      </c>
      <c r="I29" s="1"/>
      <c r="J29" s="5">
        <f t="shared" ref="J29:J35" si="13">IF(H$12=0,0,H29/H$12)</f>
        <v>0.50993187552565167</v>
      </c>
      <c r="K29" s="1"/>
      <c r="L29" s="1">
        <f t="shared" ref="L29:L35" si="14">+D29-H29</f>
        <v>762.53000000000247</v>
      </c>
      <c r="M29" s="1"/>
      <c r="N29" s="5">
        <f t="shared" ref="N29:N35" si="15">IF(H29=0,0,L29/H29)</f>
        <v>4.192196828130005E-2</v>
      </c>
      <c r="O29" s="14"/>
      <c r="P29" s="1">
        <f>SUM(OSRRefP22_1x_0)</f>
        <v>36772.49</v>
      </c>
      <c r="Q29" s="1"/>
      <c r="R29" s="5">
        <f t="shared" ref="R29:R35" si="16">IF(P$12=0,0,P29/P$12)</f>
        <v>0.54168002239047808</v>
      </c>
      <c r="S29" s="1"/>
      <c r="T29" s="1">
        <f>SUM(OSRRefT22_1x_0)</f>
        <v>37368.979999999996</v>
      </c>
      <c r="U29" s="1"/>
      <c r="V29" s="5">
        <f t="shared" ref="V29:V35" si="17">IF(T$12=0,0,T29/T$12)</f>
        <v>0.36721578569814173</v>
      </c>
      <c r="W29" s="1"/>
      <c r="X29" s="1">
        <f t="shared" ref="X29:X35" si="18">+P29-T29</f>
        <v>-596.48999999999796</v>
      </c>
      <c r="Y29" s="1"/>
      <c r="Z29" s="5">
        <f t="shared" ref="Z29:Z35" si="19">IF(T29=0,0,X29/T29)</f>
        <v>-1.5962169692616657E-2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5660.58</v>
      </c>
      <c r="E30" s="2"/>
      <c r="F30" s="6">
        <f t="shared" si="12"/>
        <v>0.18274673123486682</v>
      </c>
      <c r="G30" s="2"/>
      <c r="H30" s="7">
        <v>5784.94</v>
      </c>
      <c r="I30" s="2"/>
      <c r="J30" s="6">
        <f t="shared" si="13"/>
        <v>0.16217942248388001</v>
      </c>
      <c r="K30" s="2"/>
      <c r="L30" s="7">
        <f t="shared" si="14"/>
        <v>-124.35999999999967</v>
      </c>
      <c r="M30" s="2"/>
      <c r="N30" s="6">
        <f t="shared" si="15"/>
        <v>-2.1497197896607343E-2</v>
      </c>
      <c r="O30" s="11"/>
      <c r="P30" s="7">
        <v>12215.31</v>
      </c>
      <c r="Q30" s="2"/>
      <c r="R30" s="6">
        <f t="shared" si="16"/>
        <v>0.17993857349085229</v>
      </c>
      <c r="S30" s="2"/>
      <c r="T30" s="7">
        <v>12726.63</v>
      </c>
      <c r="U30" s="2"/>
      <c r="V30" s="6">
        <f t="shared" si="17"/>
        <v>0.12506146634827983</v>
      </c>
      <c r="W30" s="2"/>
      <c r="X30" s="7">
        <f t="shared" si="18"/>
        <v>-511.31999999999971</v>
      </c>
      <c r="Y30" s="2"/>
      <c r="Z30" s="6">
        <f t="shared" si="19"/>
        <v>-4.0177171804318956E-2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12"/>
        <v>0</v>
      </c>
      <c r="G31" s="2"/>
      <c r="H31" s="7">
        <v>3963</v>
      </c>
      <c r="I31" s="2"/>
      <c r="J31" s="6">
        <f t="shared" si="13"/>
        <v>0.1111017661900757</v>
      </c>
      <c r="K31" s="2"/>
      <c r="L31" s="7">
        <f t="shared" si="14"/>
        <v>-3963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5835</v>
      </c>
      <c r="U31" s="2"/>
      <c r="V31" s="6">
        <f t="shared" si="17"/>
        <v>5.7339111464874269E-2</v>
      </c>
      <c r="W31" s="2"/>
      <c r="X31" s="7">
        <f t="shared" si="18"/>
        <v>-5835</v>
      </c>
      <c r="Y31" s="2"/>
      <c r="Z31" s="6">
        <f t="shared" si="19"/>
        <v>-1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>
        <v>7838.45</v>
      </c>
      <c r="E32" s="2"/>
      <c r="F32" s="6">
        <f t="shared" si="12"/>
        <v>0.25305730427764328</v>
      </c>
      <c r="G32" s="2"/>
      <c r="H32" s="7">
        <v>2783.27</v>
      </c>
      <c r="I32" s="2"/>
      <c r="J32" s="6">
        <f t="shared" si="13"/>
        <v>7.8028315110737309E-2</v>
      </c>
      <c r="K32" s="2"/>
      <c r="L32" s="7">
        <f t="shared" si="14"/>
        <v>5055.18</v>
      </c>
      <c r="M32" s="2"/>
      <c r="N32" s="6">
        <f t="shared" si="15"/>
        <v>1.8162736637121086</v>
      </c>
      <c r="O32" s="11"/>
      <c r="P32" s="7">
        <v>13194.39</v>
      </c>
      <c r="Q32" s="2"/>
      <c r="R32" s="6">
        <f t="shared" si="16"/>
        <v>0.19436098753793124</v>
      </c>
      <c r="S32" s="2"/>
      <c r="T32" s="7">
        <v>5282.45</v>
      </c>
      <c r="U32" s="2"/>
      <c r="V32" s="6">
        <f t="shared" si="17"/>
        <v>5.1909338364631546E-2</v>
      </c>
      <c r="W32" s="2"/>
      <c r="X32" s="7">
        <f t="shared" si="18"/>
        <v>7911.94</v>
      </c>
      <c r="Y32" s="2"/>
      <c r="Z32" s="6">
        <f t="shared" si="19"/>
        <v>1.4977784929341498</v>
      </c>
    </row>
    <row r="33" spans="1:26" s="24" customFormat="1" hidden="1" outlineLevel="2" x14ac:dyDescent="0.25">
      <c r="A33" s="29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12"/>
        <v>0</v>
      </c>
      <c r="G33" s="2"/>
      <c r="H33" s="7">
        <v>934.13</v>
      </c>
      <c r="I33" s="2"/>
      <c r="J33" s="6">
        <f t="shared" si="13"/>
        <v>2.6188113260442947E-2</v>
      </c>
      <c r="K33" s="2"/>
      <c r="L33" s="7">
        <f t="shared" si="14"/>
        <v>-934.13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1794.82</v>
      </c>
      <c r="U33" s="2"/>
      <c r="V33" s="6">
        <f t="shared" si="17"/>
        <v>1.763725519098297E-2</v>
      </c>
      <c r="W33" s="2"/>
      <c r="X33" s="7">
        <f t="shared" si="18"/>
        <v>-1794.82</v>
      </c>
      <c r="Y33" s="2"/>
      <c r="Z33" s="6">
        <f t="shared" si="19"/>
        <v>-1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7">
        <v>4633.58</v>
      </c>
      <c r="E34" s="2"/>
      <c r="F34" s="6">
        <f t="shared" si="12"/>
        <v>0.14959096045197739</v>
      </c>
      <c r="G34" s="2"/>
      <c r="H34" s="7">
        <v>4723.93</v>
      </c>
      <c r="I34" s="2"/>
      <c r="J34" s="6">
        <f t="shared" si="13"/>
        <v>0.13243425848051585</v>
      </c>
      <c r="K34" s="2"/>
      <c r="L34" s="7">
        <f t="shared" si="14"/>
        <v>-90.350000000000364</v>
      </c>
      <c r="M34" s="2"/>
      <c r="N34" s="6">
        <f t="shared" si="15"/>
        <v>-1.9126024306033398E-2</v>
      </c>
      <c r="O34" s="11"/>
      <c r="P34" s="7">
        <v>10062.290000000001</v>
      </c>
      <c r="Q34" s="2"/>
      <c r="R34" s="6">
        <f t="shared" si="16"/>
        <v>0.14822334501959167</v>
      </c>
      <c r="S34" s="2"/>
      <c r="T34" s="7">
        <v>11730.08</v>
      </c>
      <c r="U34" s="2"/>
      <c r="V34" s="6">
        <f t="shared" si="17"/>
        <v>0.11526861432937315</v>
      </c>
      <c r="W34" s="2"/>
      <c r="X34" s="7">
        <f t="shared" si="18"/>
        <v>-1667.7899999999991</v>
      </c>
      <c r="Y34" s="2"/>
      <c r="Z34" s="6">
        <f t="shared" si="19"/>
        <v>-0.14218061598897869</v>
      </c>
    </row>
    <row r="35" spans="1:26" s="24" customFormat="1" hidden="1" outlineLevel="2" x14ac:dyDescent="0.25">
      <c r="A35" s="29"/>
      <c r="B35" s="11" t="str">
        <f>CONCATENATE("          ", "6008", " - ", "STUDENT HOURLY-FICA EXEMPT")</f>
        <v xml:space="preserve">          6008 - STUDENT HOURLY-FICA EXEMPT</v>
      </c>
      <c r="C35" s="11"/>
      <c r="D35" s="7">
        <v>819.19</v>
      </c>
      <c r="E35" s="2"/>
      <c r="F35" s="6">
        <f t="shared" si="12"/>
        <v>2.644681194511703E-2</v>
      </c>
      <c r="G35" s="2"/>
      <c r="H35" s="7"/>
      <c r="I35" s="2"/>
      <c r="J35" s="6">
        <f t="shared" si="13"/>
        <v>0</v>
      </c>
      <c r="K35" s="2"/>
      <c r="L35" s="7">
        <f t="shared" si="14"/>
        <v>819.19</v>
      </c>
      <c r="M35" s="2"/>
      <c r="N35" s="6">
        <f t="shared" si="15"/>
        <v>0</v>
      </c>
      <c r="O35" s="11"/>
      <c r="P35" s="7">
        <v>1300.5</v>
      </c>
      <c r="Q35" s="2"/>
      <c r="R35" s="6">
        <f t="shared" si="16"/>
        <v>1.9157116342102938E-2</v>
      </c>
      <c r="S35" s="2"/>
      <c r="T35" s="7"/>
      <c r="U35" s="2"/>
      <c r="V35" s="6">
        <f t="shared" si="17"/>
        <v>0</v>
      </c>
      <c r="W35" s="2"/>
      <c r="X35" s="7">
        <f t="shared" si="18"/>
        <v>1300.5</v>
      </c>
      <c r="Y35" s="2"/>
      <c r="Z35" s="6">
        <f t="shared" si="19"/>
        <v>0</v>
      </c>
    </row>
    <row r="36" spans="1:26" s="27" customFormat="1" outlineLevel="1" collapsed="1" x14ac:dyDescent="0.25">
      <c r="A36" s="28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38</v>
      </c>
      <c r="E36" s="1"/>
      <c r="F36" s="5">
        <f t="shared" ref="F36:F54" si="20">IF(D$12=0,0,D36/D$12)</f>
        <v>1.2267958030669896E-3</v>
      </c>
      <c r="G36" s="1"/>
      <c r="H36" s="1">
        <f>SUM(OSRRefH22_2x_0)</f>
        <v>152.97</v>
      </c>
      <c r="I36" s="1"/>
      <c r="J36" s="5">
        <f t="shared" ref="J36:J54" si="21">IF(H$12=0,0,H36/H$12)</f>
        <v>4.2884777123633304E-3</v>
      </c>
      <c r="K36" s="1"/>
      <c r="L36" s="1">
        <f t="shared" ref="L36:L54" si="22">+D36-H36</f>
        <v>-114.97</v>
      </c>
      <c r="M36" s="1"/>
      <c r="N36" s="5">
        <f t="shared" ref="N36:N54" si="23">IF(H36=0,0,L36/H36)</f>
        <v>-0.75158527815911613</v>
      </c>
      <c r="O36" s="14"/>
      <c r="P36" s="1">
        <f>SUM(OSRRefP22_2x_0)</f>
        <v>38</v>
      </c>
      <c r="Q36" s="1"/>
      <c r="R36" s="5">
        <f t="shared" ref="R36:R54" si="24">IF(P$12=0,0,P36/P$12)</f>
        <v>5.5976195386383057E-4</v>
      </c>
      <c r="S36" s="1"/>
      <c r="T36" s="1">
        <f>SUM(OSRRefT22_2x_0)</f>
        <v>920.24</v>
      </c>
      <c r="U36" s="1"/>
      <c r="V36" s="5">
        <f t="shared" ref="V36:V54" si="25">IF(T$12=0,0,T36/T$12)</f>
        <v>9.0429723966471108E-3</v>
      </c>
      <c r="W36" s="1"/>
      <c r="X36" s="1">
        <f t="shared" ref="X36:X54" si="26">+P36-T36</f>
        <v>-882.24</v>
      </c>
      <c r="Y36" s="1"/>
      <c r="Z36" s="5">
        <f t="shared" ref="Z36:Z54" si="27">IF(T36=0,0,X36/T36)</f>
        <v>-0.95870642441102316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>
        <v>38</v>
      </c>
      <c r="E37" s="2"/>
      <c r="F37" s="6">
        <f t="shared" si="20"/>
        <v>1.2267958030669896E-3</v>
      </c>
      <c r="G37" s="2"/>
      <c r="H37" s="7">
        <v>152.97</v>
      </c>
      <c r="I37" s="2"/>
      <c r="J37" s="6">
        <f t="shared" si="21"/>
        <v>4.2884777123633304E-3</v>
      </c>
      <c r="K37" s="2"/>
      <c r="L37" s="7">
        <f t="shared" si="22"/>
        <v>-114.97</v>
      </c>
      <c r="M37" s="2"/>
      <c r="N37" s="6">
        <f t="shared" si="23"/>
        <v>-0.75158527815911613</v>
      </c>
      <c r="O37" s="11"/>
      <c r="P37" s="7">
        <v>38</v>
      </c>
      <c r="Q37" s="2"/>
      <c r="R37" s="6">
        <f t="shared" si="24"/>
        <v>5.5976195386383057E-4</v>
      </c>
      <c r="S37" s="2"/>
      <c r="T37" s="7">
        <v>920.24</v>
      </c>
      <c r="U37" s="2"/>
      <c r="V37" s="6">
        <f t="shared" si="25"/>
        <v>9.0429723966471108E-3</v>
      </c>
      <c r="W37" s="2"/>
      <c r="X37" s="7">
        <f t="shared" si="26"/>
        <v>-882.24</v>
      </c>
      <c r="Y37" s="2"/>
      <c r="Z37" s="6">
        <f t="shared" si="27"/>
        <v>-0.95870642441102316</v>
      </c>
    </row>
    <row r="38" spans="1:26" s="27" customFormat="1" outlineLevel="1" collapsed="1" x14ac:dyDescent="0.25">
      <c r="A38" s="28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2174.79</v>
      </c>
      <c r="E38" s="1"/>
      <c r="F38" s="5">
        <f t="shared" si="20"/>
        <v>7.0211138014527844E-2</v>
      </c>
      <c r="G38" s="1"/>
      <c r="H38" s="1">
        <f>SUM(OSRRefH22_3x_0)</f>
        <v>1982.48</v>
      </c>
      <c r="I38" s="1"/>
      <c r="J38" s="5">
        <f t="shared" si="21"/>
        <v>5.5578357162881974E-2</v>
      </c>
      <c r="K38" s="1"/>
      <c r="L38" s="1">
        <f t="shared" si="22"/>
        <v>192.30999999999995</v>
      </c>
      <c r="M38" s="1"/>
      <c r="N38" s="5">
        <f t="shared" si="23"/>
        <v>9.7004761712602375E-2</v>
      </c>
      <c r="O38" s="14"/>
      <c r="P38" s="1">
        <f>SUM(OSRRefP22_3x_0)</f>
        <v>2494.4899999999998</v>
      </c>
      <c r="Q38" s="1"/>
      <c r="R38" s="5">
        <f t="shared" si="24"/>
        <v>3.6745278849836485E-2</v>
      </c>
      <c r="S38" s="1"/>
      <c r="T38" s="1">
        <f>SUM(OSRRefT22_3x_0)</f>
        <v>2359.35</v>
      </c>
      <c r="U38" s="1"/>
      <c r="V38" s="5">
        <f t="shared" si="25"/>
        <v>2.3184752807995045E-2</v>
      </c>
      <c r="W38" s="1"/>
      <c r="X38" s="1">
        <f t="shared" si="26"/>
        <v>135.13999999999987</v>
      </c>
      <c r="Y38" s="1"/>
      <c r="Z38" s="5">
        <f t="shared" si="27"/>
        <v>5.7278487719075115E-2</v>
      </c>
    </row>
    <row r="39" spans="1:26" s="24" customFormat="1" hidden="1" outlineLevel="2" x14ac:dyDescent="0.25">
      <c r="A39" s="29"/>
      <c r="B39" s="11" t="str">
        <f>CONCATENATE("          ", "6381", " - ", "BANK/CREDIT CARD FEES")</f>
        <v xml:space="preserve">          6381 - BANK/CREDIT CARD FEES</v>
      </c>
      <c r="C39" s="11"/>
      <c r="D39" s="7">
        <v>2174.79</v>
      </c>
      <c r="E39" s="2"/>
      <c r="F39" s="6">
        <f t="shared" si="20"/>
        <v>7.0211138014527844E-2</v>
      </c>
      <c r="G39" s="2"/>
      <c r="H39" s="7">
        <v>1982.48</v>
      </c>
      <c r="I39" s="2"/>
      <c r="J39" s="6">
        <f t="shared" si="21"/>
        <v>5.5578357162881974E-2</v>
      </c>
      <c r="K39" s="2"/>
      <c r="L39" s="7">
        <f t="shared" si="22"/>
        <v>192.30999999999995</v>
      </c>
      <c r="M39" s="2"/>
      <c r="N39" s="6">
        <f t="shared" si="23"/>
        <v>9.7004761712602375E-2</v>
      </c>
      <c r="O39" s="11"/>
      <c r="P39" s="7">
        <v>2494.4899999999998</v>
      </c>
      <c r="Q39" s="2"/>
      <c r="R39" s="6">
        <f t="shared" si="24"/>
        <v>3.6745278849836485E-2</v>
      </c>
      <c r="S39" s="2"/>
      <c r="T39" s="7">
        <v>2359.35</v>
      </c>
      <c r="U39" s="2"/>
      <c r="V39" s="6">
        <f t="shared" si="25"/>
        <v>2.3184752807995045E-2</v>
      </c>
      <c r="W39" s="2"/>
      <c r="X39" s="7">
        <f t="shared" si="26"/>
        <v>135.13999999999987</v>
      </c>
      <c r="Y39" s="2"/>
      <c r="Z39" s="6">
        <f t="shared" si="27"/>
        <v>5.7278487719075115E-2</v>
      </c>
    </row>
    <row r="40" spans="1:26" s="27" customFormat="1" outlineLevel="1" collapsed="1" x14ac:dyDescent="0.25">
      <c r="A40" s="28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4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21.12</v>
      </c>
      <c r="U40" s="1"/>
      <c r="V40" s="5">
        <f t="shared" si="25"/>
        <v>2.0754105126617731E-4</v>
      </c>
      <c r="W40" s="1"/>
      <c r="X40" s="1">
        <f t="shared" si="26"/>
        <v>-21.12</v>
      </c>
      <c r="Y40" s="1"/>
      <c r="Z40" s="5">
        <f t="shared" si="27"/>
        <v>-1</v>
      </c>
    </row>
    <row r="41" spans="1:26" s="24" customFormat="1" hidden="1" outlineLevel="2" x14ac:dyDescent="0.25">
      <c r="A41" s="29"/>
      <c r="B41" s="11" t="str">
        <f>CONCATENATE("          ", "6305", " - ", "FREIGHT OUT")</f>
        <v xml:space="preserve">          6305 - FREIGHT OUT</v>
      </c>
      <c r="C41" s="11"/>
      <c r="D41" s="7"/>
      <c r="E41" s="2"/>
      <c r="F41" s="6">
        <f t="shared" si="20"/>
        <v>0</v>
      </c>
      <c r="G41" s="2"/>
      <c r="H41" s="7"/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21.12</v>
      </c>
      <c r="U41" s="2"/>
      <c r="V41" s="6">
        <f t="shared" si="25"/>
        <v>2.0754105126617731E-4</v>
      </c>
      <c r="W41" s="2"/>
      <c r="X41" s="7">
        <f t="shared" si="26"/>
        <v>-21.12</v>
      </c>
      <c r="Y41" s="2"/>
      <c r="Z41" s="6">
        <f t="shared" si="27"/>
        <v>-1</v>
      </c>
    </row>
    <row r="42" spans="1:26" s="27" customFormat="1" outlineLevel="1" collapsed="1" x14ac:dyDescent="0.25">
      <c r="A42" s="28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301</v>
      </c>
      <c r="I42" s="1"/>
      <c r="J42" s="5">
        <f t="shared" si="21"/>
        <v>8.4384636949817772E-3</v>
      </c>
      <c r="K42" s="1"/>
      <c r="L42" s="1">
        <f t="shared" si="22"/>
        <v>-301</v>
      </c>
      <c r="M42" s="1"/>
      <c r="N42" s="5">
        <f t="shared" si="23"/>
        <v>-1</v>
      </c>
      <c r="O42" s="14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301</v>
      </c>
      <c r="U42" s="1"/>
      <c r="V42" s="5">
        <f t="shared" si="25"/>
        <v>2.9578530507158789E-3</v>
      </c>
      <c r="W42" s="1"/>
      <c r="X42" s="1">
        <f t="shared" si="26"/>
        <v>-301</v>
      </c>
      <c r="Y42" s="1"/>
      <c r="Z42" s="5">
        <f t="shared" si="27"/>
        <v>-1</v>
      </c>
    </row>
    <row r="43" spans="1:26" s="24" customFormat="1" hidden="1" outlineLevel="2" x14ac:dyDescent="0.25">
      <c r="A43" s="29"/>
      <c r="B43" s="11" t="str">
        <f>CONCATENATE("          ", "6279", " - ", "GENERAL EXPENSE")</f>
        <v xml:space="preserve">          6279 - GENERAL EXPENSE</v>
      </c>
      <c r="C43" s="11"/>
      <c r="D43" s="7"/>
      <c r="E43" s="2"/>
      <c r="F43" s="6">
        <f t="shared" si="20"/>
        <v>0</v>
      </c>
      <c r="G43" s="2"/>
      <c r="H43" s="7">
        <v>301</v>
      </c>
      <c r="I43" s="2"/>
      <c r="J43" s="6">
        <f t="shared" si="21"/>
        <v>8.4384636949817772E-3</v>
      </c>
      <c r="K43" s="2"/>
      <c r="L43" s="7">
        <f t="shared" si="22"/>
        <v>-301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301</v>
      </c>
      <c r="U43" s="2"/>
      <c r="V43" s="6">
        <f t="shared" si="25"/>
        <v>2.9578530507158789E-3</v>
      </c>
      <c r="W43" s="2"/>
      <c r="X43" s="7">
        <f t="shared" si="26"/>
        <v>-301</v>
      </c>
      <c r="Y43" s="2"/>
      <c r="Z43" s="6">
        <f t="shared" si="27"/>
        <v>-1</v>
      </c>
    </row>
    <row r="44" spans="1:26" s="27" customFormat="1" outlineLevel="1" collapsed="1" x14ac:dyDescent="0.25">
      <c r="A44" s="28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SUM(OSRRefD22_6x_0)</f>
        <v>29.01</v>
      </c>
      <c r="E44" s="1"/>
      <c r="F44" s="5">
        <f t="shared" si="20"/>
        <v>9.3656174334140441E-4</v>
      </c>
      <c r="G44" s="1"/>
      <c r="H44" s="1">
        <f>SUM(OSRRefH22_6x_0)</f>
        <v>27.33</v>
      </c>
      <c r="I44" s="1"/>
      <c r="J44" s="5">
        <f t="shared" si="21"/>
        <v>7.6619007569386029E-4</v>
      </c>
      <c r="K44" s="1"/>
      <c r="L44" s="1">
        <f t="shared" si="22"/>
        <v>1.6800000000000033</v>
      </c>
      <c r="M44" s="1"/>
      <c r="N44" s="5">
        <f t="shared" si="23"/>
        <v>6.1470911086718018E-2</v>
      </c>
      <c r="O44" s="14"/>
      <c r="P44" s="1">
        <f>SUM(OSRRefP22_6x_0)</f>
        <v>58.02</v>
      </c>
      <c r="Q44" s="1"/>
      <c r="R44" s="5">
        <f t="shared" si="24"/>
        <v>8.5466812008366973E-4</v>
      </c>
      <c r="S44" s="1"/>
      <c r="T44" s="1">
        <f>SUM(OSRRefT22_6x_0)</f>
        <v>54.66</v>
      </c>
      <c r="U44" s="1"/>
      <c r="V44" s="5">
        <f t="shared" si="25"/>
        <v>5.3713039120308948E-4</v>
      </c>
      <c r="W44" s="1"/>
      <c r="X44" s="1">
        <f t="shared" si="26"/>
        <v>3.3600000000000065</v>
      </c>
      <c r="Y44" s="1"/>
      <c r="Z44" s="5">
        <f t="shared" si="27"/>
        <v>6.1470911086718018E-2</v>
      </c>
    </row>
    <row r="45" spans="1:26" s="24" customFormat="1" hidden="1" outlineLevel="2" x14ac:dyDescent="0.25">
      <c r="A45" s="29"/>
      <c r="B45" s="11" t="str">
        <f>CONCATENATE("          ", "6314", " - ", "LIABILITY INSURANCE")</f>
        <v xml:space="preserve">          6314 - LIABILITY INSURANCE</v>
      </c>
      <c r="C45" s="11"/>
      <c r="D45" s="7">
        <v>29.01</v>
      </c>
      <c r="E45" s="2"/>
      <c r="F45" s="6">
        <f t="shared" si="20"/>
        <v>9.3656174334140441E-4</v>
      </c>
      <c r="G45" s="2"/>
      <c r="H45" s="7">
        <v>27.33</v>
      </c>
      <c r="I45" s="2"/>
      <c r="J45" s="6">
        <f t="shared" si="21"/>
        <v>7.6619007569386029E-4</v>
      </c>
      <c r="K45" s="2"/>
      <c r="L45" s="7">
        <f t="shared" si="22"/>
        <v>1.6800000000000033</v>
      </c>
      <c r="M45" s="2"/>
      <c r="N45" s="6">
        <f t="shared" si="23"/>
        <v>6.1470911086718018E-2</v>
      </c>
      <c r="O45" s="11"/>
      <c r="P45" s="7">
        <v>58.02</v>
      </c>
      <c r="Q45" s="2"/>
      <c r="R45" s="6">
        <f t="shared" si="24"/>
        <v>8.5466812008366973E-4</v>
      </c>
      <c r="S45" s="2"/>
      <c r="T45" s="7">
        <v>54.66</v>
      </c>
      <c r="U45" s="2"/>
      <c r="V45" s="6">
        <f t="shared" si="25"/>
        <v>5.3713039120308948E-4</v>
      </c>
      <c r="W45" s="2"/>
      <c r="X45" s="7">
        <f t="shared" si="26"/>
        <v>3.3600000000000065</v>
      </c>
      <c r="Y45" s="2"/>
      <c r="Z45" s="6">
        <f t="shared" si="27"/>
        <v>6.1470911086718018E-2</v>
      </c>
    </row>
    <row r="46" spans="1:26" s="27" customFormat="1" outlineLevel="1" collapsed="1" x14ac:dyDescent="0.25">
      <c r="A46" s="28"/>
      <c r="B46" s="14" t="str">
        <f>CONCATENATE("     ","Rent                                              ")</f>
        <v xml:space="preserve">     Rent                                              </v>
      </c>
      <c r="C46" s="14"/>
      <c r="D46" s="1">
        <f>SUM(OSRRefD22_7x_0)</f>
        <v>800</v>
      </c>
      <c r="E46" s="1"/>
      <c r="F46" s="5">
        <f t="shared" si="20"/>
        <v>2.5827280064568199E-2</v>
      </c>
      <c r="G46" s="1"/>
      <c r="H46" s="1">
        <f>SUM(OSRRefH22_7x_0)</f>
        <v>0</v>
      </c>
      <c r="I46" s="1"/>
      <c r="J46" s="5">
        <f t="shared" si="21"/>
        <v>0</v>
      </c>
      <c r="K46" s="1"/>
      <c r="L46" s="1">
        <f t="shared" si="22"/>
        <v>800</v>
      </c>
      <c r="M46" s="1"/>
      <c r="N46" s="5">
        <f t="shared" si="23"/>
        <v>0</v>
      </c>
      <c r="O46" s="14"/>
      <c r="P46" s="1">
        <f>SUM(OSRRefP22_7x_0)</f>
        <v>1600</v>
      </c>
      <c r="Q46" s="1"/>
      <c r="R46" s="5">
        <f t="shared" si="24"/>
        <v>2.3568924373213916E-2</v>
      </c>
      <c r="S46" s="1"/>
      <c r="T46" s="1">
        <f>SUM(OSRRefT22_7x_0)</f>
        <v>800</v>
      </c>
      <c r="U46" s="1"/>
      <c r="V46" s="5">
        <f t="shared" si="25"/>
        <v>7.8614034570521699E-3</v>
      </c>
      <c r="W46" s="1"/>
      <c r="X46" s="1">
        <f t="shared" si="26"/>
        <v>800</v>
      </c>
      <c r="Y46" s="1"/>
      <c r="Z46" s="5">
        <f t="shared" si="27"/>
        <v>1</v>
      </c>
    </row>
    <row r="47" spans="1:26" s="24" customFormat="1" hidden="1" outlineLevel="2" x14ac:dyDescent="0.25">
      <c r="A47" s="29"/>
      <c r="B47" s="11" t="str">
        <f>CONCATENATE("          ", "6273", " - ", "RENT")</f>
        <v xml:space="preserve">          6273 - RENT</v>
      </c>
      <c r="C47" s="11"/>
      <c r="D47" s="7">
        <v>800</v>
      </c>
      <c r="E47" s="2"/>
      <c r="F47" s="6">
        <f t="shared" si="20"/>
        <v>2.5827280064568199E-2</v>
      </c>
      <c r="G47" s="2"/>
      <c r="H47" s="7"/>
      <c r="I47" s="2"/>
      <c r="J47" s="6">
        <f t="shared" si="21"/>
        <v>0</v>
      </c>
      <c r="K47" s="2"/>
      <c r="L47" s="7">
        <f t="shared" si="22"/>
        <v>800</v>
      </c>
      <c r="M47" s="2"/>
      <c r="N47" s="6">
        <f t="shared" si="23"/>
        <v>0</v>
      </c>
      <c r="O47" s="11"/>
      <c r="P47" s="7">
        <v>1600</v>
      </c>
      <c r="Q47" s="2"/>
      <c r="R47" s="6">
        <f t="shared" si="24"/>
        <v>2.3568924373213916E-2</v>
      </c>
      <c r="S47" s="2"/>
      <c r="T47" s="7">
        <v>800</v>
      </c>
      <c r="U47" s="2"/>
      <c r="V47" s="6">
        <f t="shared" si="25"/>
        <v>7.8614034570521699E-3</v>
      </c>
      <c r="W47" s="2"/>
      <c r="X47" s="7">
        <f t="shared" si="26"/>
        <v>800</v>
      </c>
      <c r="Y47" s="2"/>
      <c r="Z47" s="6">
        <f t="shared" si="27"/>
        <v>1</v>
      </c>
    </row>
    <row r="48" spans="1:26" s="27" customFormat="1" outlineLevel="1" collapsed="1" x14ac:dyDescent="0.25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SUM(OSRRefD22_8x_0)</f>
        <v>0</v>
      </c>
      <c r="E48" s="1"/>
      <c r="F48" s="5">
        <f t="shared" si="20"/>
        <v>0</v>
      </c>
      <c r="G48" s="1"/>
      <c r="H48" s="1">
        <f>SUM(OSRRefH22_8x_0)</f>
        <v>0</v>
      </c>
      <c r="I48" s="1"/>
      <c r="J48" s="5">
        <f t="shared" si="21"/>
        <v>0</v>
      </c>
      <c r="K48" s="1"/>
      <c r="L48" s="1">
        <f t="shared" si="22"/>
        <v>0</v>
      </c>
      <c r="M48" s="1"/>
      <c r="N48" s="5">
        <f t="shared" si="23"/>
        <v>0</v>
      </c>
      <c r="O48" s="14"/>
      <c r="P48" s="1">
        <f>SUM(OSRRefP22_8x_0)</f>
        <v>0</v>
      </c>
      <c r="Q48" s="1"/>
      <c r="R48" s="5">
        <f t="shared" si="24"/>
        <v>0</v>
      </c>
      <c r="S48" s="1"/>
      <c r="T48" s="1">
        <f>SUM(OSRRefT22_8x_0)</f>
        <v>600</v>
      </c>
      <c r="U48" s="1"/>
      <c r="V48" s="5">
        <f t="shared" si="25"/>
        <v>5.8960525927891274E-3</v>
      </c>
      <c r="W48" s="1"/>
      <c r="X48" s="1">
        <f t="shared" si="26"/>
        <v>-600</v>
      </c>
      <c r="Y48" s="1"/>
      <c r="Z48" s="5">
        <f t="shared" si="27"/>
        <v>-1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/>
      <c r="Q49" s="2"/>
      <c r="R49" s="6">
        <f t="shared" si="24"/>
        <v>0</v>
      </c>
      <c r="S49" s="2"/>
      <c r="T49" s="7">
        <v>600</v>
      </c>
      <c r="U49" s="2"/>
      <c r="V49" s="6">
        <f t="shared" si="25"/>
        <v>5.8960525927891274E-3</v>
      </c>
      <c r="W49" s="2"/>
      <c r="X49" s="7">
        <f t="shared" si="26"/>
        <v>-600</v>
      </c>
      <c r="Y49" s="2"/>
      <c r="Z49" s="6">
        <f t="shared" si="27"/>
        <v>-1</v>
      </c>
    </row>
    <row r="50" spans="1:26" s="27" customFormat="1" outlineLevel="1" collapsed="1" x14ac:dyDescent="0.25">
      <c r="A50" s="28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SUM(OSRRefD22_9x_0)</f>
        <v>419.85999999999996</v>
      </c>
      <c r="E50" s="1"/>
      <c r="F50" s="5">
        <f t="shared" si="20"/>
        <v>1.3554802259887004E-2</v>
      </c>
      <c r="G50" s="1"/>
      <c r="H50" s="1">
        <f>SUM(OSRRefH22_9x_0)</f>
        <v>557.1</v>
      </c>
      <c r="I50" s="1"/>
      <c r="J50" s="5">
        <f t="shared" si="21"/>
        <v>1.5618166526492852E-2</v>
      </c>
      <c r="K50" s="1"/>
      <c r="L50" s="1">
        <f t="shared" si="22"/>
        <v>-137.24000000000007</v>
      </c>
      <c r="M50" s="1"/>
      <c r="N50" s="5">
        <f t="shared" si="23"/>
        <v>-0.24634715490935211</v>
      </c>
      <c r="O50" s="14"/>
      <c r="P50" s="1">
        <f>SUM(OSRRefP22_9x_0)</f>
        <v>14836.07</v>
      </c>
      <c r="Q50" s="1"/>
      <c r="R50" s="5">
        <f t="shared" si="24"/>
        <v>0.21854388239106737</v>
      </c>
      <c r="S50" s="1"/>
      <c r="T50" s="1">
        <f>SUM(OSRRefT22_9x_0)</f>
        <v>41956.11</v>
      </c>
      <c r="U50" s="1"/>
      <c r="V50" s="5">
        <f t="shared" si="25"/>
        <v>0.41229238524807643</v>
      </c>
      <c r="W50" s="1"/>
      <c r="X50" s="1">
        <f t="shared" si="26"/>
        <v>-27120.04</v>
      </c>
      <c r="Y50" s="1"/>
      <c r="Z50" s="5">
        <f t="shared" si="27"/>
        <v>-0.64639071639386969</v>
      </c>
    </row>
    <row r="51" spans="1:26" s="24" customFormat="1" hidden="1" outlineLevel="2" x14ac:dyDescent="0.25">
      <c r="A51" s="29"/>
      <c r="B51" s="11" t="str">
        <f>CONCATENATE("          ", "6234", " - ", "EXPENDABLE SUPPLIES &amp; EQUIPMEN")</f>
        <v xml:space="preserve">          6234 - EXPENDABLE SUPPLIES &amp; EQUIPMEN</v>
      </c>
      <c r="C51" s="11"/>
      <c r="D51" s="7">
        <v>413.27</v>
      </c>
      <c r="E51" s="2"/>
      <c r="F51" s="6">
        <f t="shared" si="20"/>
        <v>1.3342050040355125E-2</v>
      </c>
      <c r="G51" s="2"/>
      <c r="H51" s="7"/>
      <c r="I51" s="2"/>
      <c r="J51" s="6">
        <f t="shared" si="21"/>
        <v>0</v>
      </c>
      <c r="K51" s="2"/>
      <c r="L51" s="7">
        <f t="shared" si="22"/>
        <v>413.27</v>
      </c>
      <c r="M51" s="2"/>
      <c r="N51" s="6">
        <f t="shared" si="23"/>
        <v>0</v>
      </c>
      <c r="O51" s="11"/>
      <c r="P51" s="7">
        <v>413.27</v>
      </c>
      <c r="Q51" s="2"/>
      <c r="R51" s="6">
        <f t="shared" si="24"/>
        <v>6.0877058598238221E-3</v>
      </c>
      <c r="S51" s="2"/>
      <c r="T51" s="7"/>
      <c r="U51" s="2"/>
      <c r="V51" s="6">
        <f t="shared" si="25"/>
        <v>0</v>
      </c>
      <c r="W51" s="2"/>
      <c r="X51" s="7">
        <f t="shared" si="26"/>
        <v>413.27</v>
      </c>
      <c r="Y51" s="2"/>
      <c r="Z51" s="6">
        <f t="shared" si="27"/>
        <v>0</v>
      </c>
    </row>
    <row r="52" spans="1:26" s="24" customFormat="1" hidden="1" outlineLevel="2" x14ac:dyDescent="0.25">
      <c r="A52" s="29"/>
      <c r="B52" s="11" t="str">
        <f>CONCATENATE("          ", "6241", " - ", "OFFICE EXPENSE")</f>
        <v xml:space="preserve">          6241 - OFFICE EXPENSE</v>
      </c>
      <c r="C52" s="11"/>
      <c r="D52" s="7">
        <v>6.59</v>
      </c>
      <c r="E52" s="2"/>
      <c r="F52" s="6">
        <f t="shared" si="20"/>
        <v>2.1275221953188055E-4</v>
      </c>
      <c r="G52" s="2"/>
      <c r="H52" s="7">
        <v>435.82</v>
      </c>
      <c r="I52" s="2"/>
      <c r="J52" s="6">
        <f t="shared" si="21"/>
        <v>1.2218110456966639E-2</v>
      </c>
      <c r="K52" s="2"/>
      <c r="L52" s="7">
        <f t="shared" si="22"/>
        <v>-429.23</v>
      </c>
      <c r="M52" s="2"/>
      <c r="N52" s="6">
        <f t="shared" si="23"/>
        <v>-0.98487907851865453</v>
      </c>
      <c r="O52" s="11"/>
      <c r="P52" s="7">
        <v>14422.8</v>
      </c>
      <c r="Q52" s="2"/>
      <c r="R52" s="6">
        <f t="shared" si="24"/>
        <v>0.21245617653124355</v>
      </c>
      <c r="S52" s="2"/>
      <c r="T52" s="7">
        <v>33770.83</v>
      </c>
      <c r="U52" s="2"/>
      <c r="V52" s="6">
        <f t="shared" si="25"/>
        <v>0.33185764963690145</v>
      </c>
      <c r="W52" s="2"/>
      <c r="X52" s="7">
        <f t="shared" si="26"/>
        <v>-19348.030000000002</v>
      </c>
      <c r="Y52" s="2"/>
      <c r="Z52" s="6">
        <f t="shared" si="27"/>
        <v>-0.57292136438458874</v>
      </c>
    </row>
    <row r="53" spans="1:26" s="24" customFormat="1" hidden="1" outlineLevel="2" x14ac:dyDescent="0.25">
      <c r="A53" s="29"/>
      <c r="B53" s="11" t="str">
        <f>CONCATENATE("          ", "6245", " - ", "PRINTING")</f>
        <v xml:space="preserve">          6245 - PRINTING</v>
      </c>
      <c r="C53" s="11"/>
      <c r="D53" s="7"/>
      <c r="E53" s="2"/>
      <c r="F53" s="6">
        <f t="shared" si="20"/>
        <v>0</v>
      </c>
      <c r="G53" s="2"/>
      <c r="H53" s="7">
        <v>121.28</v>
      </c>
      <c r="I53" s="2"/>
      <c r="J53" s="6">
        <f t="shared" si="21"/>
        <v>3.4000560695262127E-3</v>
      </c>
      <c r="K53" s="2"/>
      <c r="L53" s="7">
        <f t="shared" si="22"/>
        <v>-121.28</v>
      </c>
      <c r="M53" s="2"/>
      <c r="N53" s="6">
        <f t="shared" si="23"/>
        <v>-1</v>
      </c>
      <c r="O53" s="11"/>
      <c r="P53" s="7"/>
      <c r="Q53" s="2"/>
      <c r="R53" s="6">
        <f t="shared" si="24"/>
        <v>0</v>
      </c>
      <c r="S53" s="2"/>
      <c r="T53" s="7">
        <v>121.28</v>
      </c>
      <c r="U53" s="2"/>
      <c r="V53" s="6">
        <f t="shared" si="25"/>
        <v>1.1917887640891091E-3</v>
      </c>
      <c r="W53" s="2"/>
      <c r="X53" s="7">
        <f t="shared" si="26"/>
        <v>-121.28</v>
      </c>
      <c r="Y53" s="2"/>
      <c r="Z53" s="6">
        <f t="shared" si="27"/>
        <v>-1</v>
      </c>
    </row>
    <row r="54" spans="1:26" s="24" customFormat="1" hidden="1" outlineLevel="2" x14ac:dyDescent="0.25">
      <c r="A54" s="29"/>
      <c r="B54" s="11" t="str">
        <f>CONCATENATE("          ", "6247", " - ", "STORE SUPPLIES")</f>
        <v xml:space="preserve">          6247 - STORE SUPPLIES</v>
      </c>
      <c r="C54" s="11"/>
      <c r="D54" s="7"/>
      <c r="E54" s="2"/>
      <c r="F54" s="6">
        <f t="shared" si="20"/>
        <v>0</v>
      </c>
      <c r="G54" s="2"/>
      <c r="H54" s="7"/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8064</v>
      </c>
      <c r="U54" s="2"/>
      <c r="V54" s="6">
        <f t="shared" si="25"/>
        <v>7.9242946847085882E-2</v>
      </c>
      <c r="W54" s="2"/>
      <c r="X54" s="7">
        <f t="shared" si="26"/>
        <v>-8064</v>
      </c>
      <c r="Y54" s="2"/>
      <c r="Z54" s="6">
        <f t="shared" si="27"/>
        <v>-1</v>
      </c>
    </row>
    <row r="55" spans="1:26" s="27" customFormat="1" outlineLevel="1" collapsed="1" x14ac:dyDescent="0.25">
      <c r="A55" s="28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SUM(OSRRefD22_10x_0)</f>
        <v>199</v>
      </c>
      <c r="E55" s="1"/>
      <c r="F55" s="5">
        <f t="shared" ref="F55:F56" si="28">IF(D$12=0,0,D55/D$12)</f>
        <v>6.4245359160613399E-3</v>
      </c>
      <c r="G55" s="1"/>
      <c r="H55" s="1">
        <f>SUM(OSRRefH22_10x_0)</f>
        <v>455.82</v>
      </c>
      <c r="I55" s="1"/>
      <c r="J55" s="5">
        <f t="shared" ref="J55:J56" si="29">IF(H$12=0,0,H55/H$12)</f>
        <v>1.2778805719091674E-2</v>
      </c>
      <c r="K55" s="1"/>
      <c r="L55" s="1">
        <f t="shared" ref="L55:L56" si="30">+D55-H55</f>
        <v>-256.82</v>
      </c>
      <c r="M55" s="1"/>
      <c r="N55" s="5">
        <f t="shared" ref="N55:N56" si="31">IF(H55=0,0,L55/H55)</f>
        <v>-0.56342415865911977</v>
      </c>
      <c r="O55" s="14"/>
      <c r="P55" s="1">
        <f>SUM(OSRRefP22_10x_0)</f>
        <v>175.65</v>
      </c>
      <c r="Q55" s="1"/>
      <c r="R55" s="5">
        <f t="shared" ref="R55:R56" si="32">IF(P$12=0,0,P55/P$12)</f>
        <v>2.5874259788468907E-3</v>
      </c>
      <c r="S55" s="1"/>
      <c r="T55" s="1">
        <f>SUM(OSRRefT22_10x_0)</f>
        <v>580.59</v>
      </c>
      <c r="U55" s="1"/>
      <c r="V55" s="5">
        <f t="shared" ref="V55:V56" si="33">IF(T$12=0,0,T55/T$12)</f>
        <v>5.7053152914123993E-3</v>
      </c>
      <c r="W55" s="1"/>
      <c r="X55" s="1">
        <f t="shared" ref="X55:X56" si="34">+P55-T55</f>
        <v>-404.94000000000005</v>
      </c>
      <c r="Y55" s="1"/>
      <c r="Z55" s="5">
        <f t="shared" ref="Z55:Z56" si="35">IF(T55=0,0,X55/T55)</f>
        <v>-0.69746292564460299</v>
      </c>
    </row>
    <row r="56" spans="1:26" s="24" customFormat="1" hidden="1" outlineLevel="2" x14ac:dyDescent="0.25">
      <c r="A56" s="29"/>
      <c r="B56" s="11" t="str">
        <f>CONCATENATE("          ", "6309", " - ", "TELEPHONE")</f>
        <v xml:space="preserve">          6309 - TELEPHONE</v>
      </c>
      <c r="C56" s="11"/>
      <c r="D56" s="7">
        <v>199</v>
      </c>
      <c r="E56" s="2"/>
      <c r="F56" s="6">
        <f t="shared" si="28"/>
        <v>6.4245359160613399E-3</v>
      </c>
      <c r="G56" s="2"/>
      <c r="H56" s="7">
        <v>455.82</v>
      </c>
      <c r="I56" s="2"/>
      <c r="J56" s="6">
        <f t="shared" si="29"/>
        <v>1.2778805719091674E-2</v>
      </c>
      <c r="K56" s="2"/>
      <c r="L56" s="7">
        <f t="shared" si="30"/>
        <v>-256.82</v>
      </c>
      <c r="M56" s="2"/>
      <c r="N56" s="6">
        <f t="shared" si="31"/>
        <v>-0.56342415865911977</v>
      </c>
      <c r="O56" s="11"/>
      <c r="P56" s="7">
        <v>175.65</v>
      </c>
      <c r="Q56" s="2"/>
      <c r="R56" s="6">
        <f t="shared" si="32"/>
        <v>2.5874259788468907E-3</v>
      </c>
      <c r="S56" s="2"/>
      <c r="T56" s="7">
        <v>580.59</v>
      </c>
      <c r="U56" s="2"/>
      <c r="V56" s="6">
        <f t="shared" si="33"/>
        <v>5.7053152914123993E-3</v>
      </c>
      <c r="W56" s="2"/>
      <c r="X56" s="7">
        <f t="shared" si="34"/>
        <v>-404.94000000000005</v>
      </c>
      <c r="Y56" s="2"/>
      <c r="Z56" s="6">
        <f t="shared" si="35"/>
        <v>-0.69746292564460299</v>
      </c>
    </row>
    <row r="57" spans="1:26" s="62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collapsed="1" x14ac:dyDescent="0.25">
      <c r="A58" s="10"/>
      <c r="B58" s="25" t="s">
        <v>0</v>
      </c>
      <c r="C58" s="10"/>
      <c r="D58" s="4">
        <f>SUM(OSRRefD25x_0)</f>
        <v>3537.91</v>
      </c>
      <c r="E58" s="4"/>
      <c r="F58" s="12">
        <f t="shared" ref="F58:F59" si="36">IF(D$12=0,0,D58/D$12)</f>
        <v>0.1142182405165456</v>
      </c>
      <c r="G58" s="4"/>
      <c r="H58" s="4">
        <f>SUM(OSRRefH25x_0)</f>
        <v>4218.3</v>
      </c>
      <c r="I58" s="4"/>
      <c r="J58" s="12">
        <f t="shared" ref="J58:J59" si="37">IF(H$12=0,0,H58/H$12)</f>
        <v>0.11825904121110177</v>
      </c>
      <c r="K58" s="4"/>
      <c r="L58" s="4">
        <f t="shared" ref="L58:L59" si="38">+D58-H58</f>
        <v>-680.39000000000033</v>
      </c>
      <c r="M58" s="4"/>
      <c r="N58" s="12">
        <f t="shared" ref="N58:N59" si="39">IF(H58=0,0,L58/H58)</f>
        <v>-0.16129483441196699</v>
      </c>
      <c r="O58" s="10"/>
      <c r="P58" s="4">
        <f>SUM(OSRRefP25x_0)</f>
        <v>4389</v>
      </c>
      <c r="Q58" s="4"/>
      <c r="R58" s="12">
        <f t="shared" ref="R58:R59" si="40">IF(P$12=0,0,P58/P$12)</f>
        <v>6.4652505671272426E-2</v>
      </c>
      <c r="S58" s="4"/>
      <c r="T58" s="4">
        <f>SUM(OSRRefT25x_0)</f>
        <v>5517.42</v>
      </c>
      <c r="U58" s="4"/>
      <c r="V58" s="12">
        <f t="shared" ref="V58:V59" si="41">IF(T$12=0,0,T58/T$12)</f>
        <v>5.4218330827510985E-2</v>
      </c>
      <c r="W58" s="4"/>
      <c r="X58" s="4">
        <f t="shared" ref="X58:X59" si="42">+P58-T58</f>
        <v>-1128.42</v>
      </c>
      <c r="Y58" s="4"/>
      <c r="Z58" s="12">
        <f t="shared" ref="Z58:Z59" si="43">IF(T58=0,0,X58/T58)</f>
        <v>-0.20451950368106833</v>
      </c>
    </row>
    <row r="59" spans="1:26" s="24" customFormat="1" hidden="1" outlineLevel="1" x14ac:dyDescent="0.25">
      <c r="A59" s="50"/>
      <c r="B59" s="11" t="str">
        <f>CONCATENATE("          ", "9150", " - ", "MISC. INCOME")</f>
        <v xml:space="preserve">          9150 - MISC. INCOME</v>
      </c>
      <c r="C59" s="11"/>
      <c r="D59" s="2">
        <f>--3537.91</f>
        <v>3537.91</v>
      </c>
      <c r="E59" s="2"/>
      <c r="F59" s="21">
        <f t="shared" si="36"/>
        <v>0.1142182405165456</v>
      </c>
      <c r="G59" s="2"/>
      <c r="H59" s="2">
        <f>--4218.3</f>
        <v>4218.3</v>
      </c>
      <c r="I59" s="2"/>
      <c r="J59" s="21">
        <f t="shared" si="37"/>
        <v>0.11825904121110177</v>
      </c>
      <c r="K59" s="2"/>
      <c r="L59" s="2">
        <f t="shared" si="38"/>
        <v>-680.39000000000033</v>
      </c>
      <c r="M59" s="2"/>
      <c r="N59" s="21">
        <f t="shared" si="39"/>
        <v>-0.16129483441196699</v>
      </c>
      <c r="O59" s="11"/>
      <c r="P59" s="2">
        <f>--4389</f>
        <v>4389</v>
      </c>
      <c r="Q59" s="2"/>
      <c r="R59" s="21">
        <f t="shared" si="40"/>
        <v>6.4652505671272426E-2</v>
      </c>
      <c r="S59" s="2"/>
      <c r="T59" s="2">
        <f>--5517.42</f>
        <v>5517.42</v>
      </c>
      <c r="U59" s="2"/>
      <c r="V59" s="21">
        <f t="shared" si="41"/>
        <v>5.4218330827510985E-2</v>
      </c>
      <c r="W59" s="2"/>
      <c r="X59" s="2">
        <f t="shared" si="42"/>
        <v>-1128.42</v>
      </c>
      <c r="Y59" s="2"/>
      <c r="Z59" s="21">
        <f t="shared" si="43"/>
        <v>-0.20451950368106833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6" t="s">
        <v>3</v>
      </c>
      <c r="C61" s="26"/>
      <c r="D61" s="20">
        <f>+D17-D19+D58</f>
        <v>7674.3200000000033</v>
      </c>
      <c r="E61" s="13"/>
      <c r="F61" s="19">
        <f>IF(D$12=0,0,D61/D$12)</f>
        <v>0.24775851493139639</v>
      </c>
      <c r="G61" s="13"/>
      <c r="H61" s="20">
        <f>+H17-H19+H58</f>
        <v>13568.09</v>
      </c>
      <c r="I61" s="13"/>
      <c r="J61" s="19">
        <f>IF(H$12=0,0,H61/H$12)</f>
        <v>0.38037818895430336</v>
      </c>
      <c r="K61" s="15"/>
      <c r="L61" s="20">
        <f>+D61-H61</f>
        <v>-5893.7699999999968</v>
      </c>
      <c r="M61" s="15"/>
      <c r="N61" s="19">
        <f>IF(H61=0,0,L61/H61)</f>
        <v>-0.43438464809711586</v>
      </c>
      <c r="O61" s="25"/>
      <c r="P61" s="20">
        <f>+P17-P19+P58</f>
        <v>7674.8000000000102</v>
      </c>
      <c r="Q61" s="13"/>
      <c r="R61" s="19">
        <f>IF(P$12=0,0,P61/P$12)</f>
        <v>0.11305423798721401</v>
      </c>
      <c r="S61" s="13"/>
      <c r="T61" s="20">
        <f>+T17-T19+T58</f>
        <v>13568.199999999999</v>
      </c>
      <c r="U61" s="13"/>
      <c r="V61" s="19">
        <f>IF(T$12=0,0,T61/T$12)</f>
        <v>0.13333136798246906</v>
      </c>
      <c r="W61" s="15"/>
      <c r="X61" s="20">
        <f>+P61-T61</f>
        <v>-5893.3999999999887</v>
      </c>
      <c r="Y61" s="15"/>
      <c r="Z61" s="19">
        <f>IF(T61=0,0,X61/T61)</f>
        <v>-0.43435385681225136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>
        <v>789.27</v>
      </c>
      <c r="E63" s="4"/>
      <c r="F63" s="12">
        <f>IF(D$12=0,0,D63/D$12)</f>
        <v>2.548087167070218E-2</v>
      </c>
      <c r="G63" s="4"/>
      <c r="H63" s="4">
        <v>-3179.42</v>
      </c>
      <c r="I63" s="4"/>
      <c r="J63" s="12">
        <f>IF(H$12=0,0,H63/H$12)</f>
        <v>-8.9134286515278952E-2</v>
      </c>
      <c r="K63" s="4"/>
      <c r="L63" s="4">
        <f>+D63-H63</f>
        <v>3968.69</v>
      </c>
      <c r="M63" s="4"/>
      <c r="N63" s="12">
        <f>IF(H63=0,0,L63/H63)</f>
        <v>-1.2482433903038919</v>
      </c>
      <c r="O63" s="10"/>
      <c r="P63" s="4">
        <v>8464.15</v>
      </c>
      <c r="Q63" s="4"/>
      <c r="R63" s="12">
        <f>IF(P$12=0,0,P63/P$12)</f>
        <v>0.12468181952096161</v>
      </c>
      <c r="S63" s="4"/>
      <c r="T63" s="4">
        <v>10389.52</v>
      </c>
      <c r="U63" s="4"/>
      <c r="V63" s="12">
        <f>IF(T$12=0,0,T63/T$12)</f>
        <v>0.10209526055639083</v>
      </c>
      <c r="W63" s="4"/>
      <c r="X63" s="4">
        <f>+P63-T63</f>
        <v>-1925.3700000000008</v>
      </c>
      <c r="Y63" s="4"/>
      <c r="Z63" s="12">
        <f>IF(T63=0,0,X63/T63)</f>
        <v>-0.18531847477073057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6" t="s">
        <v>4</v>
      </c>
      <c r="C65" s="26"/>
      <c r="D65" s="31">
        <f>+D61-D63</f>
        <v>6885.0500000000029</v>
      </c>
      <c r="E65" s="13"/>
      <c r="F65" s="36">
        <f>IF(D$12=0,0,D65/D$12)</f>
        <v>0.22227764326069421</v>
      </c>
      <c r="G65" s="13"/>
      <c r="H65" s="31">
        <f>+H61-H63</f>
        <v>16747.510000000002</v>
      </c>
      <c r="I65" s="13"/>
      <c r="J65" s="36">
        <f>IF(H$12=0,0,H65/H$12)</f>
        <v>0.46951247546958236</v>
      </c>
      <c r="K65" s="15"/>
      <c r="L65" s="31">
        <f>D65-H65</f>
        <v>-9862.4599999999991</v>
      </c>
      <c r="M65" s="15"/>
      <c r="N65" s="36">
        <f>IF(H65=0,0,L65/H65)</f>
        <v>-0.58889112471047922</v>
      </c>
      <c r="O65" s="25"/>
      <c r="P65" s="31">
        <f>+P61-P63</f>
        <v>-789.34999999998945</v>
      </c>
      <c r="Q65" s="13"/>
      <c r="R65" s="36">
        <f>IF(P$12=0,0,P65/P$12)</f>
        <v>-1.1627581533747598E-2</v>
      </c>
      <c r="S65" s="13"/>
      <c r="T65" s="31">
        <f>+T61-T63</f>
        <v>3178.6799999999985</v>
      </c>
      <c r="U65" s="13"/>
      <c r="V65" s="36">
        <f>IF(T$12=0,0,T65/T$12)</f>
        <v>3.1236107426078227E-2</v>
      </c>
      <c r="W65" s="15"/>
      <c r="X65" s="31">
        <f>P65-T65</f>
        <v>-3968.0299999999879</v>
      </c>
      <c r="Y65" s="15"/>
      <c r="Z65" s="36">
        <f>IF(T65=0,0,X65/T65)</f>
        <v>-1.248326349302223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6" t="s">
        <v>5</v>
      </c>
      <c r="C68" s="26"/>
      <c r="D68" s="32">
        <f>SUM(D65:D67)</f>
        <v>6885.0500000000029</v>
      </c>
      <c r="E68" s="13"/>
      <c r="F68" s="30">
        <f>IF(D$12=0,0,D68/D$12)</f>
        <v>0.22227764326069421</v>
      </c>
      <c r="G68" s="13"/>
      <c r="H68" s="32">
        <f>SUM(H65:H67)</f>
        <v>16747.510000000002</v>
      </c>
      <c r="I68" s="13"/>
      <c r="J68" s="30">
        <f>IF(H$12=0,0,H68/H$12)</f>
        <v>0.46951247546958236</v>
      </c>
      <c r="K68" s="15"/>
      <c r="L68" s="32">
        <f>+D68-H68</f>
        <v>-9862.4599999999991</v>
      </c>
      <c r="M68" s="15"/>
      <c r="N68" s="30">
        <f>IF(H68=0,0,L68/H68)</f>
        <v>-0.58889112471047922</v>
      </c>
      <c r="O68" s="25"/>
      <c r="P68" s="32">
        <f>SUM(P65:P67)</f>
        <v>-789.34999999998945</v>
      </c>
      <c r="Q68" s="13"/>
      <c r="R68" s="30">
        <f>IF(P$12=0,0,P68/P$12)</f>
        <v>-1.1627581533747598E-2</v>
      </c>
      <c r="S68" s="13"/>
      <c r="T68" s="32">
        <f>SUM(T65:T67)</f>
        <v>3178.6799999999985</v>
      </c>
      <c r="U68" s="13"/>
      <c r="V68" s="30">
        <f>IF(T$12=0,0,T68/T$12)</f>
        <v>3.1236107426078227E-2</v>
      </c>
      <c r="W68" s="15"/>
      <c r="X68" s="32">
        <f>+P68-T68</f>
        <v>-3968.0299999999879</v>
      </c>
      <c r="Y68" s="15"/>
      <c r="Z68" s="30">
        <f>IF(T68=0,0,X68/T68)</f>
        <v>-1.248326349302223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7">
        <v>43732.710298923608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60" t="s">
        <v>313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6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4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4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5" t="s">
        <v>12</v>
      </c>
    </row>
    <row r="3" spans="1:26" x14ac:dyDescent="0.25">
      <c r="D3" s="55" t="s">
        <v>294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8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8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8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9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2"/>
    </row>
    <row r="8" spans="1:26" x14ac:dyDescent="0.25">
      <c r="B8" s="52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61"/>
      <c r="C10" s="10"/>
      <c r="D10" s="42" t="s">
        <v>10</v>
      </c>
      <c r="E10" s="35"/>
      <c r="F10" s="34" t="s">
        <v>14</v>
      </c>
      <c r="G10" s="35"/>
      <c r="H10" s="49" t="s">
        <v>306</v>
      </c>
      <c r="I10" s="35"/>
      <c r="J10" s="34" t="s">
        <v>14</v>
      </c>
      <c r="K10" s="10"/>
      <c r="L10" s="42" t="s">
        <v>11</v>
      </c>
      <c r="M10" s="10"/>
      <c r="N10" s="34" t="s">
        <v>15</v>
      </c>
      <c r="O10" s="10"/>
      <c r="P10" s="53" t="s">
        <v>10</v>
      </c>
      <c r="Q10" s="35"/>
      <c r="R10" s="34" t="s">
        <v>14</v>
      </c>
      <c r="S10" s="35"/>
      <c r="T10" s="49" t="s">
        <v>306</v>
      </c>
      <c r="U10" s="35"/>
      <c r="V10" s="34" t="s">
        <v>14</v>
      </c>
      <c r="W10" s="10"/>
      <c r="X10" s="42" t="s">
        <v>11</v>
      </c>
      <c r="Y10" s="10"/>
      <c r="Z10" s="34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0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-_xll.OneStop.ReportPlayer.OSRFunctions.OSRGet("GL_F_Trans","Value1")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-_xll.OneStop.ReportPlayer.OSRFunctions.OSRGet("GL_F_Trans","Value1")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0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19" t="e">
        <f ca="1">IF(D$12=0,0,D18/D$12)</f>
        <v>#NAME?</v>
      </c>
      <c r="G18" s="13"/>
      <c r="H18" s="20" t="e">
        <f ca="1">H12-H15</f>
        <v>#NAME?</v>
      </c>
      <c r="I18" s="13"/>
      <c r="J18" s="19" t="e">
        <f ca="1">IF(H$12=0,0,H18/H$12)</f>
        <v>#NAME?</v>
      </c>
      <c r="K18" s="15"/>
      <c r="L18" s="20" t="e">
        <f ca="1">+D18-H18</f>
        <v>#NAME?</v>
      </c>
      <c r="M18" s="15"/>
      <c r="N18" s="19" t="e">
        <f ca="1">IF(H18=0,0,L18/H18)</f>
        <v>#NAME?</v>
      </c>
      <c r="O18" s="25"/>
      <c r="P18" s="20" t="e">
        <f ca="1">P12-P15</f>
        <v>#NAME?</v>
      </c>
      <c r="Q18" s="13"/>
      <c r="R18" s="19" t="e">
        <f ca="1">IF(P$12=0,0,P18/P$12)</f>
        <v>#NAME?</v>
      </c>
      <c r="S18" s="13"/>
      <c r="T18" s="20" t="e">
        <f ca="1">T12-T15</f>
        <v>#NAME?</v>
      </c>
      <c r="U18" s="13"/>
      <c r="V18" s="19" t="e">
        <f ca="1">IF(T$12=0,0,T18/T$12)</f>
        <v>#NAME?</v>
      </c>
      <c r="W18" s="15"/>
      <c r="X18" s="20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0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19" t="e">
        <f ca="1">IF(D$12=0,0,D27/D$12)</f>
        <v>#NAME?</v>
      </c>
      <c r="G27" s="13"/>
      <c r="H27" s="20" t="e">
        <f ca="1">+H18-H20+H24</f>
        <v>#NAME?</v>
      </c>
      <c r="I27" s="13"/>
      <c r="J27" s="19" t="e">
        <f ca="1">IF(H$12=0,0,H27/H$12)</f>
        <v>#NAME?</v>
      </c>
      <c r="K27" s="15"/>
      <c r="L27" s="20" t="e">
        <f ca="1">+D27-H27</f>
        <v>#NAME?</v>
      </c>
      <c r="M27" s="15"/>
      <c r="N27" s="19" t="e">
        <f ca="1">IF(H27=0,0,L27/H27)</f>
        <v>#NAME?</v>
      </c>
      <c r="O27" s="25"/>
      <c r="P27" s="20" t="e">
        <f ca="1">+P18-P20+P24</f>
        <v>#NAME?</v>
      </c>
      <c r="Q27" s="13"/>
      <c r="R27" s="19" t="e">
        <f ca="1">IF(P$12=0,0,P27/P$12)</f>
        <v>#NAME?</v>
      </c>
      <c r="S27" s="13"/>
      <c r="T27" s="20" t="e">
        <f ca="1">+T18-T20+T24</f>
        <v>#NAME?</v>
      </c>
      <c r="U27" s="13"/>
      <c r="V27" s="19" t="e">
        <f ca="1">IF(T$12=0,0,T27/T$12)</f>
        <v>#NAME?</v>
      </c>
      <c r="W27" s="15"/>
      <c r="X27" s="20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1" t="e">
        <f ca="1">+D27-D29</f>
        <v>#NAME?</v>
      </c>
      <c r="E31" s="13"/>
      <c r="F31" s="36" t="e">
        <f ca="1">IF(D$12=0,0,D31/D$12)</f>
        <v>#NAME?</v>
      </c>
      <c r="G31" s="13"/>
      <c r="H31" s="31" t="e">
        <f ca="1">+H27-H29</f>
        <v>#NAME?</v>
      </c>
      <c r="I31" s="13"/>
      <c r="J31" s="36" t="e">
        <f ca="1">IF(H$12=0,0,H31/H$12)</f>
        <v>#NAME?</v>
      </c>
      <c r="K31" s="15"/>
      <c r="L31" s="31" t="e">
        <f ca="1">D31-H31</f>
        <v>#NAME?</v>
      </c>
      <c r="M31" s="15"/>
      <c r="N31" s="36" t="e">
        <f ca="1">IF(H31=0,0,L31/H31)</f>
        <v>#NAME?</v>
      </c>
      <c r="O31" s="25"/>
      <c r="P31" s="31" t="e">
        <f ca="1">+P27-P29</f>
        <v>#NAME?</v>
      </c>
      <c r="Q31" s="13"/>
      <c r="R31" s="36" t="e">
        <f ca="1">IF(P$12=0,0,P31/P$12)</f>
        <v>#NAME?</v>
      </c>
      <c r="S31" s="13"/>
      <c r="T31" s="31" t="e">
        <f ca="1">+T27-T29</f>
        <v>#NAME?</v>
      </c>
      <c r="U31" s="13"/>
      <c r="V31" s="36" t="e">
        <f ca="1">IF(T$12=0,0,T31/T$12)</f>
        <v>#NAME?</v>
      </c>
      <c r="W31" s="15"/>
      <c r="X31" s="31" t="e">
        <f ca="1">P31-T31</f>
        <v>#NAME?</v>
      </c>
      <c r="Y31" s="15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0" t="e">
        <f ca="1">IF(D$12=0,0,D36/D$12)</f>
        <v>#NAME?</v>
      </c>
      <c r="G36" s="13"/>
      <c r="H36" s="32" t="e">
        <f ca="1">SUM(H31:H35)</f>
        <v>#NAME?</v>
      </c>
      <c r="I36" s="13"/>
      <c r="J36" s="30" t="e">
        <f ca="1">IF(H$12=0,0,H36/H$12)</f>
        <v>#NAME?</v>
      </c>
      <c r="K36" s="15"/>
      <c r="L36" s="32" t="e">
        <f ca="1">+D36-H36</f>
        <v>#NAME?</v>
      </c>
      <c r="M36" s="15"/>
      <c r="N36" s="30" t="e">
        <f ca="1">IF(H36=0,0,L36/H36)</f>
        <v>#NAME?</v>
      </c>
      <c r="O36" s="25"/>
      <c r="P36" s="32" t="e">
        <f ca="1">SUM(P31:P35)</f>
        <v>#NAME?</v>
      </c>
      <c r="Q36" s="13"/>
      <c r="R36" s="30" t="e">
        <f ca="1">IF(P$12=0,0,P36/P$12)</f>
        <v>#NAME?</v>
      </c>
      <c r="S36" s="13"/>
      <c r="T36" s="32" t="e">
        <f ca="1">SUM(T31:T35)</f>
        <v>#NAME?</v>
      </c>
      <c r="U36" s="13"/>
      <c r="V36" s="30" t="e">
        <f ca="1">IF(T$12=0,0,T36/T$12)</f>
        <v>#NAME?</v>
      </c>
      <c r="W36" s="15"/>
      <c r="X36" s="32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0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4114</vt:i4>
      </vt:variant>
    </vt:vector>
  </HeadingPairs>
  <TitlesOfParts>
    <vt:vector size="4215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'445'!OSRRefD22_0x_0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'201'!OSRRefD22_12x_0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'322'!OSRRefD22_12x_0</vt:lpstr>
      <vt:lpstr>'325'!OSRRefD22_12x_0</vt:lpstr>
      <vt:lpstr>'326'!OSRRefD22_12x_0</vt:lpstr>
      <vt:lpstr>'331'!OSRRefD22_12x_0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'322'!OSRRefD22_13x_0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'415'!OSRRefD22_15x_0</vt:lpstr>
      <vt:lpstr>'425'!OSRRefD22_15x_0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'326'!OSRRefD22_16x_0</vt:lpstr>
      <vt:lpstr>'331'!OSRRefD22_16x_0</vt:lpstr>
      <vt:lpstr>'405'!OSRRefD22_16x_0</vt:lpstr>
      <vt:lpstr>'415'!OSRRefD22_16x_0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'415'!OSRRefD22_17x_0</vt:lpstr>
      <vt:lpstr>'491'!OSRRefD22_17x_0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'310 &amp; 491'!OSRRefD22_22x_0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'445'!OSRRefD22x_0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'445'!OSRRefH22_0x_0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'201'!OSRRefH22_12x_0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'322'!OSRRefH22_12x_0</vt:lpstr>
      <vt:lpstr>'325'!OSRRefH22_12x_0</vt:lpstr>
      <vt:lpstr>'326'!OSRRefH22_12x_0</vt:lpstr>
      <vt:lpstr>'331'!OSRRefH22_12x_0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'322'!OSRRefH22_13x_0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'415'!OSRRefH22_15x_0</vt:lpstr>
      <vt:lpstr>'425'!OSRRefH22_15x_0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'326'!OSRRefH22_16x_0</vt:lpstr>
      <vt:lpstr>'331'!OSRRefH22_16x_0</vt:lpstr>
      <vt:lpstr>'405'!OSRRefH22_16x_0</vt:lpstr>
      <vt:lpstr>'415'!OSRRefH22_16x_0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'415'!OSRRefH22_17x_0</vt:lpstr>
      <vt:lpstr>'491'!OSRRefH22_17x_0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'310 &amp; 491'!OSRRefH22_22x_0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'445'!OSRRefH22x_0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'445'!OSRRefP22_0x_0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'201'!OSRRefP22_12x_0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'322'!OSRRefP22_12x_0</vt:lpstr>
      <vt:lpstr>'325'!OSRRefP22_12x_0</vt:lpstr>
      <vt:lpstr>'326'!OSRRefP22_12x_0</vt:lpstr>
      <vt:lpstr>'331'!OSRRefP22_12x_0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'322'!OSRRefP22_13x_0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'415'!OSRRefP22_15x_0</vt:lpstr>
      <vt:lpstr>'425'!OSRRefP22_15x_0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'326'!OSRRefP22_16x_0</vt:lpstr>
      <vt:lpstr>'331'!OSRRefP22_16x_0</vt:lpstr>
      <vt:lpstr>'405'!OSRRefP22_16x_0</vt:lpstr>
      <vt:lpstr>'415'!OSRRefP22_16x_0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'415'!OSRRefP22_17x_0</vt:lpstr>
      <vt:lpstr>'491'!OSRRefP22_17x_0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'310 &amp; 491'!OSRRefP22_22x_0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'445'!OSRRefP22x_0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'445'!OSRRefT22_0x_0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'201'!OSRRefT22_12x_0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'322'!OSRRefT22_12x_0</vt:lpstr>
      <vt:lpstr>'325'!OSRRefT22_12x_0</vt:lpstr>
      <vt:lpstr>'326'!OSRRefT22_12x_0</vt:lpstr>
      <vt:lpstr>'331'!OSRRefT22_12x_0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'322'!OSRRefT22_13x_0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'415'!OSRRefT22_15x_0</vt:lpstr>
      <vt:lpstr>'425'!OSRRefT22_15x_0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'326'!OSRRefT22_16x_0</vt:lpstr>
      <vt:lpstr>'331'!OSRRefT22_16x_0</vt:lpstr>
      <vt:lpstr>'405'!OSRRefT22_16x_0</vt:lpstr>
      <vt:lpstr>'415'!OSRRefT22_16x_0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'415'!OSRRefT22_17x_0</vt:lpstr>
      <vt:lpstr>'491'!OSRRefT22_17x_0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'310 &amp; 491'!OSRRefT22_22x_0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'445'!OSRRefT22x_0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2019-09-25T17:25:55Z</dcterms:modified>
</cp:coreProperties>
</file>